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 Drive - Director\COMMISSION\Commission 2025\"/>
    </mc:Choice>
  </mc:AlternateContent>
  <xr:revisionPtr revIDLastSave="0" documentId="13_ncr:1_{E42A6D28-A0AD-4784-84B9-30D244AEC6E5}" xr6:coauthVersionLast="47" xr6:coauthVersionMax="47" xr10:uidLastSave="{00000000-0000-0000-0000-000000000000}"/>
  <bookViews>
    <workbookView xWindow="-23025" yWindow="3405" windowWidth="21600" windowHeight="11385" xr2:uid="{00000000-000D-0000-FFFF-FFFF00000000}"/>
  </bookViews>
  <sheets>
    <sheet name="Calendar" sheetId="1" r:id="rId1"/>
  </sheets>
  <definedNames>
    <definedName name="AprSun1">DATEVALUE("4/1/"&amp;Calendar!$C$2)-WEEKDAY(DATEVALUE("4/1/"&amp;Calendar!$C$2))+1</definedName>
    <definedName name="AugSun1">DATEVALUE("8/1/"&amp;Calendar!$C$2)-WEEKDAY(DATEVALUE("8/1/"&amp;Calendar!$C$2))+1</definedName>
    <definedName name="DecSun1">DATEVALUE("12/1/"&amp;Calendar!$C$2)-WEEKDAY(DATEVALUE("12/1/"&amp;Calendar!$C$2))+1</definedName>
    <definedName name="FebSun1">DATEVALUE("2/1/"&amp;Calendar!$C$2)-WEEKDAY(DATEVALUE("2/1/"&amp;Calendar!$C$2))+1</definedName>
    <definedName name="JanSun1">DATEVALUE("1/1/"&amp;Calendar!$C$2)-WEEKDAY(DATEVALUE("1/1/"&amp;Calendar!$C$2))+1</definedName>
    <definedName name="JulSun1">DATEVALUE("7/1/"&amp;Calendar!$C$2)-WEEKDAY(DATEVALUE("7/1/"&amp;Calendar!$C$2))+1</definedName>
    <definedName name="JunSun1">DATEVALUE("6/1/"&amp;Calendar!$C$2)-WEEKDAY(DATEVALUE("6/1/"&amp;Calendar!$C$2))+1</definedName>
    <definedName name="MarSun1">DATEVALUE("3/1/"&amp;Calendar!$C$2)-WEEKDAY(DATEVALUE("3/1/"&amp;Calendar!$C$2))+1</definedName>
    <definedName name="MaySun1">DATEVALUE("5/1/"&amp;Calendar!$C$2)-WEEKDAY(DATEVALUE("5/1/"&amp;Calendar!$C$2))+1</definedName>
    <definedName name="NovSun1">DATEVALUE("11/1/"&amp;Calendar!$C$2)-WEEKDAY(DATEVALUE("11/1/"&amp;Calendar!$C$2))+1</definedName>
    <definedName name="OctSun1">DATEVALUE("10/1/"&amp;Calendar!$C$2)-WEEKDAY(DATEVALUE("10/1/"&amp;Calendar!$C$2))+1</definedName>
    <definedName name="_xlnm.Print_Area" localSheetId="0">Calendar!$A$1:$Y$54</definedName>
    <definedName name="SepSun1">DATEVALUE("9/1/"&amp;Calendar!$C$2)-WEEKDAY(DATEVALUE("9/1/"&amp;Calendar!$C$2))+1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S36" i="1" l="1"/>
  <c r="T36" i="1"/>
  <c r="U36" i="1"/>
  <c r="V36" i="1"/>
  <c r="W36" i="1"/>
  <c r="X36" i="1"/>
  <c r="Y36" i="1"/>
  <c r="S37" i="1"/>
  <c r="T37" i="1"/>
  <c r="U37" i="1"/>
  <c r="V37" i="1"/>
  <c r="W37" i="1"/>
  <c r="X37" i="1"/>
  <c r="Y37" i="1"/>
  <c r="S38" i="1"/>
  <c r="T38" i="1"/>
  <c r="U38" i="1"/>
  <c r="V38" i="1"/>
  <c r="W38" i="1"/>
  <c r="X38" i="1"/>
  <c r="Y38" i="1"/>
  <c r="S39" i="1"/>
  <c r="T39" i="1"/>
  <c r="U39" i="1"/>
  <c r="V39" i="1"/>
  <c r="W39" i="1"/>
  <c r="X39" i="1"/>
  <c r="Y39" i="1"/>
  <c r="S40" i="1"/>
  <c r="T40" i="1"/>
  <c r="U40" i="1"/>
  <c r="V40" i="1"/>
  <c r="W40" i="1"/>
  <c r="X40" i="1"/>
  <c r="Y40" i="1"/>
  <c r="Y35" i="1"/>
  <c r="X35" i="1"/>
  <c r="U35" i="1"/>
  <c r="T35" i="1"/>
  <c r="S35" i="1"/>
  <c r="Q40" i="1"/>
  <c r="P40" i="1"/>
  <c r="O40" i="1"/>
  <c r="N40" i="1"/>
  <c r="M40" i="1"/>
  <c r="L40" i="1"/>
  <c r="K40" i="1"/>
  <c r="Q39" i="1"/>
  <c r="P39" i="1"/>
  <c r="O39" i="1"/>
  <c r="N39" i="1"/>
  <c r="M39" i="1"/>
  <c r="L39" i="1"/>
  <c r="K39" i="1"/>
  <c r="Q38" i="1"/>
  <c r="P38" i="1"/>
  <c r="O38" i="1"/>
  <c r="N38" i="1"/>
  <c r="M38" i="1"/>
  <c r="L38" i="1"/>
  <c r="K38" i="1"/>
  <c r="Q37" i="1"/>
  <c r="P37" i="1"/>
  <c r="O37" i="1"/>
  <c r="N37" i="1"/>
  <c r="M37" i="1"/>
  <c r="L37" i="1"/>
  <c r="K37" i="1"/>
  <c r="Q36" i="1"/>
  <c r="P36" i="1"/>
  <c r="O36" i="1"/>
  <c r="N36" i="1"/>
  <c r="M36" i="1"/>
  <c r="L36" i="1"/>
  <c r="K36" i="1"/>
  <c r="Q35" i="1"/>
  <c r="P35" i="1"/>
  <c r="O35" i="1"/>
  <c r="N35" i="1"/>
  <c r="M35" i="1"/>
  <c r="L35" i="1"/>
  <c r="K35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Y30" i="1"/>
  <c r="X30" i="1"/>
  <c r="W30" i="1"/>
  <c r="V30" i="1"/>
  <c r="U30" i="1"/>
  <c r="T30" i="1"/>
  <c r="S30" i="1"/>
  <c r="Y29" i="1"/>
  <c r="X29" i="1"/>
  <c r="W29" i="1"/>
  <c r="V29" i="1"/>
  <c r="U29" i="1"/>
  <c r="T29" i="1"/>
  <c r="S29" i="1"/>
  <c r="Y28" i="1"/>
  <c r="X28" i="1"/>
  <c r="W28" i="1"/>
  <c r="V28" i="1"/>
  <c r="U28" i="1"/>
  <c r="T28" i="1"/>
  <c r="S28" i="1"/>
  <c r="Y27" i="1"/>
  <c r="X27" i="1"/>
  <c r="W27" i="1"/>
  <c r="V27" i="1"/>
  <c r="U27" i="1"/>
  <c r="T27" i="1"/>
  <c r="S27" i="1"/>
  <c r="Y26" i="1"/>
  <c r="X26" i="1"/>
  <c r="W26" i="1"/>
  <c r="V26" i="1"/>
  <c r="U26" i="1"/>
  <c r="T26" i="1"/>
  <c r="S26" i="1"/>
  <c r="Y25" i="1"/>
  <c r="X25" i="1"/>
  <c r="W25" i="1"/>
  <c r="V25" i="1"/>
  <c r="U25" i="1"/>
  <c r="T25" i="1"/>
  <c r="S25" i="1"/>
  <c r="Q30" i="1"/>
  <c r="P30" i="1"/>
  <c r="O30" i="1"/>
  <c r="N30" i="1"/>
  <c r="M30" i="1"/>
  <c r="L30" i="1"/>
  <c r="K30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Y21" i="1"/>
  <c r="X21" i="1"/>
  <c r="W21" i="1"/>
  <c r="V21" i="1"/>
  <c r="U21" i="1"/>
  <c r="T21" i="1"/>
  <c r="S21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Q21" i="1"/>
  <c r="P21" i="1"/>
  <c r="O21" i="1"/>
  <c r="N21" i="1"/>
  <c r="M21" i="1"/>
  <c r="L21" i="1"/>
  <c r="K21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K18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Y12" i="1"/>
  <c r="X12" i="1"/>
  <c r="W12" i="1"/>
  <c r="V12" i="1"/>
  <c r="U12" i="1"/>
  <c r="T12" i="1"/>
  <c r="S12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Q12" i="1"/>
  <c r="P12" i="1"/>
  <c r="O12" i="1"/>
  <c r="N12" i="1"/>
  <c r="M12" i="1"/>
  <c r="L12" i="1"/>
  <c r="K12" i="1"/>
  <c r="Q11" i="1"/>
  <c r="P11" i="1"/>
  <c r="O11" i="1"/>
  <c r="N11" i="1"/>
  <c r="L11" i="1"/>
  <c r="K11" i="1"/>
  <c r="Q10" i="1"/>
  <c r="P10" i="1"/>
  <c r="O10" i="1"/>
  <c r="N10" i="1"/>
  <c r="M10" i="1"/>
  <c r="L10" i="1"/>
  <c r="K10" i="1"/>
  <c r="Q9" i="1"/>
  <c r="P9" i="1"/>
  <c r="O9" i="1"/>
  <c r="N9" i="1"/>
  <c r="M9" i="1"/>
  <c r="L9" i="1"/>
  <c r="K9" i="1"/>
  <c r="Q8" i="1"/>
  <c r="P8" i="1"/>
  <c r="O8" i="1"/>
  <c r="N8" i="1"/>
  <c r="M8" i="1"/>
  <c r="L8" i="1"/>
  <c r="K8" i="1"/>
  <c r="Q7" i="1"/>
  <c r="P7" i="1"/>
  <c r="O7" i="1"/>
  <c r="N7" i="1"/>
  <c r="M7" i="1"/>
  <c r="L7" i="1"/>
  <c r="K7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E8" i="1"/>
  <c r="D8" i="1"/>
  <c r="C8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<sst xmlns="http://schemas.openxmlformats.org/spreadsheetml/2006/main" count="111" uniqueCount="32">
  <si>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</si>
  <si>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</si>
  <si>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</si>
  <si>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</si>
  <si>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</si>
  <si>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</si>
  <si>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</si>
  <si>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</si>
  <si>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</si>
  <si>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</si>
  <si>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</si>
  <si>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</si>
  <si>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</si>
  <si>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</si>
  <si>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</si>
  <si>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</si>
  <si>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</si>
  <si>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Huddle Meetings</t>
  </si>
  <si>
    <t>Packet Materials DUE!</t>
  </si>
  <si>
    <t>Agenda &amp; Packet Posted to OPRD Site</t>
  </si>
  <si>
    <t>Mail Out Packets</t>
  </si>
  <si>
    <t>State Holidays</t>
  </si>
  <si>
    <t>Presentation Material Due/Business Meeting</t>
  </si>
  <si>
    <t>All Managers Meeting</t>
  </si>
  <si>
    <t>Contact: Denise Warburton 503-986-0719</t>
  </si>
  <si>
    <t>Legislative Days</t>
  </si>
  <si>
    <t>Legislative Session</t>
  </si>
  <si>
    <t xml:space="preserve">Revision Date: </t>
  </si>
  <si>
    <t>Oregon Parks and Recreation Draft Planning Calendar</t>
  </si>
  <si>
    <t>779-9729</t>
  </si>
  <si>
    <t xml:space="preserve"> 2025 Commission Meeting</t>
  </si>
  <si>
    <t>10/28/25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</si>
</sst>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"/>
    <numFmt numFmtId="166" formatCode="d"/>
  </numFmts>
  <fonts count="15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40"/>
      <color theme="5"/>
      <name val="Century Gothic"/>
      <family val="2"/>
    </font>
    <font>
      <b/>
      <sz val="18"/>
      <color theme="9"/>
      <name val="Century Gothic"/>
      <family val="2"/>
    </font>
    <font>
      <b/>
      <sz val="10"/>
      <color theme="1" tint="0.14996795556505021"/>
      <name val="Century Gothic"/>
      <family val="2"/>
    </font>
    <font>
      <b/>
      <sz val="11"/>
      <color theme="1"/>
      <name val="Calibri"/>
      <family val="2"/>
      <scheme val="minor"/>
    </font>
    <font>
      <b/>
      <sz val="40"/>
      <name val="Century Gothic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sz val="12"/>
      <color theme="1" tint="0.14996795556505021"/>
      <name val="Century Gothic"/>
      <family val="2"/>
    </font>
    <font>
      <b/>
      <sz val="16"/>
      <name val="Century Gothic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lightGrid"/>
    </fill>
    <fill>
      <patternFill patternType="solid">
        <fgColor rgb="FF996633"/>
        <bgColor indexed="64"/>
      </patternFill>
    </fill>
    <fill>
      <patternFill patternType="lightUp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gray0625">
        <bgColor theme="1" tint="0.499984740745262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gray0625">
        <bgColor theme="3" tint="0.39997558519241921"/>
      </patternFill>
    </fill>
    <fill>
      <patternFill patternType="gray0625">
        <bgColor rgb="FFFF99FF"/>
      </patternFill>
    </fill>
    <fill>
      <patternFill patternType="solid">
        <fgColor rgb="FFFF99FF"/>
        <bgColor indexed="64"/>
      </patternFill>
    </fill>
    <fill>
      <patternFill patternType="solid">
        <fgColor rgb="FFF79747"/>
        <bgColor indexed="64"/>
      </patternFill>
    </fill>
    <fill>
      <patternFill patternType="gray0625">
        <bgColor rgb="FFFF0000"/>
      </patternFill>
    </fill>
    <fill>
      <patternFill patternType="gray0625">
        <bgColor rgb="FFF79747"/>
      </patternFill>
    </fill>
    <fill>
      <patternFill patternType="solid">
        <fgColor rgb="FFFF66CC"/>
        <bgColor indexed="64"/>
      </patternFill>
    </fill>
    <fill>
      <patternFill patternType="lightUp">
        <bgColor theme="0"/>
      </patternFill>
    </fill>
    <fill>
      <patternFill patternType="lightUp">
        <bgColor theme="3" tint="0.3999755851924192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C4A0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left" vertical="center"/>
    </xf>
    <xf numFmtId="0" fontId="5" fillId="2" borderId="0">
      <alignment horizontal="center" vertical="center"/>
    </xf>
  </cellStyleXfs>
  <cellXfs count="88">
    <xf numFmtId="0" fontId="0" fillId="0" borderId="0" xfId="0">
      <alignment horizontal="center" vertical="center"/>
    </xf>
    <xf numFmtId="0" fontId="2" fillId="0" borderId="0" xfId="0" applyFont="1">
      <alignment horizontal="center" vertical="center"/>
    </xf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165" fontId="2" fillId="0" borderId="0" xfId="0" applyNumberFormat="1" applyFont="1">
      <alignment horizontal="center" vertical="center"/>
    </xf>
    <xf numFmtId="166" fontId="2" fillId="0" borderId="0" xfId="0" applyNumberFormat="1" applyFont="1">
      <alignment horizontal="center" vertical="center"/>
    </xf>
    <xf numFmtId="0" fontId="2" fillId="3" borderId="0" xfId="0" applyFont="1" applyFill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/>
    <xf numFmtId="0" fontId="6" fillId="0" borderId="0" xfId="0" applyFont="1" applyAlignment="1"/>
    <xf numFmtId="0" fontId="0" fillId="0" borderId="0" xfId="0" applyAlignment="1"/>
    <xf numFmtId="0" fontId="0" fillId="5" borderId="0" xfId="0" applyFill="1" applyAlignment="1"/>
    <xf numFmtId="0" fontId="6" fillId="0" borderId="0" xfId="0" applyFont="1" applyAlignment="1">
      <alignment horizontal="left" vertical="center" indent="5"/>
    </xf>
    <xf numFmtId="0" fontId="0" fillId="6" borderId="0" xfId="0" applyFill="1" applyAlignment="1"/>
    <xf numFmtId="0" fontId="0" fillId="7" borderId="0" xfId="0" applyFill="1" applyAlignment="1"/>
    <xf numFmtId="0" fontId="0" fillId="8" borderId="0" xfId="0" applyFill="1" applyAlignment="1"/>
    <xf numFmtId="0" fontId="0" fillId="9" borderId="0" xfId="0" applyFill="1" applyAlignment="1"/>
    <xf numFmtId="0" fontId="0" fillId="10" borderId="0" xfId="0" applyFill="1" applyAlignment="1"/>
    <xf numFmtId="0" fontId="0" fillId="11" borderId="0" xfId="0" applyFill="1" applyAlignment="1"/>
    <xf numFmtId="0" fontId="0" fillId="12" borderId="0" xfId="0" applyFill="1" applyAlignme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13" borderId="1" xfId="0" applyFont="1" applyFill="1" applyBorder="1" applyAlignment="1"/>
    <xf numFmtId="0" fontId="0" fillId="13" borderId="2" xfId="0" applyFill="1" applyBorder="1" applyAlignment="1"/>
    <xf numFmtId="0" fontId="0" fillId="13" borderId="3" xfId="0" applyFill="1" applyBorder="1" applyAlignment="1"/>
    <xf numFmtId="0" fontId="6" fillId="0" borderId="3" xfId="0" applyFont="1" applyBorder="1" applyAlignment="1"/>
    <xf numFmtId="0" fontId="12" fillId="0" borderId="6" xfId="3" applyFont="1" applyFill="1" applyBorder="1">
      <alignment horizontal="center" vertical="center"/>
    </xf>
    <xf numFmtId="0" fontId="12" fillId="0" borderId="7" xfId="3" applyFont="1" applyFill="1" applyBorder="1">
      <alignment horizontal="center" vertical="center"/>
    </xf>
    <xf numFmtId="0" fontId="12" fillId="0" borderId="8" xfId="3" applyFont="1" applyFill="1" applyBorder="1">
      <alignment horizontal="center" vertical="center"/>
    </xf>
    <xf numFmtId="166" fontId="8" fillId="0" borderId="5" xfId="0" applyNumberFormat="1" applyFont="1" applyBorder="1">
      <alignment horizontal="center" vertical="center"/>
    </xf>
    <xf numFmtId="166" fontId="8" fillId="0" borderId="4" xfId="0" applyNumberFormat="1" applyFont="1" applyBorder="1">
      <alignment horizontal="center" vertical="center"/>
    </xf>
    <xf numFmtId="0" fontId="8" fillId="0" borderId="0" xfId="0" applyFont="1">
      <alignment horizontal="center" vertical="center"/>
    </xf>
    <xf numFmtId="166" fontId="8" fillId="0" borderId="0" xfId="0" applyNumberFormat="1" applyFont="1">
      <alignment horizontal="center" vertical="center"/>
    </xf>
    <xf numFmtId="165" fontId="8" fillId="0" borderId="0" xfId="0" applyNumberFormat="1" applyFont="1">
      <alignment horizontal="center" vertical="center"/>
    </xf>
    <xf numFmtId="166" fontId="8" fillId="0" borderId="9" xfId="0" applyNumberFormat="1" applyFont="1" applyBorder="1">
      <alignment horizontal="center" vertical="center"/>
    </xf>
    <xf numFmtId="166" fontId="8" fillId="0" borderId="10" xfId="0" applyNumberFormat="1" applyFont="1" applyBorder="1">
      <alignment horizontal="center" vertical="center"/>
    </xf>
    <xf numFmtId="166" fontId="8" fillId="0" borderId="11" xfId="0" applyNumberFormat="1" applyFont="1" applyBorder="1">
      <alignment horizontal="center" vertical="center"/>
    </xf>
    <xf numFmtId="166" fontId="8" fillId="0" borderId="12" xfId="0" applyNumberFormat="1" applyFont="1" applyBorder="1">
      <alignment horizontal="center" vertical="center"/>
    </xf>
    <xf numFmtId="166" fontId="8" fillId="0" borderId="13" xfId="0" applyNumberFormat="1" applyFont="1" applyBorder="1">
      <alignment horizontal="center" vertical="center"/>
    </xf>
    <xf numFmtId="166" fontId="8" fillId="0" borderId="14" xfId="0" applyNumberFormat="1" applyFont="1" applyBorder="1">
      <alignment horizontal="center" vertical="center"/>
    </xf>
    <xf numFmtId="166" fontId="8" fillId="0" borderId="15" xfId="0" applyNumberFormat="1" applyFont="1" applyBorder="1">
      <alignment horizontal="center" vertical="center"/>
    </xf>
    <xf numFmtId="0" fontId="14" fillId="0" borderId="0" xfId="0" applyFont="1" applyAlignment="1"/>
    <xf numFmtId="166" fontId="8" fillId="14" borderId="5" xfId="0" applyNumberFormat="1" applyFont="1" applyFill="1" applyBorder="1">
      <alignment horizontal="center" vertical="center"/>
    </xf>
    <xf numFmtId="166" fontId="8" fillId="14" borderId="4" xfId="0" applyNumberFormat="1" applyFont="1" applyFill="1" applyBorder="1">
      <alignment horizontal="center" vertical="center"/>
    </xf>
    <xf numFmtId="166" fontId="8" fillId="4" borderId="4" xfId="0" applyNumberFormat="1" applyFont="1" applyFill="1" applyBorder="1">
      <alignment horizontal="center" vertical="center"/>
    </xf>
    <xf numFmtId="166" fontId="8" fillId="15" borderId="4" xfId="0" applyNumberFormat="1" applyFont="1" applyFill="1" applyBorder="1">
      <alignment horizontal="center" vertical="center"/>
    </xf>
    <xf numFmtId="0" fontId="6" fillId="16" borderId="1" xfId="0" applyFont="1" applyFill="1" applyBorder="1" applyAlignment="1"/>
    <xf numFmtId="0" fontId="6" fillId="16" borderId="2" xfId="0" applyFont="1" applyFill="1" applyBorder="1" applyAlignment="1"/>
    <xf numFmtId="166" fontId="8" fillId="16" borderId="4" xfId="0" applyNumberFormat="1" applyFont="1" applyFill="1" applyBorder="1">
      <alignment horizontal="center" vertical="center"/>
    </xf>
    <xf numFmtId="166" fontId="8" fillId="16" borderId="12" xfId="0" applyNumberFormat="1" applyFont="1" applyFill="1" applyBorder="1">
      <alignment horizontal="center" vertical="center"/>
    </xf>
    <xf numFmtId="166" fontId="8" fillId="17" borderId="4" xfId="0" applyNumberFormat="1" applyFont="1" applyFill="1" applyBorder="1">
      <alignment horizontal="center" vertical="center"/>
    </xf>
    <xf numFmtId="166" fontId="8" fillId="18" borderId="4" xfId="0" applyNumberFormat="1" applyFont="1" applyFill="1" applyBorder="1">
      <alignment horizontal="center" vertical="center"/>
    </xf>
    <xf numFmtId="166" fontId="8" fillId="16" borderId="11" xfId="0" applyNumberFormat="1" applyFont="1" applyFill="1" applyBorder="1">
      <alignment horizontal="center" vertical="center"/>
    </xf>
    <xf numFmtId="166" fontId="8" fillId="6" borderId="4" xfId="0" applyNumberFormat="1" applyFont="1" applyFill="1" applyBorder="1">
      <alignment horizontal="center" vertical="center"/>
    </xf>
    <xf numFmtId="166" fontId="8" fillId="19" borderId="4" xfId="0" applyNumberFormat="1" applyFont="1" applyFill="1" applyBorder="1">
      <alignment horizontal="center" vertical="center"/>
    </xf>
    <xf numFmtId="166" fontId="8" fillId="20" borderId="4" xfId="0" applyNumberFormat="1" applyFont="1" applyFill="1" applyBorder="1">
      <alignment horizontal="center" vertical="center"/>
    </xf>
    <xf numFmtId="166" fontId="8" fillId="7" borderId="4" xfId="0" applyNumberFormat="1" applyFont="1" applyFill="1" applyBorder="1">
      <alignment horizontal="center" vertical="center"/>
    </xf>
    <xf numFmtId="166" fontId="8" fillId="21" borderId="4" xfId="0" applyNumberFormat="1" applyFont="1" applyFill="1" applyBorder="1">
      <alignment horizontal="center" vertical="center"/>
    </xf>
    <xf numFmtId="166" fontId="8" fillId="22" borderId="4" xfId="0" applyNumberFormat="1" applyFont="1" applyFill="1" applyBorder="1">
      <alignment horizontal="center" vertical="center"/>
    </xf>
    <xf numFmtId="166" fontId="8" fillId="23" borderId="4" xfId="0" applyNumberFormat="1" applyFont="1" applyFill="1" applyBorder="1">
      <alignment horizontal="center" vertical="center"/>
    </xf>
    <xf numFmtId="0" fontId="3" fillId="0" borderId="0" xfId="1">
      <alignment horizontal="center" vertical="center"/>
    </xf>
    <xf numFmtId="166" fontId="8" fillId="24" borderId="4" xfId="0" applyNumberFormat="1" applyFont="1" applyFill="1" applyBorder="1">
      <alignment horizontal="center" vertical="center"/>
    </xf>
    <xf numFmtId="166" fontId="8" fillId="25" borderId="4" xfId="0" applyNumberFormat="1" applyFont="1" applyFill="1" applyBorder="1">
      <alignment horizontal="center" vertical="center"/>
    </xf>
    <xf numFmtId="166" fontId="8" fillId="26" borderId="4" xfId="0" applyNumberFormat="1" applyFont="1" applyFill="1" applyBorder="1">
      <alignment horizontal="center" vertical="center"/>
    </xf>
    <xf numFmtId="49" fontId="14" fillId="0" borderId="0" xfId="0" applyNumberFormat="1" applyFont="1" applyAlignment="1"/>
    <xf numFmtId="166" fontId="8" fillId="27" borderId="4" xfId="0" applyNumberFormat="1" applyFont="1" applyFill="1" applyBorder="1">
      <alignment horizontal="center" vertical="center"/>
    </xf>
    <xf numFmtId="0" fontId="0" fillId="6" borderId="16" xfId="0" applyFill="1" applyBorder="1" applyAlignment="1"/>
    <xf numFmtId="0" fontId="0" fillId="7" borderId="16" xfId="0" applyFill="1" applyBorder="1" applyAlignment="1"/>
    <xf numFmtId="0" fontId="0" fillId="24" borderId="0" xfId="0" applyFill="1" applyAlignment="1"/>
    <xf numFmtId="0" fontId="0" fillId="24" borderId="16" xfId="0" applyFill="1" applyBorder="1" applyAlignment="1"/>
    <xf numFmtId="0" fontId="0" fillId="14" borderId="0" xfId="0" applyFill="1" applyAlignment="1"/>
    <xf numFmtId="0" fontId="0" fillId="14" borderId="16" xfId="0" applyFill="1" applyBorder="1" applyAlignment="1"/>
    <xf numFmtId="0" fontId="0" fillId="23" borderId="0" xfId="0" applyFill="1" applyAlignment="1"/>
    <xf numFmtId="0" fontId="0" fillId="23" borderId="16" xfId="0" applyFill="1" applyBorder="1" applyAlignment="1"/>
    <xf numFmtId="0" fontId="0" fillId="12" borderId="16" xfId="0" applyFill="1" applyBorder="1" applyAlignment="1"/>
    <xf numFmtId="0" fontId="6" fillId="16" borderId="3" xfId="0" applyFont="1" applyFill="1" applyBorder="1" applyAlignment="1"/>
    <xf numFmtId="166" fontId="8" fillId="28" borderId="4" xfId="0" applyNumberFormat="1" applyFont="1" applyFill="1" applyBorder="1">
      <alignment horizontal="center" vertical="center"/>
    </xf>
    <xf numFmtId="166" fontId="8" fillId="29" borderId="4" xfId="0" applyNumberFormat="1" applyFont="1" applyFill="1" applyBorder="1">
      <alignment horizontal="center" vertical="center"/>
    </xf>
    <xf numFmtId="166" fontId="8" fillId="13" borderId="4" xfId="0" applyNumberFormat="1" applyFont="1" applyFill="1" applyBorder="1">
      <alignment horizontal="center" vertical="center"/>
    </xf>
    <xf numFmtId="166" fontId="8" fillId="30" borderId="4" xfId="0" applyNumberFormat="1" applyFont="1" applyFill="1" applyBorder="1">
      <alignment horizontal="center" vertical="center"/>
    </xf>
    <xf numFmtId="166" fontId="8" fillId="31" borderId="4" xfId="0" applyNumberFormat="1" applyFont="1" applyFill="1" applyBorder="1">
      <alignment horizontal="center" vertical="center"/>
    </xf>
    <xf numFmtId="49" fontId="8" fillId="31" borderId="4" xfId="0" applyNumberFormat="1" applyFont="1" applyFill="1" applyBorder="1">
      <alignment horizontal="center" vertical="center"/>
    </xf>
    <xf numFmtId="0" fontId="0" fillId="15" borderId="0" xfId="0" applyFill="1" applyAlignment="1">
      <alignment horizontal="center"/>
    </xf>
    <xf numFmtId="0" fontId="0" fillId="15" borderId="16" xfId="0" applyFill="1" applyBorder="1" applyAlignment="1">
      <alignment horizontal="center"/>
    </xf>
    <xf numFmtId="0" fontId="13" fillId="0" borderId="0" xfId="2" applyFont="1">
      <alignment horizontal="left" vertical="center"/>
    </xf>
    <xf numFmtId="0" fontId="7" fillId="3" borderId="0" xfId="1" applyFont="1" applyFill="1">
      <alignment horizontal="center" vertical="center"/>
    </xf>
    <xf numFmtId="0" fontId="9" fillId="0" borderId="0" xfId="0" applyFont="1">
      <alignment horizontal="center" vertical="center"/>
    </xf>
    <xf numFmtId="166" fontId="8" fillId="0" borderId="4" xfId="0" applyNumberFormat="1" applyFont="1" applyFill="1" applyBorder="1">
      <alignment horizontal="center" vertical="center"/>
    </xf>
  </cellXfs>
  <cellStyles count="4">
    <cellStyle name="Month" xfId="2" xr:uid="{00000000-0005-0000-0000-000000000000}"/>
    <cellStyle name="Normal" xfId="0" builtinId="0" customBuiltin="1"/>
    <cellStyle name="Week" xfId="3" xr:uid="{00000000-0005-0000-0000-000002000000}"/>
    <cellStyle name="Year" xfId="1" xr:uid="{00000000-0005-0000-0000-000003000000}"/>
  </cellStyles>
  <dxfs count="0"/>
  <tableStyles count="0" defaultTableStyle="TableStyleMedium9" defaultPivotStyle="PivotStyleLight16"/>
  <colors>
    <mruColors>
      <color rgb="FF9C4A06"/>
      <color rgb="FFD66508"/>
      <color rgb="FFFF99FF"/>
      <color rgb="FFF79747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C$2" max="9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</xdr:row>
          <xdr:rowOff>85725</xdr:rowOff>
        </xdr:from>
        <xdr:to>
          <xdr:col>20</xdr:col>
          <xdr:colOff>314325</xdr:colOff>
          <xdr:row>2</xdr:row>
          <xdr:rowOff>57150</xdr:rowOff>
        </xdr:to>
        <xdr:sp macro="" textlink="">
          <xdr:nvSpPr>
            <xdr:cNvPr id="1025" name="Spinner 1" descr="Button to select the ye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2</xdr:col>
      <xdr:colOff>3809</xdr:colOff>
      <xdr:row>43</xdr:row>
      <xdr:rowOff>95250</xdr:rowOff>
    </xdr:from>
    <xdr:to>
      <xdr:col>12</xdr:col>
      <xdr:colOff>348615</xdr:colOff>
      <xdr:row>50</xdr:row>
      <xdr:rowOff>159802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59" y="10601325"/>
          <a:ext cx="4154806" cy="136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February  - Virtual</a:t>
          </a:r>
        </a:p>
        <a:p>
          <a:r>
            <a:rPr lang="en-US" sz="1100"/>
            <a:t>April  - Valley of the Rogue</a:t>
          </a:r>
        </a:p>
        <a:p>
          <a:r>
            <a:rPr lang="en-US" sz="1100" baseline="0"/>
            <a:t>June  - Luckiamute</a:t>
          </a:r>
        </a:p>
        <a:p>
          <a:r>
            <a:rPr lang="en-US" sz="1100" baseline="0"/>
            <a:t>September  - North Coast (Astoria)</a:t>
          </a:r>
          <a:endParaRPr lang="en-US">
            <a:effectLst/>
          </a:endParaRPr>
        </a:p>
        <a:p>
          <a:r>
            <a:rPr lang="en-US" sz="1100" baseline="0"/>
            <a:t>November  - Salem</a:t>
          </a:r>
        </a:p>
        <a:p>
          <a:endParaRPr lang="en-US" sz="1100" baseline="0"/>
        </a:p>
        <a:p>
          <a:r>
            <a:rPr lang="en-US" sz="1100" baseline="0"/>
            <a:t>* These location could change.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G54"/>
  <sheetViews>
    <sheetView tabSelected="1" topLeftCell="A8" zoomScaleNormal="100" workbookViewId="0">
      <selection activeCell="AK14" sqref="AK14"/>
    </sheetView>
  </sheetViews>
  <sheetFormatPr defaultColWidth="9.140625" defaultRowHeight="12.75" x14ac:dyDescent="0.2"/>
  <cols>
    <col min="1" max="1" width="3.42578125" style="1" customWidth="1"/>
    <col min="2" max="2" width="3.7109375" style="1" customWidth="1"/>
    <col min="3" max="25" width="5.7109375" style="1" customWidth="1"/>
    <col min="26" max="26" width="0.28515625" style="1" customWidth="1"/>
    <col min="27" max="33" width="3.7109375" style="1" hidden="1" customWidth="1"/>
    <col min="34" max="34" width="9.140625" style="1" customWidth="1"/>
    <col min="35" max="16384" width="9.140625" style="1"/>
  </cols>
  <sheetData>
    <row r="1" spans="2:51" ht="14.2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51" ht="33" customHeight="1" x14ac:dyDescent="0.2">
      <c r="C2" s="85">
        <v>2025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6"/>
      <c r="AA2" s="6"/>
      <c r="AB2" s="6"/>
      <c r="AC2" s="6"/>
      <c r="AD2" s="6"/>
      <c r="AE2" s="6"/>
      <c r="AF2" s="6"/>
      <c r="AG2" s="6"/>
    </row>
    <row r="3" spans="2:51" ht="13.9" customHeight="1" x14ac:dyDescent="0.2"/>
    <row r="4" spans="2:51" ht="24" customHeight="1" x14ac:dyDescent="0.2">
      <c r="C4" s="86" t="s">
        <v>28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2:51" ht="19.899999999999999" customHeight="1" thickBot="1" x14ac:dyDescent="0.25">
      <c r="C5" s="84" t="s">
        <v>5</v>
      </c>
      <c r="D5" s="84"/>
      <c r="E5" s="84"/>
      <c r="F5" s="84"/>
      <c r="G5" s="84"/>
      <c r="H5" s="84"/>
      <c r="I5" s="84"/>
      <c r="J5" s="31"/>
      <c r="K5" s="84" t="s">
        <v>6</v>
      </c>
      <c r="L5" s="84"/>
      <c r="M5" s="84"/>
      <c r="N5" s="84"/>
      <c r="O5" s="84"/>
      <c r="P5" s="84"/>
      <c r="Q5" s="84"/>
      <c r="R5" s="31"/>
      <c r="S5" s="84" t="s">
        <v>7</v>
      </c>
      <c r="T5" s="84"/>
      <c r="U5" s="84"/>
      <c r="V5" s="84"/>
      <c r="W5" s="84"/>
      <c r="X5" s="84"/>
      <c r="Y5" s="84"/>
    </row>
    <row r="6" spans="2:51" ht="19.899999999999999" customHeight="1" thickBot="1" x14ac:dyDescent="0.25">
      <c r="B6" s="3"/>
      <c r="C6" s="26" t="s">
        <v>0</v>
      </c>
      <c r="D6" s="27" t="s">
        <v>1</v>
      </c>
      <c r="E6" s="27" t="s">
        <v>2</v>
      </c>
      <c r="F6" s="27" t="s">
        <v>3</v>
      </c>
      <c r="G6" s="27" t="s">
        <v>2</v>
      </c>
      <c r="H6" s="27" t="s">
        <v>4</v>
      </c>
      <c r="I6" s="28" t="s">
        <v>0</v>
      </c>
      <c r="J6" s="31"/>
      <c r="K6" s="26" t="s">
        <v>0</v>
      </c>
      <c r="L6" s="27" t="s">
        <v>1</v>
      </c>
      <c r="M6" s="27" t="s">
        <v>2</v>
      </c>
      <c r="N6" s="27" t="s">
        <v>3</v>
      </c>
      <c r="O6" s="27" t="s">
        <v>2</v>
      </c>
      <c r="P6" s="27" t="s">
        <v>4</v>
      </c>
      <c r="Q6" s="28" t="s">
        <v>0</v>
      </c>
      <c r="R6" s="31"/>
      <c r="S6" s="26" t="s">
        <v>0</v>
      </c>
      <c r="T6" s="27" t="s">
        <v>1</v>
      </c>
      <c r="U6" s="27" t="s">
        <v>2</v>
      </c>
      <c r="V6" s="27" t="s">
        <v>3</v>
      </c>
      <c r="W6" s="27" t="s">
        <v>2</v>
      </c>
      <c r="X6" s="27" t="s">
        <v>4</v>
      </c>
      <c r="Y6" s="28" t="s">
        <v>0</v>
      </c>
    </row>
    <row r="7" spans="2:51" ht="19.899999999999999" customHeight="1" x14ac:dyDescent="0.2">
      <c r="C7" s="34" t="str">
        <f>IF(AND(YEAR(JanSun1)=$C$2,MONTH(JanSun1)=1),JanSun1, "")</f>
        <v/>
      </c>
      <c r="D7" s="42" t="str">
        <f>IF(AND(YEAR(JanSun1+1)=$C$2,MONTH(JanSun1+1)=1),JanSun1+1, "")</f>
        <v/>
      </c>
      <c r="E7" s="29" t="str">
        <f>IF(AND(YEAR(JanSun1+2)=$C$2,MONTH(JanSun1+2)=1),JanSun1+2, "")</f>
        <v/>
      </c>
      <c r="F7" s="29">
        <f>IF(AND(YEAR(JanSun1+3)=$C$2,MONTH(JanSun1+3)=1),JanSun1+3, "")</f>
        <v>45658</v>
      </c>
      <c r="G7" s="29">
        <f>IF(AND(YEAR(JanSun1+4)=$C$2,MONTH(JanSun1+4)=1),JanSun1+4, "")</f>
        <v>45659</v>
      </c>
      <c r="H7" s="29">
        <f>IF(AND(YEAR(JanSun1+5)=$C$2,MONTH(JanSun1+5)=1),JanSun1+5, "")</f>
        <v>45660</v>
      </c>
      <c r="I7" s="35">
        <f>IF(AND(YEAR(JanSun1+6)=$C$2,MONTH(JanSun1+6)=1),JanSun1+6, "")</f>
        <v>45661</v>
      </c>
      <c r="J7" s="31"/>
      <c r="K7" s="36" t="str">
        <f>IF(AND(YEAR(FebSun1)=$C$2,MONTH(FebSun1)=2),FebSun1, "")</f>
        <v/>
      </c>
      <c r="L7" s="30" t="str">
        <f>IF(AND(YEAR(FebSun1+1)=$C$2,MONTH(FebSun1+1)=2),FebSun1+1, "")</f>
        <v/>
      </c>
      <c r="M7" s="30" t="str">
        <f>IF(AND(YEAR(FebSun1+2)=$C$2,MONTH(FebSun1+2)=2),FebSun1+2, "")</f>
        <v/>
      </c>
      <c r="N7" s="30" t="str">
        <f>IF(AND(YEAR(FebSun1+3)=$C$2,MONTH(FebSun1+3)=2),FebSun1+3, "")</f>
        <v/>
      </c>
      <c r="O7" s="30" t="str">
        <f>IF(AND(YEAR(FebSun1+4)=$C$2,MONTH(FebSun1+4)=2),FebSun1+4, "")</f>
        <v/>
      </c>
      <c r="P7" s="55" t="str">
        <f>IF(AND(YEAR(FebSun1+5)=$C$2,MONTH(FebSun1+5)=2),FebSun1+5, "")</f>
        <v/>
      </c>
      <c r="Q7" s="37">
        <f>IF(AND(YEAR(FebSun1+6)=$C$2,MONTH(FebSun1+6)=2),FebSun1+6, "")</f>
        <v>45689</v>
      </c>
      <c r="R7" s="31"/>
      <c r="S7" s="36" t="str">
        <f>IF(AND(YEAR(MarSun1)=$C$2,MONTH(MarSun1)=3),MarSun1, "")</f>
        <v/>
      </c>
      <c r="T7" s="30" t="str">
        <f>IF(AND(YEAR(MarSun1+1)=$C$2,MONTH(MarSun1+1)=3),MarSun1+1, "")</f>
        <v/>
      </c>
      <c r="U7" s="30" t="str">
        <f>IF(AND(YEAR(MarSun1+2)=$C$2,MONTH(MarSun1+2)=3),MarSun1+2, "")</f>
        <v/>
      </c>
      <c r="V7" s="30" t="str">
        <f>IF(AND(YEAR(MarSun1+3)=$C$2,MONTH(MarSun1+3)=3),MarSun1+3, "")</f>
        <v/>
      </c>
      <c r="W7" s="30" t="str">
        <f>IF(AND(YEAR(MarSun1+4)=$C$2,MONTH(MarSun1+4)=3),MarSun1+4, "")</f>
        <v/>
      </c>
      <c r="X7" s="48" t="str">
        <f>IF(AND(YEAR(MarSun1+5)=$C$2,MONTH(MarSun1+5)=3),MarSun1+5, "")</f>
        <v/>
      </c>
      <c r="Y7" s="49">
        <f>IF(AND(YEAR(MarSun1+6)=$C$2,MONTH(MarSun1+6)=3),MarSun1+6, "")</f>
        <v>45717</v>
      </c>
    </row>
    <row r="8" spans="2:51" ht="19.899999999999999" customHeight="1" x14ac:dyDescent="0.2">
      <c r="C8" s="36">
        <f>IF(AND(YEAR(JanSun1+7)=$C$2,MONTH(JanSun1+7)=1),JanSun1+7, "")</f>
        <v>45662</v>
      </c>
      <c r="D8" s="30">
        <f>IF(AND(YEAR(JanSun1+8)=$C$2,MONTH(JanSun1+8)=1),JanSun1+8, "")</f>
        <v>45663</v>
      </c>
      <c r="E8" s="30">
        <f>IF(AND(YEAR(JanSun1+9)=$C$2,MONTH(JanSun1+9)=1),JanSun1+9, "")</f>
        <v>45664</v>
      </c>
      <c r="F8" s="78">
        <f>IF(AND(YEAR(JanSun1+10)=$C$2,MONTH(JanSun1+10)=1),JanSun1+10, "")</f>
        <v>45665</v>
      </c>
      <c r="G8" s="78">
        <f>IF(AND(YEAR(JanSun1+11)=$C$2,MONTH(JanSun1+11)=1),JanSun1+11, "")</f>
        <v>45666</v>
      </c>
      <c r="H8" s="78">
        <f>IF(AND(YEAR(JanSun1+12)=$C$2,MONTH(JanSun1+12)=1),JanSun1+12, "")</f>
        <v>45667</v>
      </c>
      <c r="I8" s="37">
        <f>IF(AND(YEAR(JanSun1+13)=$C$2,MONTH(JanSun1+13)=1),JanSun1+13, "")</f>
        <v>45668</v>
      </c>
      <c r="J8" s="31"/>
      <c r="K8" s="36">
        <f>IF(AND(YEAR(FebSun1+7)=$C$2,MONTH(FebSun1+7)=2),FebSun1+7, "")</f>
        <v>45690</v>
      </c>
      <c r="L8" s="54">
        <f>IF(AND(YEAR(FebSun1+8)=$C$2,MONTH(FebSun1+8)=2),FebSun1+8, "")</f>
        <v>45691</v>
      </c>
      <c r="M8" s="30">
        <f>IF(AND(YEAR(FebSun1+9)=$C$2,MONTH(FebSun1+9)=2),FebSun1+9, "")</f>
        <v>45692</v>
      </c>
      <c r="N8" s="54">
        <f>IF(AND(YEAR(FebSun1+10)=$C$2,MONTH(FebSun1+10)=2),FebSun1+10, "")</f>
        <v>45693</v>
      </c>
      <c r="O8" s="62">
        <f>IF(AND(YEAR(FebSun1+11)=$C$2,MONTH(FebSun1+11)=2),FebSun1+11, "")</f>
        <v>45694</v>
      </c>
      <c r="P8" s="63">
        <f>IF(AND(YEAR(FebSun1+12)=$C$2,MONTH(FebSun1+12)=2),FebSun1+12, "")</f>
        <v>45695</v>
      </c>
      <c r="Q8" s="49">
        <f>IF(AND(YEAR(FebSun1+13)=$C$2,MONTH(FebSun1+13)=2),FebSun1+13, "")</f>
        <v>45696</v>
      </c>
      <c r="R8" s="31"/>
      <c r="S8" s="52">
        <f>IF(AND(YEAR(MarSun1+7)=$C$2,MONTH(MarSun1+7)=3),MarSun1+7, "")</f>
        <v>45718</v>
      </c>
      <c r="T8" s="48">
        <f>IF(AND(YEAR(MarSun1+8)=$C$2,MONTH(MarSun1+8)=3),MarSun1+8, "")</f>
        <v>45719</v>
      </c>
      <c r="U8" s="48">
        <f>IF(AND(YEAR(MarSun1+9)=$C$2,MONTH(MarSun1+9)=3),MarSun1+9, "")</f>
        <v>45720</v>
      </c>
      <c r="V8" s="48">
        <f>IF(AND(YEAR(MarSun1+10)=$C$2,MONTH(MarSun1+10)=3),MarSun1+10, "")</f>
        <v>45721</v>
      </c>
      <c r="W8" s="48">
        <f>IF(AND(YEAR(MarSun1+11)=$C$2,MONTH(MarSun1+11)=3),MarSun1+11, "")</f>
        <v>45722</v>
      </c>
      <c r="X8" s="48">
        <f>IF(AND(YEAR(MarSun1+12)=$C$2,MONTH(MarSun1+12)=3),MarSun1+12, "")</f>
        <v>45723</v>
      </c>
      <c r="Y8" s="49">
        <f>IF(AND(YEAR(MarSun1+13)=$C$2,MONTH(MarSun1+13)=3),MarSun1+13, "")</f>
        <v>45724</v>
      </c>
    </row>
    <row r="9" spans="2:51" ht="19.899999999999999" customHeight="1" x14ac:dyDescent="0.2">
      <c r="C9" s="36">
        <f>IF(AND(YEAR(JanSun1+14)=$C$2,MONTH(JanSun1+14)=1),JanSun1+14, "")</f>
        <v>45669</v>
      </c>
      <c r="D9" s="43">
        <f>IF(AND(YEAR(JanSun1+15)=$C$2,MONTH(JanSun1+15)=1),JanSun1+15, "")</f>
        <v>45670</v>
      </c>
      <c r="E9" s="30">
        <f>IF(AND(YEAR(JanSun1+16)=$C$2,MONTH(JanSun1+16)=1),JanSun1+16, "")</f>
        <v>45671</v>
      </c>
      <c r="F9" s="30">
        <f>IF(AND(YEAR(JanSun1+17)=$C$2,MONTH(JanSun1+17)=1),JanSun1+17, "")</f>
        <v>45672</v>
      </c>
      <c r="G9" s="30">
        <f>IF(AND(YEAR(JanSun1+18)=$C$2,MONTH(JanSun1+18)=1),JanSun1+18, "")</f>
        <v>45673</v>
      </c>
      <c r="H9" s="30">
        <f>IF(AND(YEAR(JanSun1+19)=$C$2,MONTH(JanSun1+19)=1),JanSun1+19, "")</f>
        <v>45674</v>
      </c>
      <c r="I9" s="37">
        <f>IF(AND(YEAR(JanSun1+20)=$C$2,MONTH(JanSun1+20)=1),JanSun1+20, "")</f>
        <v>45675</v>
      </c>
      <c r="J9" s="31"/>
      <c r="K9" s="36">
        <f>IF(AND(YEAR(FebSun1+14)=$C$2,MONTH(FebSun1+14)=2),FebSun1+14, "")</f>
        <v>45697</v>
      </c>
      <c r="L9" s="57">
        <f>IF(AND(YEAR(FebSun1+15)=$C$2,MONTH(FebSun1+15)=2),FebSun1+15, "")</f>
        <v>45698</v>
      </c>
      <c r="M9" s="48">
        <f>IF(AND(YEAR(FebSun1+16)=$C$2,MONTH(FebSun1+16)=2),FebSun1+16, "")</f>
        <v>45699</v>
      </c>
      <c r="N9" s="48">
        <f>IF(AND(YEAR(FebSun1+17)=$C$2,MONTH(FebSun1+17)=2),FebSun1+17, "")</f>
        <v>45700</v>
      </c>
      <c r="O9" s="48">
        <f>IF(AND(YEAR(FebSun1+18)=$C$2,MONTH(FebSun1+18)=2),FebSun1+18, "")</f>
        <v>45701</v>
      </c>
      <c r="P9" s="54">
        <f>IF(AND(YEAR(FebSun1+19)=$C$2,MONTH(FebSun1+19)=2),FebSun1+19, "")</f>
        <v>45702</v>
      </c>
      <c r="Q9" s="49">
        <f>IF(AND(YEAR(FebSun1+20)=$C$2,MONTH(FebSun1+20)=2),FebSun1+20, "")</f>
        <v>45703</v>
      </c>
      <c r="R9" s="31"/>
      <c r="S9" s="52">
        <f>IF(AND(YEAR(MarSun1+14)=$C$2,MONTH(MarSun1+14)=3),MarSun1+14, "")</f>
        <v>45725</v>
      </c>
      <c r="T9" s="30">
        <f>IF(AND(YEAR(MarSun1+15)=$C$2,MONTH(MarSun1+15)=3),MarSun1+15, "")</f>
        <v>45726</v>
      </c>
      <c r="U9" s="30">
        <f>IF(AND(YEAR(MarSun1+16)=$C$2,MONTH(MarSun1+16)=3),MarSun1+16, "")</f>
        <v>45727</v>
      </c>
      <c r="V9" s="30">
        <f>IF(AND(YEAR(MarSun1+17)=$C$2,MONTH(MarSun1+17)=3),MarSun1+17, "")</f>
        <v>45728</v>
      </c>
      <c r="W9" s="30">
        <f>IF(AND(YEAR(MarSun1+18)=$C$2,MONTH(MarSun1+18)=3),MarSun1+18, "")</f>
        <v>45729</v>
      </c>
      <c r="X9" s="30">
        <f>IF(AND(YEAR(MarSun1+19)=$C$2,MONTH(MarSun1+19)=3),MarSun1+19, "")</f>
        <v>45730</v>
      </c>
      <c r="Y9" s="37">
        <f>IF(AND(YEAR(MarSun1+20)=$C$2,MONTH(MarSun1+20)=3),MarSun1+20, "")</f>
        <v>45731</v>
      </c>
    </row>
    <row r="10" spans="2:51" ht="19.899999999999999" customHeight="1" x14ac:dyDescent="0.2">
      <c r="C10" s="36">
        <f>IF(AND(YEAR(JanSun1+21)=$C$2,MONTH(JanSun1+21)=1),JanSun1+21, "")</f>
        <v>45676</v>
      </c>
      <c r="D10" s="55">
        <f>IF(AND(YEAR(JanSun1+22)=$C$2,MONTH(JanSun1+22)=1),JanSun1+22, "")</f>
        <v>45677</v>
      </c>
      <c r="E10" s="30">
        <f>IF(AND(YEAR(JanSun1+23)=$C$2,MONTH(JanSun1+23)=1),JanSun1+23, "")</f>
        <v>45678</v>
      </c>
      <c r="F10" s="30">
        <f>IF(AND(YEAR(JanSun1+24)=$C$2,MONTH(JanSun1+24)=1),JanSun1+24, "")</f>
        <v>45679</v>
      </c>
      <c r="G10" s="30">
        <f>IF(AND(YEAR(JanSun1+25)=$C$2,MONTH(JanSun1+25)=1),JanSun1+25, "")</f>
        <v>45680</v>
      </c>
      <c r="H10" s="30">
        <f>IF(AND(YEAR(JanSun1+26)=$C$2,MONTH(JanSun1+26)=1),JanSun1+26, "")</f>
        <v>45681</v>
      </c>
      <c r="I10" s="37">
        <f>IF(AND(YEAR(JanSun1+27)=$C$2,MONTH(JanSun1+27)=1),JanSun1+27, "")</f>
        <v>45682</v>
      </c>
      <c r="J10" s="31"/>
      <c r="K10" s="36">
        <f>IF(AND(YEAR(FebSun1+21)=$C$2,MONTH(FebSun1+21)=2),FebSun1+21, "")</f>
        <v>45704</v>
      </c>
      <c r="L10" s="50">
        <f>IF(AND(YEAR(FebSun1+22)=$C$2,MONTH(FebSun1+22)=2),FebSun1+22, "")</f>
        <v>45705</v>
      </c>
      <c r="M10" s="48">
        <f>IF(AND(YEAR(FebSun1+23)=$C$2,MONTH(FebSun1+23)=2),FebSun1+23, "")</f>
        <v>45706</v>
      </c>
      <c r="N10" s="48">
        <f>IF(AND(YEAR(FebSun1+24)=$C$2,MONTH(FebSun1+24)=2),FebSun1+24, "")</f>
        <v>45707</v>
      </c>
      <c r="O10" s="58">
        <f>IF(AND(YEAR(FebSun1+25)=$C$2,MONTH(FebSun1+25)=2),FebSun1+25, "")</f>
        <v>45708</v>
      </c>
      <c r="P10" s="48">
        <f>IF(AND(YEAR(FebSun1+26)=$C$2,MONTH(FebSun1+26)=2),FebSun1+26, "")</f>
        <v>45709</v>
      </c>
      <c r="Q10" s="49">
        <f>IF(AND(YEAR(FebSun1+27)=$C$2,MONTH(FebSun1+27)=2),FebSun1+27, "")</f>
        <v>45710</v>
      </c>
      <c r="R10" s="31"/>
      <c r="S10" s="36">
        <f>IF(AND(YEAR(MarSun1+21)=$C$2,MONTH(MarSun1+21)=3),MarSun1+21, "")</f>
        <v>45732</v>
      </c>
      <c r="T10" s="45">
        <f>IF(AND(YEAR(MarSun1+22)=$C$2,MONTH(MarSun1+22)=3),MarSun1+22, "")</f>
        <v>45733</v>
      </c>
      <c r="U10" s="30">
        <f>IF(AND(YEAR(MarSun1+23)=$C$2,MONTH(MarSun1+23)=3),MarSun1+23, "")</f>
        <v>45734</v>
      </c>
      <c r="V10" s="30">
        <f>IF(AND(YEAR(MarSun1+24)=$C$2,MONTH(MarSun1+24)=3),MarSun1+24, "")</f>
        <v>45735</v>
      </c>
      <c r="W10" s="30">
        <f>IF(AND(YEAR(MarSun1+25)=$C$2,MONTH(MarSun1+25)=3),MarSun1+25, "")</f>
        <v>45736</v>
      </c>
      <c r="X10" s="30">
        <f>IF(AND(YEAR(MarSun1+26)=$C$2,MONTH(MarSun1+26)=3),MarSun1+26, "")</f>
        <v>45737</v>
      </c>
      <c r="Y10" s="37">
        <f>IF(AND(YEAR(MarSun1+27)=$C$2,MONTH(MarSun1+27)=3),MarSun1+27, "")</f>
        <v>45738</v>
      </c>
    </row>
    <row r="11" spans="2:51" ht="19.899999999999999" customHeight="1" x14ac:dyDescent="0.2">
      <c r="C11" s="36">
        <f>IF(AND(YEAR(JanSun1+28)=$C$2,MONTH(JanSun1+28)=1),JanSun1+28, "")</f>
        <v>45683</v>
      </c>
      <c r="D11" s="45">
        <f>IF(AND(YEAR(JanSun1+29)=$C$2,MONTH(JanSun1+29)=1),JanSun1+29, "")</f>
        <v>45684</v>
      </c>
      <c r="E11" s="55">
        <f>IF(AND(YEAR(JanSun1+30)=$C$2,MONTH(JanSun1+30)=1),JanSun1+30, "")</f>
        <v>45685</v>
      </c>
      <c r="F11" s="55">
        <f>IF(AND(YEAR(JanSun1+31)=$C$2,MONTH(JanSun1+31)=1),JanSun1+31, "")</f>
        <v>45686</v>
      </c>
      <c r="G11" s="30">
        <f>IF(AND(YEAR(JanSun1+32)=$C$2,MONTH(JanSun1+32)=1),JanSun1+32, "")</f>
        <v>45687</v>
      </c>
      <c r="H11" s="30">
        <f>IF(AND(YEAR(JanSun1+33)=$C$2,MONTH(JanSun1+33)=1),JanSun1+33, "")</f>
        <v>45688</v>
      </c>
      <c r="I11" s="37" t="str">
        <f>IF(AND(YEAR(JanSun1+34)=$C$2,MONTH(JanSun1+34)=1),JanSun1+34, "")</f>
        <v/>
      </c>
      <c r="J11" s="31"/>
      <c r="K11" s="36">
        <f>IF(AND(YEAR(FebSun1+28)=$C$2,MONTH(FebSun1+28)=2),FebSun1+28, "")</f>
        <v>45711</v>
      </c>
      <c r="L11" s="51">
        <f>IF(AND(YEAR(FebSun1+29)=$C$2,MONTH(FebSun1+29)=2),FebSun1+29, "")</f>
        <v>45712</v>
      </c>
      <c r="M11" s="51">
        <v>25</v>
      </c>
      <c r="N11" s="48">
        <f>IF(AND(YEAR(FebSun1+31)=$C$2,MONTH(FebSun1+31)=2),FebSun1+31, "")</f>
        <v>45714</v>
      </c>
      <c r="O11" s="48">
        <f>IF(AND(YEAR(FebSun1+32)=$C$2,MONTH(FebSun1+32)=2),FebSun1+32, "")</f>
        <v>45715</v>
      </c>
      <c r="P11" s="30">
        <f>IF(AND(YEAR(FebSun1+33)=$C$2,MONTH(FebSun1+33)=2),FebSun1+33, "")</f>
        <v>45716</v>
      </c>
      <c r="Q11" s="37" t="str">
        <f>IF(AND(YEAR(FebSun1+34)=$C$2,MONTH(FebSun1+34)=2),FebSun1+34, "")</f>
        <v/>
      </c>
      <c r="R11" s="31"/>
      <c r="S11" s="36">
        <f>IF(AND(YEAR(MarSun1+28)=$C$2,MONTH(MarSun1+28)=3),MarSun1+28, "")</f>
        <v>45739</v>
      </c>
      <c r="T11" s="55">
        <f>IF(AND(YEAR(MarSun1+29)=$C$2,MONTH(MarSun1+29)=3),MarSun1+29, "")</f>
        <v>45740</v>
      </c>
      <c r="U11" s="30">
        <f>IF(AND(YEAR(MarSun1+30)=$C$2,MONTH(MarSun1+30)=3),MarSun1+30, "")</f>
        <v>45741</v>
      </c>
      <c r="V11" s="30">
        <f>IF(AND(YEAR(MarSun1+31)=$C$2,MONTH(MarSun1+31)=3),MarSun1+31, "")</f>
        <v>45742</v>
      </c>
      <c r="W11" s="30">
        <f>IF(AND(YEAR(MarSun1+32)=$C$2,MONTH(MarSun1+32)=3),MarSun1+32, "")</f>
        <v>45743</v>
      </c>
      <c r="X11" s="30">
        <f>IF(AND(YEAR(MarSun1+33)=$C$2,MONTH(MarSun1+33)=3),MarSun1+33, "")</f>
        <v>45744</v>
      </c>
      <c r="Y11" s="37">
        <f>IF(AND(YEAR(MarSun1+34)=$C$2,MONTH(MarSun1+34)=3),MarSun1+34, "")</f>
        <v>45745</v>
      </c>
      <c r="AK11" s="60"/>
    </row>
    <row r="12" spans="2:51" ht="19.899999999999999" customHeight="1" thickBot="1" x14ac:dyDescent="0.25">
      <c r="C12" s="38" t="str">
        <f>IF(AND(YEAR(JanSun1+35)=$C$2,MONTH(JanSun1+35)=1),JanSun1+35, "")</f>
        <v/>
      </c>
      <c r="D12" s="39" t="str">
        <f>IF(AND(YEAR(JanSun1+36)=$C$2,MONTH(JanSun1+36)=1),JanSun1+36, "")</f>
        <v/>
      </c>
      <c r="E12" s="39" t="str">
        <f>IF(AND(YEAR(JanSun1+37)=$C$2,MONTH(JanSun1+37)=1),JanSun1+37, "")</f>
        <v/>
      </c>
      <c r="F12" s="39" t="str">
        <f>IF(AND(YEAR(JanSun1+38)=$C$2,MONTH(JanSun1+38)=1),JanSun1+38, "")</f>
        <v/>
      </c>
      <c r="G12" s="39" t="str">
        <f>IF(AND(YEAR(JanSun1+39)=$C$2,MONTH(JanSun1+39)=1),JanSun1+39, "")</f>
        <v/>
      </c>
      <c r="H12" s="39" t="str">
        <f>IF(AND(YEAR(JanSun1+40)=$C$2,MONTH(JanSun1+40)=1),JanSun1+40, "")</f>
        <v/>
      </c>
      <c r="I12" s="40" t="str">
        <f>IF(AND(YEAR(JanSun1+41)=$C$2,MONTH(JanSun1+41)=1),JanSun1+41, "")</f>
        <v/>
      </c>
      <c r="J12" s="31"/>
      <c r="K12" s="38" t="str">
        <f>IF(AND(YEAR(FebSun1+35)=$C$2,MONTH(FebSun1+35)=2),FebSun1+35, "")</f>
        <v/>
      </c>
      <c r="L12" s="39" t="str">
        <f>IF(AND(YEAR(FebSun1+36)=$C$2,MONTH(FebSun1+36)=2),FebSun1+36, "")</f>
        <v/>
      </c>
      <c r="M12" s="39" t="str">
        <f>IF(AND(YEAR(FebSun1+37)=$C$2,MONTH(FebSun1+37)=2),FebSun1+37, "")</f>
        <v/>
      </c>
      <c r="N12" s="39" t="str">
        <f>IF(AND(YEAR(FebSun1+38)=$C$2,MONTH(FebSun1+38)=2),FebSun1+38, "")</f>
        <v/>
      </c>
      <c r="O12" s="39" t="str">
        <f>IF(AND(YEAR(FebSun1+39)=$C$2,MONTH(FebSun1+39)=2),FebSun1+39, "")</f>
        <v/>
      </c>
      <c r="P12" s="39" t="str">
        <f>IF(AND(YEAR(FebSun1+40)=$C$2,MONTH(FebSun1+40)=2),FebSun1+40, "")</f>
        <v/>
      </c>
      <c r="Q12" s="40" t="str">
        <f>IF(AND(YEAR(FebSun1+41)=$C$2,MONTH(FebSun1+41)=2),FebSun1+41, "")</f>
        <v/>
      </c>
      <c r="R12" s="31"/>
      <c r="S12" s="38">
        <f>IF(AND(YEAR(MarSun1+35)=$C$2,MONTH(MarSun1+35)=3),MarSun1+35, "")</f>
        <v>45746</v>
      </c>
      <c r="T12" s="39">
        <f>IF(AND(YEAR(MarSun1+36)=$C$2,MONTH(MarSun1+36)=3),MarSun1+36, "")</f>
        <v>45747</v>
      </c>
      <c r="U12" s="39" t="str">
        <f>IF(AND(YEAR(MarSun1+37)=$C$2,MONTH(MarSun1+37)=3),MarSun1+37, "")</f>
        <v/>
      </c>
      <c r="V12" s="39" t="str">
        <f>IF(AND(YEAR(MarSun1+38)=$C$2,MONTH(MarSun1+38)=3),MarSun1+38, "")</f>
        <v/>
      </c>
      <c r="W12" s="39" t="str">
        <f>IF(AND(YEAR(MarSun1+39)=$C$2,MONTH(MarSun1+39)=3),MarSun1+39, "")</f>
        <v/>
      </c>
      <c r="X12" s="39" t="str">
        <f>IF(AND(YEAR(MarSun1+40)=$C$2,MONTH(MarSun1+40)=3),MarSun1+40, "")</f>
        <v/>
      </c>
      <c r="Y12" s="40" t="str">
        <f>IF(AND(YEAR(MarSun1+41)=$C$2,MONTH(MarSun1+41)=3),MarSun1+41, "")</f>
        <v/>
      </c>
    </row>
    <row r="13" spans="2:51" ht="19.899999999999999" customHeight="1" x14ac:dyDescent="0.2">
      <c r="C13" s="32"/>
      <c r="D13" s="32"/>
      <c r="E13" s="32"/>
      <c r="F13" s="32"/>
      <c r="G13" s="32"/>
      <c r="H13" s="32"/>
      <c r="I13" s="32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2:51" ht="19.899999999999999" customHeight="1" thickBot="1" x14ac:dyDescent="0.25">
      <c r="C14" s="84" t="s">
        <v>8</v>
      </c>
      <c r="D14" s="84"/>
      <c r="E14" s="84"/>
      <c r="F14" s="84"/>
      <c r="G14" s="84"/>
      <c r="H14" s="84"/>
      <c r="I14" s="84"/>
      <c r="J14" s="31"/>
      <c r="K14" s="84" t="s">
        <v>9</v>
      </c>
      <c r="L14" s="84"/>
      <c r="M14" s="84"/>
      <c r="N14" s="84"/>
      <c r="O14" s="84"/>
      <c r="P14" s="84"/>
      <c r="Q14" s="84"/>
      <c r="R14" s="31"/>
      <c r="S14" s="84" t="s">
        <v>10</v>
      </c>
      <c r="T14" s="84"/>
      <c r="U14" s="84"/>
      <c r="V14" s="84"/>
      <c r="W14" s="84"/>
      <c r="X14" s="84"/>
      <c r="Y14" s="84"/>
      <c r="AK14" s="5"/>
      <c r="AS14" s="5"/>
      <c r="AT14" s="5"/>
      <c r="AU14" s="5"/>
      <c r="AV14" s="5"/>
      <c r="AW14" s="5"/>
      <c r="AX14" s="5"/>
      <c r="AY14" s="5"/>
    </row>
    <row r="15" spans="2:51" ht="19.899999999999999" customHeight="1" thickBot="1" x14ac:dyDescent="0.25">
      <c r="B15" s="3"/>
      <c r="C15" s="26" t="s">
        <v>0</v>
      </c>
      <c r="D15" s="27" t="s">
        <v>1</v>
      </c>
      <c r="E15" s="27" t="s">
        <v>2</v>
      </c>
      <c r="F15" s="27" t="s">
        <v>3</v>
      </c>
      <c r="G15" s="27" t="s">
        <v>2</v>
      </c>
      <c r="H15" s="27" t="s">
        <v>4</v>
      </c>
      <c r="I15" s="28" t="s">
        <v>0</v>
      </c>
      <c r="J15" s="31"/>
      <c r="K15" s="26" t="s">
        <v>0</v>
      </c>
      <c r="L15" s="27" t="s">
        <v>1</v>
      </c>
      <c r="M15" s="27" t="s">
        <v>2</v>
      </c>
      <c r="N15" s="27" t="s">
        <v>3</v>
      </c>
      <c r="O15" s="27" t="s">
        <v>2</v>
      </c>
      <c r="P15" s="27" t="s">
        <v>4</v>
      </c>
      <c r="Q15" s="28" t="s">
        <v>0</v>
      </c>
      <c r="R15" s="31"/>
      <c r="S15" s="26" t="s">
        <v>0</v>
      </c>
      <c r="T15" s="27" t="s">
        <v>1</v>
      </c>
      <c r="U15" s="27" t="s">
        <v>2</v>
      </c>
      <c r="V15" s="27" t="s">
        <v>3</v>
      </c>
      <c r="W15" s="27" t="s">
        <v>2</v>
      </c>
      <c r="X15" s="27" t="s">
        <v>4</v>
      </c>
      <c r="Y15" s="28" t="s">
        <v>0</v>
      </c>
    </row>
    <row r="16" spans="2:51" ht="19.899999999999999" customHeight="1" x14ac:dyDescent="0.2">
      <c r="C16" s="36" t="str">
        <f>IF(AND(YEAR(AprSun1)=$C$2,MONTH(AprSun1)=4),AprSun1, "")</f>
        <v/>
      </c>
      <c r="D16" s="55" t="str">
        <f>IF(AND(YEAR(AprSun1+1)=$C$2,MONTH(AprSun1+1)=4),AprSun1+1, "")</f>
        <v/>
      </c>
      <c r="E16" s="53">
        <f>IF(AND(YEAR(AprSun1+2)=$C$2,MONTH(AprSun1+2)=4),AprSun1+2, "")</f>
        <v>45748</v>
      </c>
      <c r="F16" s="30">
        <f>IF(AND(YEAR(AprSun1+3)=$C$2,MONTH(AprSun1+3)=4),AprSun1+3, "")</f>
        <v>45749</v>
      </c>
      <c r="G16" s="61">
        <f>IF(AND(YEAR(AprSun1+4)=$C$2,MONTH(AprSun1+4)=4),AprSun1+4, "")</f>
        <v>45750</v>
      </c>
      <c r="H16" s="55">
        <f>IF(AND(YEAR(AprSun1+5)=$C$2,MONTH(AprSun1+5)=4),AprSun1+5, "")</f>
        <v>45751</v>
      </c>
      <c r="I16" s="37">
        <f>IF(AND(YEAR(AprSun1+6)=$C$2,MONTH(AprSun1+6)=4),AprSun1+6, "")</f>
        <v>45752</v>
      </c>
      <c r="J16" s="31"/>
      <c r="K16" s="36" t="str">
        <f>IF(AND(YEAR(MaySun1)=$C$2,MONTH(MaySun1)=5),MaySun1, "")</f>
        <v/>
      </c>
      <c r="L16" s="30" t="str">
        <f>IF(AND(YEAR(MaySun1+1)=$C$2,MONTH(MaySun1+1)=5),MaySun1+1, "")</f>
        <v/>
      </c>
      <c r="M16" s="30" t="str">
        <f>IF(AND(YEAR(MaySun1+2)=$C$2,MONTH(MaySun1+2)=5),MaySun1+2, "")</f>
        <v/>
      </c>
      <c r="N16" s="30" t="str">
        <f>IF(AND(YEAR(MaySun1+3)=$C$2,MONTH(MaySun1+3)=5),MaySun1+3, "")</f>
        <v/>
      </c>
      <c r="O16" s="30">
        <f>IF(AND(YEAR(MaySun1+4)=$C$2,MONTH(MaySun1+4)=5),MaySun1+4, "")</f>
        <v>45778</v>
      </c>
      <c r="P16" s="30">
        <f>IF(AND(YEAR(MaySun1+5)=$C$2,MONTH(MaySun1+5)=5),MaySun1+5, "")</f>
        <v>45779</v>
      </c>
      <c r="Q16" s="37">
        <f>IF(AND(YEAR(MaySun1+6)=$C$2,MONTH(MaySun1+6)=5),MaySun1+6, "")</f>
        <v>45780</v>
      </c>
      <c r="R16" s="31"/>
      <c r="S16" s="36">
        <f>IF(AND(YEAR(JunSun1)=$C$2,MONTH(JunSun1)=6),JunSun1, "")</f>
        <v>45809</v>
      </c>
      <c r="T16" s="30">
        <f>IF(AND(YEAR(JunSun1+1)=$C$2,MONTH(JunSun1+1)=6),JunSun1+1, "")</f>
        <v>45810</v>
      </c>
      <c r="U16" s="30">
        <f>IF(AND(YEAR(JunSun1+2)=$C$2,MONTH(JunSun1+2)=6),JunSun1+2, "")</f>
        <v>45811</v>
      </c>
      <c r="V16" s="30">
        <f>IF(AND(YEAR(JunSun1+3)=$C$2,MONTH(JunSun1+3)=6),JunSun1+3, "")</f>
        <v>45812</v>
      </c>
      <c r="W16" s="30">
        <f>IF(AND(YEAR(JunSun1+4)=$C$2,MONTH(JunSun1+4)=6),JunSun1+4, "")</f>
        <v>45813</v>
      </c>
      <c r="X16" s="30">
        <f>IF(AND(YEAR(JunSun1+5)=$C$2,MONTH(JunSun1+5)=6),JunSun1+5, "")</f>
        <v>45814</v>
      </c>
      <c r="Y16" s="37">
        <f>IF(AND(YEAR(JunSun1+6)=$C$2,MONTH(JunSun1+6)=6),JunSun1+6, "")</f>
        <v>45815</v>
      </c>
    </row>
    <row r="17" spans="2:51" ht="19.899999999999999" customHeight="1" x14ac:dyDescent="0.2">
      <c r="C17" s="36">
        <f>IF(AND(YEAR(AprSun1+7)=$C$2,MONTH(AprSun1+7)=4),AprSun1+7, "")</f>
        <v>45753</v>
      </c>
      <c r="D17" s="56">
        <f>IF(AND(YEAR(AprSun1+8)=$C$2,MONTH(AprSun1+8)=4),AprSun1+8, "")</f>
        <v>45754</v>
      </c>
      <c r="E17" s="55">
        <f>IF(AND(YEAR(AprSun1+9)=$C$2,MONTH(AprSun1+9)=4),AprSun1+9, "")</f>
        <v>45755</v>
      </c>
      <c r="F17" s="30">
        <f>IF(AND(YEAR(AprSun1+10)=$C$2,MONTH(AprSun1+10)=4),AprSun1+10, "")</f>
        <v>45756</v>
      </c>
      <c r="G17" s="30">
        <f>IF(AND(YEAR(AprSun1+11)=$C$2,MONTH(AprSun1+11)=4),AprSun1+11, "")</f>
        <v>45757</v>
      </c>
      <c r="H17" s="30">
        <f>IF(AND(YEAR(AprSun1+12)=$C$2,MONTH(AprSun1+12)=4),AprSun1+12, "")</f>
        <v>45758</v>
      </c>
      <c r="I17" s="37">
        <f>IF(AND(YEAR(AprSun1+13)=$C$2,MONTH(AprSun1+13)=4),AprSun1+13, "")</f>
        <v>45759</v>
      </c>
      <c r="J17" s="31"/>
      <c r="K17" s="36">
        <f>IF(AND(YEAR(MaySun1+7)=$C$2,MONTH(MaySun1+7)=5),MaySun1+7, "")</f>
        <v>45781</v>
      </c>
      <c r="L17" s="45">
        <f>IF(AND(YEAR(MaySun1+8)=$C$2,MONTH(MaySun1+8)=5),MaySun1+8, "")</f>
        <v>45782</v>
      </c>
      <c r="M17" s="30">
        <f>IF(AND(YEAR(MaySun1+9)=$C$2,MONTH(MaySun1+9)=5),MaySun1+9, "")</f>
        <v>45783</v>
      </c>
      <c r="N17" s="30">
        <f>IF(AND(YEAR(MaySun1+10)=$C$2,MONTH(MaySun1+10)=5),MaySun1+10, "")</f>
        <v>45784</v>
      </c>
      <c r="O17" s="30">
        <f>IF(AND(YEAR(MaySun1+11)=$C$2,MONTH(MaySun1+11)=5),MaySun1+11, "")</f>
        <v>45785</v>
      </c>
      <c r="P17" s="87">
        <f>IF(AND(YEAR(MaySun1+12)=$C$2,MONTH(MaySun1+12)=5),MaySun1+12, "")</f>
        <v>45786</v>
      </c>
      <c r="Q17" s="37">
        <f>IF(AND(YEAR(MaySun1+13)=$C$2,MONTH(MaySun1+13)=5),MaySun1+13, "")</f>
        <v>45787</v>
      </c>
      <c r="R17" s="31"/>
      <c r="S17" s="36">
        <f>IF(AND(YEAR(JunSun1+7)=$C$2,MONTH(JunSun1+7)=6),JunSun1+7, "")</f>
        <v>45816</v>
      </c>
      <c r="T17" s="55">
        <f>IF(AND(YEAR(JunSun1+8)=$C$2,MONTH(JunSun1+8)=6),JunSun1+8, "")</f>
        <v>45817</v>
      </c>
      <c r="U17" s="30">
        <f>IF(AND(YEAR(JunSun1+9)=$C$2,MONTH(JunSun1+9)=6),JunSun1+9, "")</f>
        <v>45818</v>
      </c>
      <c r="V17" s="30">
        <f>IF(AND(YEAR(JunSun1+10)=$C$2,MONTH(JunSun1+10)=6),JunSun1+10, "")</f>
        <v>45819</v>
      </c>
      <c r="W17" s="59">
        <f>IF(AND(YEAR(JunSun1+11)=$C$2,MONTH(JunSun1+11)=6),JunSun1+11, "")</f>
        <v>45820</v>
      </c>
      <c r="X17" s="55">
        <f>IF(AND(YEAR(JunSun1+12)=$C$2,MONTH(JunSun1+12)=6),JunSun1+12, "")</f>
        <v>45821</v>
      </c>
      <c r="Y17" s="37">
        <f>IF(AND(YEAR(JunSun1+13)=$C$2,MONTH(JunSun1+13)=6),JunSun1+13, "")</f>
        <v>45822</v>
      </c>
    </row>
    <row r="18" spans="2:51" ht="19.899999999999999" customHeight="1" x14ac:dyDescent="0.2">
      <c r="C18" s="36">
        <f>IF(AND(YEAR(AprSun1+14)=$C$2,MONTH(AprSun1+14)=4),AprSun1+14, "")</f>
        <v>45760</v>
      </c>
      <c r="D18" s="30">
        <f>IF(AND(YEAR(AprSun1+15)=$C$2,MONTH(AprSun1+15)=4),AprSun1+15, "")</f>
        <v>45761</v>
      </c>
      <c r="E18" s="30">
        <f>IF(AND(YEAR(AprSun1+16)=$C$2,MONTH(AprSun1+16)=4),AprSun1+16, "")</f>
        <v>45762</v>
      </c>
      <c r="F18" s="30">
        <f>IF(AND(YEAR(AprSun1+17)=$C$2,MONTH(AprSun1+17)=4),AprSun1+17, "")</f>
        <v>45763</v>
      </c>
      <c r="G18" s="30">
        <f>IF(AND(YEAR(AprSun1+18)=$C$2,MONTH(AprSun1+18)=4),AprSun1+18, "")</f>
        <v>45764</v>
      </c>
      <c r="H18" s="59">
        <f>IF(AND(YEAR(AprSun1+19)=$C$2,MONTH(AprSun1+19)=4),AprSun1+19, "")</f>
        <v>45765</v>
      </c>
      <c r="I18" s="37">
        <f>IF(AND(YEAR(AprSun1+20)=$C$2,MONTH(AprSun1+20)=4),AprSun1+20, "")</f>
        <v>45766</v>
      </c>
      <c r="J18" s="31"/>
      <c r="K18" s="36">
        <f>IF(AND(YEAR(MaySun1+14)=$C$2,MONTH(MaySun1+14)=5),MaySun1+14, "")</f>
        <v>45788</v>
      </c>
      <c r="L18" s="30">
        <f>IF(AND(YEAR(MaySun1+15)=$C$2,MONTH(MaySun1+15)=5),MaySun1+15, "")</f>
        <v>45789</v>
      </c>
      <c r="M18" s="30">
        <f>IF(AND(YEAR(MaySun1+16)=$C$2,MONTH(MaySun1+16)=5),MaySun1+16, "")</f>
        <v>45790</v>
      </c>
      <c r="N18" s="30">
        <f>IF(AND(YEAR(MaySun1+17)=$C$2,MONTH(MaySun1+17)=5),MaySun1+17, "")</f>
        <v>45791</v>
      </c>
      <c r="O18" s="30">
        <f>IF(AND(YEAR(MaySun1+18)=$C$2,MONTH(MaySun1+18)=5),MaySun1+18, "")</f>
        <v>45792</v>
      </c>
      <c r="P18" s="30">
        <f>IF(AND(YEAR(MaySun1+19)=$C$2,MONTH(MaySun1+19)=5),MaySun1+19, "")</f>
        <v>45793</v>
      </c>
      <c r="Q18" s="37">
        <f>IF(AND(YEAR(MaySun1+20)=$C$2,MONTH(MaySun1+20)=5),MaySun1+20, "")</f>
        <v>45794</v>
      </c>
      <c r="R18" s="31"/>
      <c r="S18" s="36">
        <f>IF(AND(YEAR(JunSun1+14)=$C$2,MONTH(JunSun1+14)=6),JunSun1+14, "")</f>
        <v>45823</v>
      </c>
      <c r="T18" s="30">
        <f>IF(AND(YEAR(JunSun1+15)=$C$2,MONTH(JunSun1+15)=6),JunSun1+15, "")</f>
        <v>45824</v>
      </c>
      <c r="U18" s="44">
        <f>IF(AND(YEAR(JunSun1+16)=$C$2,MONTH(JunSun1+16)=6),JunSun1+16, "")</f>
        <v>45825</v>
      </c>
      <c r="V18" s="44">
        <f>IF(AND(YEAR(JunSun1+17)=$C$2,MONTH(JunSun1+17)=6),JunSun1+17, "")</f>
        <v>45826</v>
      </c>
      <c r="W18" s="30">
        <f>IF(AND(YEAR(JunSun1+18)=$C$2,MONTH(JunSun1+18)=6),JunSun1+18, "")</f>
        <v>45827</v>
      </c>
      <c r="X18" s="30">
        <f>IF(AND(YEAR(JunSun1+19)=$C$2,MONTH(JunSun1+19)=6),JunSun1+19, "")</f>
        <v>45828</v>
      </c>
      <c r="Y18" s="37">
        <f>IF(AND(YEAR(JunSun1+20)=$C$2,MONTH(JunSun1+20)=6),JunSun1+20, "")</f>
        <v>45829</v>
      </c>
    </row>
    <row r="19" spans="2:51" ht="19.899999999999999" customHeight="1" x14ac:dyDescent="0.2">
      <c r="C19" s="36">
        <f>IF(AND(YEAR(AprSun1+21)=$C$2,MONTH(AprSun1+21)=4),AprSun1+21, "")</f>
        <v>45767</v>
      </c>
      <c r="D19" s="30">
        <f>IF(AND(YEAR(AprSun1+22)=$C$2,MONTH(AprSun1+22)=4),AprSun1+22, "")</f>
        <v>45768</v>
      </c>
      <c r="E19" s="44">
        <f>IF(AND(YEAR(AprSun1+23)=$C$2,MONTH(AprSun1+23)=4),AprSun1+23, "")</f>
        <v>45769</v>
      </c>
      <c r="F19" s="44">
        <f>IF(AND(YEAR(AprSun1+24)=$C$2,MONTH(AprSun1+24)=4),AprSun1+24, "")</f>
        <v>45770</v>
      </c>
      <c r="G19" s="30">
        <f>IF(AND(YEAR(AprSun1+25)=$C$2,MONTH(AprSun1+25)=4),AprSun1+25, "")</f>
        <v>45771</v>
      </c>
      <c r="H19" s="30">
        <f>IF(AND(YEAR(AprSun1+26)=$C$2,MONTH(AprSun1+26)=4),AprSun1+26, "")</f>
        <v>45772</v>
      </c>
      <c r="I19" s="37">
        <f>IF(AND(YEAR(AprSun1+27)=$C$2,MONTH(AprSun1+27)=4),AprSun1+27, "")</f>
        <v>45773</v>
      </c>
      <c r="J19" s="31"/>
      <c r="K19" s="36">
        <f>IF(AND(YEAR(MaySun1+21)=$C$2,MONTH(MaySun1+21)=5),MaySun1+21, "")</f>
        <v>45795</v>
      </c>
      <c r="L19" s="30">
        <f>IF(AND(YEAR(MaySun1+22)=$C$2,MONTH(MaySun1+22)=5),MaySun1+22, "")</f>
        <v>45796</v>
      </c>
      <c r="M19" s="30">
        <f>IF(AND(YEAR(MaySun1+23)=$C$2,MONTH(MaySun1+23)=5),MaySun1+23, "")</f>
        <v>45797</v>
      </c>
      <c r="N19" s="30">
        <f>IF(AND(YEAR(MaySun1+24)=$C$2,MONTH(MaySun1+24)=5),MaySun1+24, "")</f>
        <v>45798</v>
      </c>
      <c r="O19" s="30">
        <f>IF(AND(YEAR(MaySun1+25)=$C$2,MONTH(MaySun1+25)=5),MaySun1+25, "")</f>
        <v>45799</v>
      </c>
      <c r="P19" s="53">
        <f>IF(AND(YEAR(MaySun1+26)=$C$2,MONTH(MaySun1+26)=5),MaySun1+26, "")</f>
        <v>45800</v>
      </c>
      <c r="Q19" s="37">
        <f>IF(AND(YEAR(MaySun1+27)=$C$2,MONTH(MaySun1+27)=5),MaySun1+27, "")</f>
        <v>45801</v>
      </c>
      <c r="R19" s="31"/>
      <c r="S19" s="36">
        <f>IF(AND(YEAR(JunSun1+21)=$C$2,MONTH(JunSun1+21)=6),JunSun1+21, "")</f>
        <v>45830</v>
      </c>
      <c r="T19" s="30">
        <f>IF(AND(YEAR(JunSun1+22)=$C$2,MONTH(JunSun1+22)=6),JunSun1+22, "")</f>
        <v>45831</v>
      </c>
      <c r="U19" s="30">
        <f>IF(AND(YEAR(JunSun1+23)=$C$2,MONTH(JunSun1+23)=6),JunSun1+23, "")</f>
        <v>45832</v>
      </c>
      <c r="V19" s="43">
        <f>IF(AND(YEAR(JunSun1+24)=$C$2,MONTH(JunSun1+24)=6),JunSun1+24, "")</f>
        <v>45833</v>
      </c>
      <c r="W19" s="30">
        <f>IF(AND(YEAR(JunSun1+25)=$C$2,MONTH(JunSun1+25)=6),JunSun1+25, "")</f>
        <v>45834</v>
      </c>
      <c r="X19" s="30">
        <f>IF(AND(YEAR(JunSun1+26)=$C$2,MONTH(JunSun1+26)=6),JunSun1+26, "")</f>
        <v>45835</v>
      </c>
      <c r="Y19" s="37">
        <f>IF(AND(YEAR(JunSun1+27)=$C$2,MONTH(JunSun1+27)=6),JunSun1+27, "")</f>
        <v>45836</v>
      </c>
    </row>
    <row r="20" spans="2:51" ht="19.899999999999999" customHeight="1" x14ac:dyDescent="0.2">
      <c r="C20" s="36">
        <f>IF(AND(YEAR(AprSun1+28)=$C$2,MONTH(AprSun1+28)=4),AprSun1+28, "")</f>
        <v>45774</v>
      </c>
      <c r="D20" s="30">
        <f>IF(AND(YEAR(AprSun1+29)=$C$2,MONTH(AprSun1+29)=4),AprSun1+29, "")</f>
        <v>45775</v>
      </c>
      <c r="E20" s="30">
        <f>IF(AND(YEAR(AprSun1+30)=$C$2,MONTH(AprSun1+30)=4),AprSun1+30, "")</f>
        <v>45776</v>
      </c>
      <c r="F20" s="30">
        <f>IF(AND(YEAR(AprSun1+31)=$C$2,MONTH(AprSun1+31)=4),AprSun1+31, "")</f>
        <v>45777</v>
      </c>
      <c r="G20" s="30" t="str">
        <f>IF(AND(YEAR(AprSun1+32)=$C$2,MONTH(AprSun1+32)=4),AprSun1+32, "")</f>
        <v/>
      </c>
      <c r="H20" s="30" t="str">
        <f>IF(AND(YEAR(AprSun1+33)=$C$2,MONTH(AprSun1+33)=4),AprSun1+33, "")</f>
        <v/>
      </c>
      <c r="I20" s="37" t="str">
        <f>IF(AND(YEAR(AprSun1+34)=$C$2,MONTH(AprSun1+34)=4),AprSun1+34, "")</f>
        <v/>
      </c>
      <c r="J20" s="31"/>
      <c r="K20" s="36">
        <f>IF(AND(YEAR(MaySun1+28)=$C$2,MONTH(MaySun1+28)=5),MaySun1+28, "")</f>
        <v>45802</v>
      </c>
      <c r="L20" s="43">
        <f>IF(AND(YEAR(MaySun1+29)=$C$2,MONTH(MaySun1+29)=5),MaySun1+29, "")</f>
        <v>45803</v>
      </c>
      <c r="M20" s="61">
        <f>IF(AND(YEAR(MaySun1+30)=$C$2,MONTH(MaySun1+30)=5),MaySun1+30, "")</f>
        <v>45804</v>
      </c>
      <c r="N20" s="76">
        <f>IF(AND(YEAR(MaySun1+31)=$C$2,MONTH(MaySun1+31)=5),MaySun1+31, "")</f>
        <v>45805</v>
      </c>
      <c r="O20" s="77">
        <f>IF(AND(YEAR(MaySun1+32)=$C$2,MONTH(MaySun1+32)=5),MaySun1+32, "")</f>
        <v>45806</v>
      </c>
      <c r="P20" s="78">
        <f>IF(AND(YEAR(MaySun1+33)=$C$2,MONTH(MaySun1+33)=5),MaySun1+33, "")</f>
        <v>45807</v>
      </c>
      <c r="Q20" s="37">
        <f>IF(AND(YEAR(MaySun1+34)=$C$2,MONTH(MaySun1+34)=5),MaySun1+34, "")</f>
        <v>45808</v>
      </c>
      <c r="R20" s="31"/>
      <c r="S20" s="36">
        <f>IF(AND(YEAR(JunSun1+28)=$C$2,MONTH(JunSun1+28)=6),JunSun1+28, "")</f>
        <v>45837</v>
      </c>
      <c r="T20" s="30">
        <f>IF(AND(YEAR(JunSun1+29)=$C$2,MONTH(JunSun1+29)=6),JunSun1+29, "")</f>
        <v>45838</v>
      </c>
      <c r="U20" s="30" t="str">
        <f>IF(AND(YEAR(JunSun1+30)=$C$2,MONTH(JunSun1+30)=6),JunSun1+30, "")</f>
        <v/>
      </c>
      <c r="V20" s="30" t="str">
        <f>IF(AND(YEAR(JunSun1+31)=$C$2,MONTH(JunSun1+31)=6),JunSun1+31, "")</f>
        <v/>
      </c>
      <c r="W20" s="30" t="str">
        <f>IF(AND(YEAR(JunSun1+32)=$C$2,MONTH(JunSun1+32)=6),JunSun1+32, "")</f>
        <v/>
      </c>
      <c r="X20" s="30" t="str">
        <f>IF(AND(YEAR(JunSun1+33)=$C$2,MONTH(JunSun1+33)=6),JunSun1+33, "")</f>
        <v/>
      </c>
      <c r="Y20" s="37" t="str">
        <f>IF(AND(YEAR(JunSun1+34)=$C$2,MONTH(JunSun1+34)=6),JunSun1+34, "")</f>
        <v/>
      </c>
      <c r="AL20" s="5"/>
      <c r="AM20" s="5"/>
      <c r="AN20" s="5"/>
      <c r="AO20" s="5"/>
      <c r="AP20" s="5"/>
      <c r="AQ20" s="5"/>
      <c r="AR20" s="5"/>
    </row>
    <row r="21" spans="2:51" ht="19.899999999999999" customHeight="1" thickBot="1" x14ac:dyDescent="0.25">
      <c r="C21" s="38" t="str">
        <f>IF(AND(YEAR(AprSun1+35)=$C$2,MONTH(AprSun1+35)=4),AprSun1+35, "")</f>
        <v/>
      </c>
      <c r="D21" s="39" t="str">
        <f>IF(AND(YEAR(AprSun1+36)=$C$2,MONTH(AprSun1+36)=4),AprSun1+36, "")</f>
        <v/>
      </c>
      <c r="E21" s="39" t="str">
        <f>IF(AND(YEAR(AprSun1+37)=$C$2,MONTH(AprSun1+37)=4),AprSun1+37, "")</f>
        <v/>
      </c>
      <c r="F21" s="39" t="str">
        <f>IF(AND(YEAR(AprSun1+38)=$C$2,MONTH(AprSun1+38)=4),AprSun1+38, "")</f>
        <v/>
      </c>
      <c r="G21" s="39" t="str">
        <f>IF(AND(YEAR(AprSun1+39)=$C$2,MONTH(AprSun1+39)=4),AprSun1+39, "")</f>
        <v/>
      </c>
      <c r="H21" s="39" t="str">
        <f>IF(AND(YEAR(AprSun1+40)=$C$2,MONTH(AprSun1+40)=4),AprSun1+40, "")</f>
        <v/>
      </c>
      <c r="I21" s="40" t="str">
        <f>IF(AND(YEAR(AprSun1+41)=$C$2,MONTH(AprSun1+41)=4),AprSun1+41, "")</f>
        <v/>
      </c>
      <c r="J21" s="31"/>
      <c r="K21" s="38" t="str">
        <f>IF(AND(YEAR(MaySun1+35)=$C$2,MONTH(MaySun1+35)=5),MaySun1+35, "")</f>
        <v/>
      </c>
      <c r="L21" s="39" t="str">
        <f>IF(AND(YEAR(MaySun1+36)=$C$2,MONTH(MaySun1+36)=5),MaySun1+36, "")</f>
        <v/>
      </c>
      <c r="M21" s="39" t="str">
        <f>IF(AND(YEAR(MaySun1+37)=$C$2,MONTH(MaySun1+37)=5),MaySun1+37, "")</f>
        <v/>
      </c>
      <c r="N21" s="39" t="str">
        <f>IF(AND(YEAR(MaySun1+38)=$C$2,MONTH(MaySun1+38)=5),MaySun1+38, "")</f>
        <v/>
      </c>
      <c r="O21" s="39" t="str">
        <f>IF(AND(YEAR(MaySun1+39)=$C$2,MONTH(MaySun1+39)=5),MaySun1+39, "")</f>
        <v/>
      </c>
      <c r="P21" s="39" t="str">
        <f>IF(AND(YEAR(MaySun1+40)=$C$2,MONTH(MaySun1+40)=5),MaySun1+40, "")</f>
        <v/>
      </c>
      <c r="Q21" s="40" t="str">
        <f>IF(AND(YEAR(MaySun1+41)=$C$2,MONTH(MaySun1+41)=5),MaySun1+41, "")</f>
        <v/>
      </c>
      <c r="R21" s="31"/>
      <c r="S21" s="38" t="str">
        <f>IF(AND(YEAR(JunSun1+35)=$C$2,MONTH(JunSun1+35)=6),JunSun1+35, "")</f>
        <v/>
      </c>
      <c r="T21" s="39" t="str">
        <f>IF(AND(YEAR(JunSun1+36)=$C$2,MONTH(JunSun1+36)=6),JunSun1+36, "")</f>
        <v/>
      </c>
      <c r="U21" s="39" t="str">
        <f>IF(AND(YEAR(JunSun1+37)=$C$2,MONTH(JunSun1+37)=6),JunSun1+37, "")</f>
        <v/>
      </c>
      <c r="V21" s="39" t="str">
        <f>IF(AND(YEAR(JunSun1+38)=$C$2,MONTH(JunSun1+38)=6),JunSun1+38, "")</f>
        <v/>
      </c>
      <c r="W21" s="39" t="str">
        <f>IF(AND(YEAR(JunSun1+39)=$C$2,MONTH(JunSun1+39)=6),JunSun1+39, "")</f>
        <v/>
      </c>
      <c r="X21" s="39" t="str">
        <f>IF(AND(YEAR(JunSun1+40)=$C$2,MONTH(JunSun1+40)=6),JunSun1+40, "")</f>
        <v/>
      </c>
      <c r="Y21" s="40" t="str">
        <f>IF(AND(YEAR(JunSun1+41)=$C$2,MONTH(JunSun1+41)=6),JunSun1+41, "")</f>
        <v/>
      </c>
    </row>
    <row r="22" spans="2:51" ht="19.899999999999999" customHeight="1" x14ac:dyDescent="0.2">
      <c r="C22" s="32"/>
      <c r="D22" s="32"/>
      <c r="E22" s="32"/>
      <c r="F22" s="32"/>
      <c r="G22" s="32"/>
      <c r="H22" s="32"/>
      <c r="I22" s="3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51" ht="19.899999999999999" customHeight="1" thickBot="1" x14ac:dyDescent="0.25">
      <c r="C23" s="84" t="s">
        <v>11</v>
      </c>
      <c r="D23" s="84"/>
      <c r="E23" s="84"/>
      <c r="F23" s="84"/>
      <c r="G23" s="84"/>
      <c r="H23" s="84"/>
      <c r="I23" s="84"/>
      <c r="J23" s="31"/>
      <c r="K23" s="84" t="s">
        <v>14</v>
      </c>
      <c r="L23" s="84"/>
      <c r="M23" s="84"/>
      <c r="N23" s="84"/>
      <c r="O23" s="84"/>
      <c r="P23" s="84"/>
      <c r="Q23" s="84"/>
      <c r="R23" s="31"/>
      <c r="S23" s="84" t="s">
        <v>12</v>
      </c>
      <c r="T23" s="84"/>
      <c r="U23" s="84"/>
      <c r="V23" s="84"/>
      <c r="W23" s="84"/>
      <c r="X23" s="84"/>
      <c r="Y23" s="84"/>
      <c r="AK23" s="5"/>
      <c r="AS23" s="5"/>
      <c r="AT23" s="5"/>
      <c r="AU23" s="5"/>
      <c r="AV23" s="5"/>
      <c r="AW23" s="5"/>
      <c r="AX23" s="5"/>
      <c r="AY23" s="5"/>
    </row>
    <row r="24" spans="2:51" ht="19.899999999999999" customHeight="1" thickBot="1" x14ac:dyDescent="0.25">
      <c r="B24" s="3"/>
      <c r="C24" s="26" t="s">
        <v>0</v>
      </c>
      <c r="D24" s="27" t="s">
        <v>1</v>
      </c>
      <c r="E24" s="27" t="s">
        <v>2</v>
      </c>
      <c r="F24" s="27" t="s">
        <v>3</v>
      </c>
      <c r="G24" s="27" t="s">
        <v>2</v>
      </c>
      <c r="H24" s="27" t="s">
        <v>4</v>
      </c>
      <c r="I24" s="28" t="s">
        <v>0</v>
      </c>
      <c r="J24" s="31"/>
      <c r="K24" s="26" t="s">
        <v>0</v>
      </c>
      <c r="L24" s="27" t="s">
        <v>1</v>
      </c>
      <c r="M24" s="27" t="s">
        <v>2</v>
      </c>
      <c r="N24" s="27" t="s">
        <v>3</v>
      </c>
      <c r="O24" s="27" t="s">
        <v>2</v>
      </c>
      <c r="P24" s="27" t="s">
        <v>4</v>
      </c>
      <c r="Q24" s="28" t="s">
        <v>0</v>
      </c>
      <c r="R24" s="31"/>
      <c r="S24" s="26" t="s">
        <v>0</v>
      </c>
      <c r="T24" s="27" t="s">
        <v>1</v>
      </c>
      <c r="U24" s="27" t="s">
        <v>2</v>
      </c>
      <c r="V24" s="27" t="s">
        <v>3</v>
      </c>
      <c r="W24" s="27" t="s">
        <v>2</v>
      </c>
      <c r="X24" s="27" t="s">
        <v>4</v>
      </c>
      <c r="Y24" s="28" t="s">
        <v>0</v>
      </c>
    </row>
    <row r="25" spans="2:51" ht="19.899999999999999" customHeight="1" x14ac:dyDescent="0.2">
      <c r="C25" s="36" t="str">
        <f>IF(AND(YEAR(JulSun1)=$C$2,MONTH(JulSun1)=7),JulSun1, "")</f>
        <v/>
      </c>
      <c r="D25" s="30" t="str">
        <f>IF(AND(YEAR(JulSun1+1)=$C$2,MONTH(JulSun1+1)=7),JulSun1+1, "")</f>
        <v/>
      </c>
      <c r="E25" s="30">
        <f>IF(AND(YEAR(JulSun1+2)=$C$2,MONTH(JulSun1+2)=7),JulSun1+2, "")</f>
        <v>45839</v>
      </c>
      <c r="F25" s="30">
        <f>IF(AND(YEAR(JulSun1+3)=$C$2,MONTH(JulSun1+3)=7),JulSun1+3, "")</f>
        <v>45840</v>
      </c>
      <c r="G25" s="43">
        <f>IF(AND(YEAR(JulSun1+4)=$C$2,MONTH(JulSun1+4)=7),JulSun1+4, "")</f>
        <v>45841</v>
      </c>
      <c r="H25" s="30">
        <f>IF(AND(YEAR(JulSun1+5)=$C$2,MONTH(JulSun1+5)=7),JulSun1+5, "")</f>
        <v>45842</v>
      </c>
      <c r="I25" s="37">
        <f>IF(AND(YEAR(JulSun1+6)=$C$2,MONTH(JulSun1+6)=7),JulSun1+6, "")</f>
        <v>45843</v>
      </c>
      <c r="J25" s="31"/>
      <c r="K25" s="36" t="str">
        <f>IF(AND(YEAR(AugSun1)=$C$2,MONTH(AugSun1)=8),AugSun1, "")</f>
        <v/>
      </c>
      <c r="L25" s="30" t="str">
        <f>IF(AND(YEAR(AugSun1+1)=$C$2,MONTH(AugSun1+1)=8),AugSun1+1, "")</f>
        <v/>
      </c>
      <c r="M25" s="30" t="str">
        <f>IF(AND(YEAR(AugSun1+2)=$C$2,MONTH(AugSun1+2)=8),AugSun1+2, "")</f>
        <v/>
      </c>
      <c r="N25" s="30" t="str">
        <f>IF(AND(YEAR(AugSun1+3)=$C$2,MONTH(AugSun1+3)=8),AugSun1+3, "")</f>
        <v/>
      </c>
      <c r="O25" s="30" t="str">
        <f>IF(AND(YEAR(AugSun1+4)=$C$2,MONTH(AugSun1+4)=8),AugSun1+4, "")</f>
        <v/>
      </c>
      <c r="P25" s="30">
        <f>IF(AND(YEAR(AugSun1+5)=$C$2,MONTH(AugSun1+5)=8),AugSun1+5, "")</f>
        <v>45870</v>
      </c>
      <c r="Q25" s="37">
        <f>IF(AND(YEAR(AugSun1+6)=$C$2,MONTH(AugSun1+6)=8),AugSun1+6, "")</f>
        <v>45871</v>
      </c>
      <c r="R25" s="31"/>
      <c r="S25" s="36" t="str">
        <f>IF(AND(YEAR(SepSun1)=$C$2,MONTH(SepSun1)=9),SepSun1, "")</f>
        <v/>
      </c>
      <c r="T25" s="43">
        <f>IF(AND(YEAR(SepSun1+1)=$C$2,MONTH(SepSun1+1)=9),SepSun1+1, "")</f>
        <v>45901</v>
      </c>
      <c r="U25" s="56">
        <f>IF(AND(YEAR(SepSun1+2)=$C$2,MONTH(SepSun1+2)=9),SepSun1+2, "")</f>
        <v>45902</v>
      </c>
      <c r="V25" s="30">
        <f>IF(AND(YEAR(SepSun1+3)=$C$2,MONTH(SepSun1+3)=9),SepSun1+3, "")</f>
        <v>45903</v>
      </c>
      <c r="W25" s="30">
        <f>IF(AND(YEAR(SepSun1+4)=$C$2,MONTH(SepSun1+4)=9),SepSun1+4, "")</f>
        <v>45904</v>
      </c>
      <c r="X25" s="30">
        <f>IF(AND(YEAR(SepSun1+5)=$C$2,MONTH(SepSun1+5)=9),SepSun1+5, "")</f>
        <v>45905</v>
      </c>
      <c r="Y25" s="37">
        <f>IF(AND(YEAR(SepSun1+6)=$C$2,MONTH(SepSun1+6)=9),SepSun1+6, "")</f>
        <v>45906</v>
      </c>
    </row>
    <row r="26" spans="2:51" ht="19.899999999999999" customHeight="1" x14ac:dyDescent="0.2">
      <c r="C26" s="36">
        <f>IF(AND(YEAR(JulSun1+7)=$C$2,MONTH(JulSun1+7)=7),JulSun1+7, "")</f>
        <v>45844</v>
      </c>
      <c r="D26" s="30">
        <f>IF(AND(YEAR(JulSun1+8)=$C$2,MONTH(JulSun1+8)=7),JulSun1+8, "")</f>
        <v>45845</v>
      </c>
      <c r="E26" s="30">
        <f>IF(AND(YEAR(JulSun1+9)=$C$2,MONTH(JulSun1+9)=7),JulSun1+9, "")</f>
        <v>45846</v>
      </c>
      <c r="F26" s="30">
        <f>IF(AND(YEAR(JulSun1+10)=$C$2,MONTH(JulSun1+10)=7),JulSun1+10, "")</f>
        <v>45847</v>
      </c>
      <c r="G26" s="30">
        <f>IF(AND(YEAR(JulSun1+11)=$C$2,MONTH(JulSun1+11)=7),JulSun1+11, "")</f>
        <v>45848</v>
      </c>
      <c r="H26" s="30">
        <f>IF(AND(YEAR(JulSun1+12)=$C$2,MONTH(JulSun1+12)=7),JulSun1+12, "")</f>
        <v>45849</v>
      </c>
      <c r="I26" s="37">
        <f>IF(AND(YEAR(JulSun1+13)=$C$2,MONTH(JulSun1+13)=7),JulSun1+13, "")</f>
        <v>45850</v>
      </c>
      <c r="J26" s="31"/>
      <c r="K26" s="36">
        <f>IF(AND(YEAR(AugSun1+7)=$C$2,MONTH(AugSun1+7)=8),AugSun1+7, "")</f>
        <v>45872</v>
      </c>
      <c r="L26" s="30">
        <f>IF(AND(YEAR(AugSun1+8)=$C$2,MONTH(AugSun1+8)=8),AugSun1+8, "")</f>
        <v>45873</v>
      </c>
      <c r="M26" s="30">
        <f>IF(AND(YEAR(AugSun1+9)=$C$2,MONTH(AugSun1+9)=8),AugSun1+9, "")</f>
        <v>45874</v>
      </c>
      <c r="N26" s="30">
        <f>IF(AND(YEAR(AugSun1+10)=$C$2,MONTH(AugSun1+10)=8),AugSun1+10, "")</f>
        <v>45875</v>
      </c>
      <c r="O26" s="30">
        <f>IF(AND(YEAR(AugSun1+11)=$C$2,MONTH(AugSun1+11)=8),AugSun1+11, "")</f>
        <v>45876</v>
      </c>
      <c r="P26" s="30">
        <f>IF(AND(YEAR(AugSun1+12)=$C$2,MONTH(AugSun1+12)=8),AugSun1+12, "")</f>
        <v>45877</v>
      </c>
      <c r="Q26" s="37">
        <f>IF(AND(YEAR(AugSun1+13)=$C$2,MONTH(AugSun1+13)=8),AugSun1+13, "")</f>
        <v>45878</v>
      </c>
      <c r="R26" s="31"/>
      <c r="S26" s="36">
        <f>IF(AND(YEAR(SepSun1+7)=$C$2,MONTH(SepSun1+7)=9),SepSun1+7, "")</f>
        <v>45907</v>
      </c>
      <c r="T26" s="30">
        <f>IF(AND(YEAR(SepSun1+8)=$C$2,MONTH(SepSun1+8)=9),SepSun1+8, "")</f>
        <v>45908</v>
      </c>
      <c r="U26" s="30">
        <f>IF(AND(YEAR(SepSun1+9)=$C$2,MONTH(SepSun1+9)=9),SepSun1+9, "")</f>
        <v>45909</v>
      </c>
      <c r="V26" s="30">
        <f>IF(AND(YEAR(SepSun1+10)=$C$2,MONTH(SepSun1+10)=9),SepSun1+10, "")</f>
        <v>45910</v>
      </c>
      <c r="W26" s="30">
        <f>IF(AND(YEAR(SepSun1+11)=$C$2,MONTH(SepSun1+11)=9),SepSun1+11, "")</f>
        <v>45911</v>
      </c>
      <c r="X26" s="59">
        <f>IF(AND(YEAR(SepSun1+12)=$C$2,MONTH(SepSun1+12)=9),SepSun1+12, "")</f>
        <v>45912</v>
      </c>
      <c r="Y26" s="37">
        <f>IF(AND(YEAR(SepSun1+13)=$C$2,MONTH(SepSun1+13)=9),SepSun1+13, "")</f>
        <v>45913</v>
      </c>
    </row>
    <row r="27" spans="2:51" ht="19.899999999999999" customHeight="1" x14ac:dyDescent="0.2">
      <c r="C27" s="36">
        <f>IF(AND(YEAR(JulSun1+14)=$C$2,MONTH(JulSun1+14)=7),JulSun1+14, "")</f>
        <v>45851</v>
      </c>
      <c r="D27" s="30">
        <f>IF(AND(YEAR(JulSun1+15)=$C$2,MONTH(JulSun1+15)=7),JulSun1+15, "")</f>
        <v>45852</v>
      </c>
      <c r="E27" s="30">
        <f>IF(AND(YEAR(JulSun1+16)=$C$2,MONTH(JulSun1+16)=7),JulSun1+16, "")</f>
        <v>45853</v>
      </c>
      <c r="F27" s="30">
        <f>IF(AND(YEAR(JulSun1+17)=$C$2,MONTH(JulSun1+17)=7),JulSun1+17, "")</f>
        <v>45854</v>
      </c>
      <c r="G27" s="30">
        <f>IF(AND(YEAR(JulSun1+18)=$C$2,MONTH(JulSun1+18)=7),JulSun1+18, "")</f>
        <v>45855</v>
      </c>
      <c r="H27" s="30">
        <f>IF(AND(YEAR(JulSun1+19)=$C$2,MONTH(JulSun1+19)=7),JulSun1+19, "")</f>
        <v>45856</v>
      </c>
      <c r="I27" s="37">
        <f>IF(AND(YEAR(JulSun1+20)=$C$2,MONTH(JulSun1+20)=7),JulSun1+20, "")</f>
        <v>45857</v>
      </c>
      <c r="J27" s="31"/>
      <c r="K27" s="36">
        <f>IF(AND(YEAR(AugSun1+14)=$C$2,MONTH(AugSun1+14)=8),AugSun1+14, "")</f>
        <v>45879</v>
      </c>
      <c r="L27" s="45">
        <f>IF(AND(YEAR(AugSun1+15)=$C$2,MONTH(AugSun1+15)=8),AugSun1+15, "")</f>
        <v>45880</v>
      </c>
      <c r="M27" s="30">
        <f>IF(AND(YEAR(AugSun1+16)=$C$2,MONTH(AugSun1+16)=8),AugSun1+16, "")</f>
        <v>45881</v>
      </c>
      <c r="N27" s="30">
        <f>IF(AND(YEAR(AugSun1+17)=$C$2,MONTH(AugSun1+17)=8),AugSun1+17, "")</f>
        <v>45882</v>
      </c>
      <c r="O27" s="30">
        <f>IF(AND(YEAR(AugSun1+18)=$C$2,MONTH(AugSun1+18)=8),AugSun1+18, "")</f>
        <v>45883</v>
      </c>
      <c r="P27" s="30">
        <f>IF(AND(YEAR(AugSun1+19)=$C$2,MONTH(AugSun1+19)=8),AugSun1+19, "")</f>
        <v>45884</v>
      </c>
      <c r="Q27" s="37">
        <f>IF(AND(YEAR(AugSun1+20)=$C$2,MONTH(AugSun1+20)=8),AugSun1+20, "")</f>
        <v>45885</v>
      </c>
      <c r="R27" s="31"/>
      <c r="S27" s="36">
        <f>IF(AND(YEAR(SepSun1+14)=$C$2,MONTH(SepSun1+14)=9),SepSun1+14, "")</f>
        <v>45914</v>
      </c>
      <c r="T27" s="30">
        <f>IF(AND(YEAR(SepSun1+15)=$C$2,MONTH(SepSun1+15)=9),SepSun1+15, "")</f>
        <v>45915</v>
      </c>
      <c r="U27" s="44">
        <f>IF(AND(YEAR(SepSun1+16)=$C$2,MONTH(SepSun1+16)=9),SepSun1+16, "")</f>
        <v>45916</v>
      </c>
      <c r="V27" s="44">
        <f>IF(AND(YEAR(SepSun1+17)=$C$2,MONTH(SepSun1+17)=9),SepSun1+17, "")</f>
        <v>45917</v>
      </c>
      <c r="W27" s="30">
        <f>IF(AND(YEAR(SepSun1+18)=$C$2,MONTH(SepSun1+18)=9),SepSun1+18, "")</f>
        <v>45918</v>
      </c>
      <c r="X27" s="30">
        <f>IF(AND(YEAR(SepSun1+19)=$C$2,MONTH(SepSun1+19)=9),SepSun1+19, "")</f>
        <v>45919</v>
      </c>
      <c r="Y27" s="37">
        <f>IF(AND(YEAR(SepSun1+20)=$C$2,MONTH(SepSun1+20)=9),SepSun1+20, "")</f>
        <v>45920</v>
      </c>
    </row>
    <row r="28" spans="2:51" ht="19.899999999999999" customHeight="1" x14ac:dyDescent="0.2">
      <c r="C28" s="36">
        <f>IF(AND(YEAR(JulSun1+21)=$C$2,MONTH(JulSun1+21)=7),JulSun1+21, "")</f>
        <v>45858</v>
      </c>
      <c r="D28" s="30">
        <f>IF(AND(YEAR(JulSun1+22)=$C$2,MONTH(JulSun1+22)=7),JulSun1+22, "")</f>
        <v>45859</v>
      </c>
      <c r="E28" s="30">
        <f>IF(AND(YEAR(JulSun1+23)=$C$2,MONTH(JulSun1+23)=7),JulSun1+23, "")</f>
        <v>45860</v>
      </c>
      <c r="F28" s="30">
        <f>IF(AND(YEAR(JulSun1+24)=$C$2,MONTH(JulSun1+24)=7),JulSun1+24, "")</f>
        <v>45861</v>
      </c>
      <c r="G28" s="30">
        <f>IF(AND(YEAR(JulSun1+25)=$C$2,MONTH(JulSun1+25)=7),JulSun1+25, "")</f>
        <v>45862</v>
      </c>
      <c r="H28" s="30">
        <f>IF(AND(YEAR(JulSun1+26)=$C$2,MONTH(JulSun1+26)=7),JulSun1+26, "")</f>
        <v>45863</v>
      </c>
      <c r="I28" s="37">
        <f>IF(AND(YEAR(JulSun1+27)=$C$2,MONTH(JulSun1+27)=7),JulSun1+27, "")</f>
        <v>45864</v>
      </c>
      <c r="J28" s="31"/>
      <c r="K28" s="36">
        <f>IF(AND(YEAR(AugSun1+21)=$C$2,MONTH(AugSun1+21)=8),AugSun1+21, "")</f>
        <v>45886</v>
      </c>
      <c r="L28" s="30">
        <f>IF(AND(YEAR(AugSun1+22)=$C$2,MONTH(AugSun1+22)=8),AugSun1+22, "")</f>
        <v>45887</v>
      </c>
      <c r="M28" s="30">
        <f>IF(AND(YEAR(AugSun1+23)=$C$2,MONTH(AugSun1+23)=8),AugSun1+23, "")</f>
        <v>45888</v>
      </c>
      <c r="N28" s="30">
        <f>IF(AND(YEAR(AugSun1+24)=$C$2,MONTH(AugSun1+24)=8),AugSun1+24, "")</f>
        <v>45889</v>
      </c>
      <c r="O28" s="30">
        <f>IF(AND(YEAR(AugSun1+25)=$C$2,MONTH(AugSun1+25)=8),AugSun1+25, "")</f>
        <v>45890</v>
      </c>
      <c r="P28" s="30">
        <f>IF(AND(YEAR(AugSun1+26)=$C$2,MONTH(AugSun1+26)=8),AugSun1+26, "")</f>
        <v>45891</v>
      </c>
      <c r="Q28" s="37">
        <f>IF(AND(YEAR(AugSun1+27)=$C$2,MONTH(AugSun1+27)=8),AugSun1+27, "")</f>
        <v>45892</v>
      </c>
      <c r="R28" s="31"/>
      <c r="S28" s="36">
        <f>IF(AND(YEAR(SepSun1+21)=$C$2,MONTH(SepSun1+21)=9),SepSun1+21, "")</f>
        <v>45921</v>
      </c>
      <c r="T28" s="78">
        <f>IF(AND(YEAR(SepSun1+22)=$C$2,MONTH(SepSun1+22)=9),SepSun1+22, "")</f>
        <v>45922</v>
      </c>
      <c r="U28" s="78">
        <f>IF(AND(YEAR(SepSun1+23)=$C$2,MONTH(SepSun1+23)=9),SepSun1+23, "")</f>
        <v>45923</v>
      </c>
      <c r="V28" s="78">
        <f>IF(AND(YEAR(SepSun1+24)=$C$2,MONTH(SepSun1+24)=9),SepSun1+24, "")</f>
        <v>45924</v>
      </c>
      <c r="W28" s="30">
        <f>IF(AND(YEAR(SepSun1+25)=$C$2,MONTH(SepSun1+25)=9),SepSun1+25, "")</f>
        <v>45925</v>
      </c>
      <c r="X28" s="30">
        <f>IF(AND(YEAR(SepSun1+26)=$C$2,MONTH(SepSun1+26)=9),SepSun1+26, "")</f>
        <v>45926</v>
      </c>
      <c r="Y28" s="37">
        <f>IF(AND(YEAR(SepSun1+27)=$C$2,MONTH(SepSun1+27)=9),SepSun1+27, "")</f>
        <v>45927</v>
      </c>
    </row>
    <row r="29" spans="2:51" ht="19.899999999999999" customHeight="1" x14ac:dyDescent="0.2">
      <c r="C29" s="36">
        <f>IF(AND(YEAR(JulSun1+28)=$C$2,MONTH(JulSun1+28)=7),JulSun1+28, "")</f>
        <v>45865</v>
      </c>
      <c r="D29" s="30">
        <f>IF(AND(YEAR(JulSun1+29)=$C$2,MONTH(JulSun1+29)=7),JulSun1+29, "")</f>
        <v>45866</v>
      </c>
      <c r="E29" s="30">
        <f>IF(AND(YEAR(JulSun1+30)=$C$2,MONTH(JulSun1+30)=7),JulSun1+30, "")</f>
        <v>45867</v>
      </c>
      <c r="F29" s="30">
        <f>IF(AND(YEAR(JulSun1+31)=$C$2,MONTH(JulSun1+31)=7),JulSun1+31, "")</f>
        <v>45868</v>
      </c>
      <c r="G29" s="30">
        <f>IF(AND(YEAR(JulSun1+32)=$C$2,MONTH(JulSun1+32)=7),JulSun1+32, "")</f>
        <v>45869</v>
      </c>
      <c r="H29" s="30" t="str">
        <f>IF(AND(YEAR(JulSun1+33)=$C$2,MONTH(JulSun1+33)=7),JulSun1+33, "")</f>
        <v/>
      </c>
      <c r="I29" s="37" t="str">
        <f>IF(AND(YEAR(JulSun1+34)=$C$2,MONTH(JulSun1+34)=7),JulSun1+34, "")</f>
        <v/>
      </c>
      <c r="J29" s="31"/>
      <c r="K29" s="36">
        <f>IF(AND(YEAR(AugSun1+28)=$C$2,MONTH(AugSun1+28)=8),AugSun1+28, "")</f>
        <v>45893</v>
      </c>
      <c r="L29" s="55">
        <f>IF(AND(YEAR(AugSun1+29)=$C$2,MONTH(AugSun1+29)=8),AugSun1+29, "")</f>
        <v>45894</v>
      </c>
      <c r="M29" s="53">
        <f>IF(AND(YEAR(AugSun1+30)=$C$2,MONTH(AugSun1+30)=8),AugSun1+30, "")</f>
        <v>45895</v>
      </c>
      <c r="N29" s="30">
        <f>IF(AND(YEAR(AugSun1+31)=$C$2,MONTH(AugSun1+31)=8),AugSun1+31, "")</f>
        <v>45896</v>
      </c>
      <c r="O29" s="61">
        <f>IF(AND(YEAR(AugSun1+32)=$C$2,MONTH(AugSun1+32)=8),AugSun1+32, "")</f>
        <v>45897</v>
      </c>
      <c r="P29" s="55">
        <f>IF(AND(YEAR(AugSun1+33)=$C$2,MONTH(AugSun1+33)=8),AugSun1+33, "")</f>
        <v>45898</v>
      </c>
      <c r="Q29" s="37">
        <f>IF(AND(YEAR(AugSun1+34)=$C$2,MONTH(AugSun1+34)=8),AugSun1+34, "")</f>
        <v>45899</v>
      </c>
      <c r="R29" s="31"/>
      <c r="S29" s="36">
        <f>IF(AND(YEAR(SepSun1+28)=$C$2,MONTH(SepSun1+28)=9),SepSun1+28, "")</f>
        <v>45928</v>
      </c>
      <c r="T29" s="30">
        <f>IF(AND(YEAR(SepSun1+29)=$C$2,MONTH(SepSun1+29)=9),SepSun1+29, "")</f>
        <v>45929</v>
      </c>
      <c r="U29" s="30">
        <f>IF(AND(YEAR(SepSun1+30)=$C$2,MONTH(SepSun1+30)=9),SepSun1+30, "")</f>
        <v>45930</v>
      </c>
      <c r="V29" s="30" t="str">
        <f>IF(AND(YEAR(SepSun1+31)=$C$2,MONTH(SepSun1+31)=9),SepSun1+31, "")</f>
        <v/>
      </c>
      <c r="W29" s="30" t="str">
        <f>IF(AND(YEAR(SepSun1+32)=$C$2,MONTH(SepSun1+32)=9),SepSun1+32, "")</f>
        <v/>
      </c>
      <c r="X29" s="30" t="str">
        <f>IF(AND(YEAR(SepSun1+33)=$C$2,MONTH(SepSun1+33)=9),SepSun1+33, "")</f>
        <v/>
      </c>
      <c r="Y29" s="37" t="str">
        <f>IF(AND(YEAR(SepSun1+34)=$C$2,MONTH(SepSun1+34)=9),SepSun1+34, "")</f>
        <v/>
      </c>
      <c r="AL29" s="5"/>
      <c r="AM29" s="5"/>
      <c r="AN29" s="5"/>
      <c r="AO29" s="5"/>
      <c r="AP29" s="5"/>
      <c r="AQ29" s="5"/>
      <c r="AR29" s="5"/>
    </row>
    <row r="30" spans="2:51" ht="19.899999999999999" customHeight="1" thickBot="1" x14ac:dyDescent="0.25">
      <c r="C30" s="38" t="str">
        <f>IF(AND(YEAR(JulSun1+35)=$C$2,MONTH(JulSun1+35)=7),JulSun1+35, "")</f>
        <v/>
      </c>
      <c r="D30" s="39" t="str">
        <f>IF(AND(YEAR(JulSun1+36)=$C$2,MONTH(JulSun1+36)=7),JulSun1+36, "")</f>
        <v/>
      </c>
      <c r="E30" s="39" t="str">
        <f>IF(AND(YEAR(JulSun1+37)=$C$2,MONTH(JulSun1+37)=7),JulSun1+37, "")</f>
        <v/>
      </c>
      <c r="F30" s="39" t="str">
        <f>IF(AND(YEAR(JulSun1+38)=$C$2,MONTH(JulSun1+38)=7),JulSun1+38, "")</f>
        <v/>
      </c>
      <c r="G30" s="39" t="str">
        <f>IF(AND(YEAR(JulSun1+39)=$C$2,MONTH(JulSun1+39)=7),JulSun1+39, "")</f>
        <v/>
      </c>
      <c r="H30" s="39" t="str">
        <f>IF(AND(YEAR(JulSun1+40)=$C$2,MONTH(JulSun1+40)=7),JulSun1+40, "")</f>
        <v/>
      </c>
      <c r="I30" s="40" t="str">
        <f>IF(AND(YEAR(JulSun1+41)=$C$2,MONTH(JulSun1+41)=7),JulSun1+41, "")</f>
        <v/>
      </c>
      <c r="J30" s="31"/>
      <c r="K30" s="38">
        <f>IF(AND(YEAR(AugSun1+35)=$C$2,MONTH(AugSun1+35)=8),AugSun1+35, "")</f>
        <v>45900</v>
      </c>
      <c r="L30" s="39" t="str">
        <f>IF(AND(YEAR(AugSun1+36)=$C$2,MONTH(AugSun1+36)=8),AugSun1+36, "")</f>
        <v/>
      </c>
      <c r="M30" s="39" t="str">
        <f>IF(AND(YEAR(AugSun1+37)=$C$2,MONTH(AugSun1+37)=8),AugSun1+37, "")</f>
        <v/>
      </c>
      <c r="N30" s="39" t="str">
        <f>IF(AND(YEAR(AugSun1+38)=$C$2,MONTH(AugSun1+38)=8),AugSun1+38, "")</f>
        <v/>
      </c>
      <c r="O30" s="39" t="str">
        <f>IF(AND(YEAR(AugSun1+39)=$C$2,MONTH(AugSun1+39)=8),AugSun1+39, "")</f>
        <v/>
      </c>
      <c r="P30" s="39" t="str">
        <f>IF(AND(YEAR(AugSun1+40)=$C$2,MONTH(AugSun1+40)=8),AugSun1+40, "")</f>
        <v/>
      </c>
      <c r="Q30" s="40" t="str">
        <f>IF(AND(YEAR(AugSun1+41)=$C$2,MONTH(AugSun1+41)=8),AugSun1+41, "")</f>
        <v/>
      </c>
      <c r="R30" s="31"/>
      <c r="S30" s="38" t="str">
        <f>IF(AND(YEAR(SepSun1+35)=$C$2,MONTH(SepSun1+35)=9),SepSun1+35, "")</f>
        <v/>
      </c>
      <c r="T30" s="39" t="str">
        <f>IF(AND(YEAR(SepSun1+36)=$C$2,MONTH(SepSun1+36)=9),SepSun1+36, "")</f>
        <v/>
      </c>
      <c r="U30" s="39" t="str">
        <f>IF(AND(YEAR(SepSun1+37)=$C$2,MONTH(SepSun1+37)=9),SepSun1+37, "")</f>
        <v/>
      </c>
      <c r="V30" s="39" t="str">
        <f>IF(AND(YEAR(SepSun1+38)=$C$2,MONTH(SepSun1+38)=9),SepSun1+38, "")</f>
        <v/>
      </c>
      <c r="W30" s="39" t="str">
        <f>IF(AND(YEAR(SepSun1+39)=$C$2,MONTH(SepSun1+39)=9),SepSun1+39, "")</f>
        <v/>
      </c>
      <c r="X30" s="39" t="str">
        <f>IF(AND(YEAR(SepSun1+40)=$C$2,MONTH(SepSun1+40)=9),SepSun1+40, "")</f>
        <v/>
      </c>
      <c r="Y30" s="40" t="str">
        <f>IF(AND(YEAR(SepSun1+41)=$C$2,MONTH(SepSun1+41)=9),SepSun1+41, "")</f>
        <v/>
      </c>
    </row>
    <row r="31" spans="2:51" ht="19.899999999999999" customHeight="1" x14ac:dyDescent="0.2">
      <c r="B31" s="4"/>
      <c r="C31" s="33"/>
      <c r="D31" s="33"/>
      <c r="E31" s="33"/>
      <c r="F31" s="33"/>
      <c r="G31" s="33"/>
      <c r="H31" s="33"/>
      <c r="I31" s="33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51" ht="19.899999999999999" customHeight="1" x14ac:dyDescent="0.2">
      <c r="B32" s="4"/>
      <c r="C32" s="33"/>
      <c r="D32" s="33"/>
      <c r="E32" s="33"/>
      <c r="F32" s="33"/>
      <c r="G32" s="33"/>
      <c r="H32" s="33"/>
      <c r="I32" s="33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AK32" s="4"/>
      <c r="AS32" s="4"/>
      <c r="AT32" s="4"/>
      <c r="AU32" s="4"/>
      <c r="AV32" s="4"/>
      <c r="AW32" s="4"/>
      <c r="AX32" s="4"/>
      <c r="AY32" s="4"/>
    </row>
    <row r="33" spans="2:59" ht="19.899999999999999" customHeight="1" thickBot="1" x14ac:dyDescent="0.25">
      <c r="B33" s="4"/>
      <c r="C33" s="84" t="s">
        <v>13</v>
      </c>
      <c r="D33" s="84"/>
      <c r="E33" s="84"/>
      <c r="F33" s="84"/>
      <c r="G33" s="84"/>
      <c r="H33" s="84"/>
      <c r="I33" s="84"/>
      <c r="J33" s="31"/>
      <c r="K33" s="84" t="s">
        <v>15</v>
      </c>
      <c r="L33" s="84"/>
      <c r="M33" s="84"/>
      <c r="N33" s="84"/>
      <c r="O33" s="84"/>
      <c r="P33" s="84"/>
      <c r="Q33" s="84"/>
      <c r="R33" s="31"/>
      <c r="S33" s="84" t="s">
        <v>16</v>
      </c>
      <c r="T33" s="84"/>
      <c r="U33" s="84"/>
      <c r="V33" s="84"/>
      <c r="W33" s="84"/>
      <c r="X33" s="84"/>
      <c r="Y33" s="84"/>
      <c r="AK33" s="4"/>
      <c r="AS33" s="4"/>
      <c r="AT33" s="4"/>
      <c r="AU33" s="4"/>
      <c r="AV33" s="4"/>
      <c r="AW33" s="4"/>
      <c r="AX33" s="4"/>
      <c r="AY33" s="4"/>
      <c r="BA33" s="4"/>
      <c r="BB33" s="4"/>
      <c r="BC33" s="4"/>
      <c r="BD33" s="4"/>
      <c r="BE33" s="4"/>
      <c r="BF33" s="4"/>
      <c r="BG33" s="4"/>
    </row>
    <row r="34" spans="2:59" ht="19.899999999999999" customHeight="1" thickBot="1" x14ac:dyDescent="0.25">
      <c r="C34" s="26" t="s">
        <v>0</v>
      </c>
      <c r="D34" s="27" t="s">
        <v>1</v>
      </c>
      <c r="E34" s="27" t="s">
        <v>2</v>
      </c>
      <c r="F34" s="27" t="s">
        <v>3</v>
      </c>
      <c r="G34" s="27" t="s">
        <v>2</v>
      </c>
      <c r="H34" s="27" t="s">
        <v>4</v>
      </c>
      <c r="I34" s="28" t="s">
        <v>0</v>
      </c>
      <c r="J34" s="31"/>
      <c r="K34" s="26" t="s">
        <v>0</v>
      </c>
      <c r="L34" s="27" t="s">
        <v>1</v>
      </c>
      <c r="M34" s="27" t="s">
        <v>2</v>
      </c>
      <c r="N34" s="27" t="s">
        <v>3</v>
      </c>
      <c r="O34" s="27" t="s">
        <v>2</v>
      </c>
      <c r="P34" s="27" t="s">
        <v>4</v>
      </c>
      <c r="Q34" s="28" t="s">
        <v>0</v>
      </c>
      <c r="R34" s="31"/>
      <c r="S34" s="26" t="s">
        <v>0</v>
      </c>
      <c r="T34" s="27" t="s">
        <v>1</v>
      </c>
      <c r="U34" s="27" t="s">
        <v>2</v>
      </c>
      <c r="V34" s="27" t="s">
        <v>3</v>
      </c>
      <c r="W34" s="27" t="s">
        <v>2</v>
      </c>
      <c r="X34" s="27" t="s">
        <v>4</v>
      </c>
      <c r="Y34" s="28" t="s">
        <v>0</v>
      </c>
      <c r="AK34" s="4"/>
      <c r="AS34" s="4"/>
      <c r="AT34" s="4"/>
      <c r="AU34" s="4"/>
      <c r="AV34" s="4"/>
      <c r="AW34" s="4"/>
      <c r="AX34" s="4"/>
      <c r="AY34" s="4"/>
      <c r="BA34" s="4"/>
      <c r="BB34" s="4"/>
      <c r="BC34" s="4"/>
      <c r="BD34" s="4"/>
      <c r="BE34" s="4"/>
      <c r="BF34" s="4"/>
      <c r="BG34" s="4"/>
    </row>
    <row r="35" spans="2:59" ht="19.899999999999999" customHeight="1" x14ac:dyDescent="0.2">
      <c r="C35" s="36" t="str">
        <f>IF(AND(YEAR(OctSun1)=$C$2,MONTH(OctSun1)=10),OctSun1, "")</f>
        <v/>
      </c>
      <c r="D35" s="30" t="str">
        <f>IF(AND(YEAR(OctSun1+1)=$C$2,MONTH(OctSun1+1)=10),OctSun1+1, "")</f>
        <v/>
      </c>
      <c r="E35" s="30" t="str">
        <f>IF(AND(YEAR(OctSun1+2)=$C$2,MONTH(OctSun1+2)=10),OctSun1+2, "")</f>
        <v/>
      </c>
      <c r="F35" s="30">
        <f>IF(AND(YEAR(OctSun1+3)=$C$2,MONTH(OctSun1+3)=10),OctSun1+3, "")</f>
        <v>45931</v>
      </c>
      <c r="G35" s="30">
        <f>IF(AND(YEAR(OctSun1+4)=$C$2,MONTH(OctSun1+4)=10),OctSun1+4, "")</f>
        <v>45932</v>
      </c>
      <c r="H35" s="30">
        <f>IF(AND(YEAR(OctSun1+5)=$C$2,MONTH(OctSun1+5)=10),OctSun1+5, "")</f>
        <v>45933</v>
      </c>
      <c r="I35" s="37">
        <f>IF(AND(YEAR(OctSun1+6)=$C$2,MONTH(OctSun1+6)=10),OctSun1+6, "")</f>
        <v>45934</v>
      </c>
      <c r="J35" s="31"/>
      <c r="K35" s="36" t="str">
        <f>IF(AND(YEAR(NovSun1)=$C$2,MONTH(NovSun1)=11),NovSun1, "")</f>
        <v/>
      </c>
      <c r="L35" s="30" t="str">
        <f>IF(AND(YEAR(NovSun1+1)=$C$2,MONTH(NovSun1+1)=11),NovSun1+1, "")</f>
        <v/>
      </c>
      <c r="M35" s="30" t="str">
        <f>IF(AND(YEAR(NovSun1+2)=$C$2,MONTH(NovSun1+2)=11),NovSun1+2, "")</f>
        <v/>
      </c>
      <c r="N35" s="30" t="str">
        <f>IF(AND(YEAR(NovSun1+3)=$C$2,MONTH(NovSun1+3)=11),NovSun1+3, "")</f>
        <v/>
      </c>
      <c r="O35" s="30" t="str">
        <f>IF(AND(YEAR(NovSun1+4)=$C$2,MONTH(NovSun1+4)=11),NovSun1+4, "")</f>
        <v/>
      </c>
      <c r="P35" s="55" t="str">
        <f>IF(AND(YEAR(NovSun1+5)=$C$2,MONTH(NovSun1+5)=11),NovSun1+5, "")</f>
        <v/>
      </c>
      <c r="Q35" s="37">
        <f>IF(AND(YEAR(NovSun1+6)=$C$2,MONTH(NovSun1+6)=11),NovSun1+6, "")</f>
        <v>45962</v>
      </c>
      <c r="R35" s="31"/>
      <c r="S35" s="36" t="str">
        <f>IF(AND(YEAR(DecSun1)=$C$2,MONTH(DecSun1)=12),DecSun1, "")</f>
        <v/>
      </c>
      <c r="T35" s="30">
        <f>IF(AND(YEAR(DecSun1+1)=$C$2,MONTH(DecSun1+1)=12),DecSun1+1, "")</f>
        <v>45992</v>
      </c>
      <c r="U35" s="80">
        <f>IF(AND(YEAR(DecSun1+2)=$C$2,MONTH(DecSun1+2)=12),DecSun1+2, "")</f>
        <v>45993</v>
      </c>
      <c r="V35" s="81">
        <v>4</v>
      </c>
      <c r="W35" s="80">
        <v>5</v>
      </c>
      <c r="X35" s="30">
        <f>IF(AND(YEAR(DecSun1+5)=$C$2,MONTH(DecSun1+5)=12),DecSun1+5, "")</f>
        <v>45996</v>
      </c>
      <c r="Y35" s="37">
        <f>IF(AND(YEAR(DecSun1+6)=$C$2,MONTH(DecSun1+6)=12),DecSun1+6, "")</f>
        <v>45997</v>
      </c>
    </row>
    <row r="36" spans="2:59" ht="19.899999999999999" customHeight="1" x14ac:dyDescent="0.2">
      <c r="C36" s="36">
        <f>IF(AND(YEAR(OctSun1+7)=$C$2,MONTH(OctSun1+7)=10),OctSun1+7, "")</f>
        <v>45935</v>
      </c>
      <c r="D36" s="30">
        <f>IF(AND(YEAR(OctSun1+8)=$C$2,MONTH(OctSun1+8)=10),OctSun1+8, "")</f>
        <v>45936</v>
      </c>
      <c r="E36" s="30">
        <f>IF(AND(YEAR(OctSun1+9)=$C$2,MONTH(OctSun1+9)=10),OctSun1+9, "")</f>
        <v>45937</v>
      </c>
      <c r="F36" s="30">
        <f>IF(AND(YEAR(OctSun1+10)=$C$2,MONTH(OctSun1+10)=10),OctSun1+10, "")</f>
        <v>45938</v>
      </c>
      <c r="G36" s="30">
        <f>IF(AND(YEAR(OctSun1+11)=$C$2,MONTH(OctSun1+11)=10),OctSun1+11, "")</f>
        <v>45939</v>
      </c>
      <c r="H36" s="30">
        <f>IF(AND(YEAR(OctSun1+12)=$C$2,MONTH(OctSun1+12)=10),OctSun1+12, "")</f>
        <v>45940</v>
      </c>
      <c r="I36" s="37">
        <f>IF(AND(YEAR(OctSun1+13)=$C$2,MONTH(OctSun1+13)=10),OctSun1+13, "")</f>
        <v>45941</v>
      </c>
      <c r="J36" s="31"/>
      <c r="K36" s="36">
        <f>IF(AND(YEAR(NovSun1+7)=$C$2,MONTH(NovSun1+7)=11),NovSun1+7, "")</f>
        <v>45963</v>
      </c>
      <c r="L36" s="56">
        <f>IF(AND(YEAR(NovSun1+8)=$C$2,MONTH(NovSun1+8)=11),NovSun1+8, "")</f>
        <v>45964</v>
      </c>
      <c r="M36" s="30">
        <f>IF(AND(YEAR(NovSun1+9)=$C$2,MONTH(NovSun1+9)=11),NovSun1+9, "")</f>
        <v>45965</v>
      </c>
      <c r="N36" s="30">
        <f>IF(AND(YEAR(NovSun1+10)=$C$2,MONTH(NovSun1+10)=11),NovSun1+10, "")</f>
        <v>45966</v>
      </c>
      <c r="O36" s="30">
        <f>IF(AND(YEAR(NovSun1+11)=$C$2,MONTH(NovSun1+11)=11),NovSun1+11, "")</f>
        <v>45967</v>
      </c>
      <c r="P36" s="30">
        <f>IF(AND(YEAR(NovSun1+12)=$C$2,MONTH(NovSun1+12)=11),NovSun1+12, "")</f>
        <v>45968</v>
      </c>
      <c r="Q36" s="37">
        <f>IF(AND(YEAR(NovSun1+13)=$C$2,MONTH(NovSun1+13)=11),NovSun1+13, "")</f>
        <v>45969</v>
      </c>
      <c r="R36" s="31"/>
      <c r="S36" s="36">
        <f>IF(AND(YEAR(DecSun1+7)=$C$2,MONTH(DecSun1+7)=12),DecSun1+7, "")</f>
        <v>45998</v>
      </c>
      <c r="T36" s="30">
        <f>IF(AND(YEAR(DecSun1+8)=$C$2,MONTH(DecSun1+8)=12),DecSun1+8, "")</f>
        <v>45999</v>
      </c>
      <c r="U36" s="78">
        <f>IF(AND(YEAR(DecSun1+9)=$C$2,MONTH(DecSun1+9)=12),DecSun1+9, "")</f>
        <v>46000</v>
      </c>
      <c r="V36" s="78">
        <f>IF(AND(YEAR(DecSun1+10)=$C$2,MONTH(DecSun1+10)=12),DecSun1+10, "")</f>
        <v>46001</v>
      </c>
      <c r="W36" s="78">
        <f>IF(AND(YEAR(DecSun1+11)=$C$2,MONTH(DecSun1+11)=12),DecSun1+11, "")</f>
        <v>46002</v>
      </c>
      <c r="X36" s="30">
        <f>IF(AND(YEAR(DecSun1+12)=$C$2,MONTH(DecSun1+12)=12),DecSun1+12, "")</f>
        <v>46003</v>
      </c>
      <c r="Y36" s="37">
        <f>IF(AND(YEAR(DecSun1+13)=$C$2,MONTH(DecSun1+13)=12),DecSun1+13, "")</f>
        <v>46004</v>
      </c>
    </row>
    <row r="37" spans="2:59" ht="19.899999999999999" customHeight="1" x14ac:dyDescent="0.2">
      <c r="C37" s="36">
        <f>IF(AND(YEAR(OctSun1+14)=$C$2,MONTH(OctSun1+14)=10),OctSun1+14, "")</f>
        <v>45942</v>
      </c>
      <c r="D37" s="45">
        <f>IF(AND(YEAR(OctSun1+15)=$C$2,MONTH(OctSun1+15)=10),OctSun1+15, "")</f>
        <v>45943</v>
      </c>
      <c r="E37" s="30">
        <f>IF(AND(YEAR(OctSun1+16)=$C$2,MONTH(OctSun1+16)=10),OctSun1+16, "")</f>
        <v>45944</v>
      </c>
      <c r="F37" s="30">
        <f>IF(AND(YEAR(OctSun1+17)=$C$2,MONTH(OctSun1+17)=10),OctSun1+17, "")</f>
        <v>45945</v>
      </c>
      <c r="G37" s="30">
        <f>IF(AND(YEAR(OctSun1+18)=$C$2,MONTH(OctSun1+18)=10),OctSun1+18, "")</f>
        <v>45946</v>
      </c>
      <c r="H37" s="30">
        <f>IF(AND(YEAR(OctSun1+19)=$C$2,MONTH(OctSun1+19)=10),OctSun1+19, "")</f>
        <v>45947</v>
      </c>
      <c r="I37" s="37">
        <f>IF(AND(YEAR(OctSun1+20)=$C$2,MONTH(OctSun1+20)=10),OctSun1+20, "")</f>
        <v>45948</v>
      </c>
      <c r="J37" s="31"/>
      <c r="K37" s="36">
        <f>IF(AND(YEAR(NovSun1+14)=$C$2,MONTH(NovSun1+14)=11),NovSun1+14, "")</f>
        <v>45970</v>
      </c>
      <c r="L37" s="43">
        <f>IF(AND(YEAR(NovSun1+15)=$C$2,MONTH(NovSun1+15)=11),NovSun1+15, "")</f>
        <v>45971</v>
      </c>
      <c r="M37" s="65">
        <f>IF(AND(YEAR(NovSun1+16)=$C$2,MONTH(NovSun1+16)=11),NovSun1+16, "")</f>
        <v>45972</v>
      </c>
      <c r="N37" s="30">
        <f>IF(AND(YEAR(NovSun1+17)=$C$2,MONTH(NovSun1+17)=11),NovSun1+17, "")</f>
        <v>45973</v>
      </c>
      <c r="O37" s="30">
        <f>IF(AND(YEAR(NovSun1+18)=$C$2,MONTH(NovSun1+18)=11),NovSun1+18, "")</f>
        <v>45974</v>
      </c>
      <c r="P37" s="30">
        <f>IF(AND(YEAR(NovSun1+19)=$C$2,MONTH(NovSun1+19)=11),NovSun1+19, "")</f>
        <v>45975</v>
      </c>
      <c r="Q37" s="37">
        <f>IF(AND(YEAR(NovSun1+20)=$C$2,MONTH(NovSun1+20)=11),NovSun1+20, "")</f>
        <v>45976</v>
      </c>
      <c r="R37" s="31"/>
      <c r="S37" s="36">
        <f>IF(AND(YEAR(DecSun1+14)=$C$2,MONTH(DecSun1+14)=12),DecSun1+14, "")</f>
        <v>46005</v>
      </c>
      <c r="T37" s="30">
        <f>IF(AND(YEAR(DecSun1+15)=$C$2,MONTH(DecSun1+15)=12),DecSun1+15, "")</f>
        <v>46006</v>
      </c>
      <c r="U37" s="30">
        <f>IF(AND(YEAR(DecSun1+16)=$C$2,MONTH(DecSun1+16)=12),DecSun1+16, "")</f>
        <v>46007</v>
      </c>
      <c r="V37" s="30">
        <f>IF(AND(YEAR(DecSun1+17)=$C$2,MONTH(DecSun1+17)=12),DecSun1+17, "")</f>
        <v>46008</v>
      </c>
      <c r="W37" s="30">
        <f>IF(AND(YEAR(DecSun1+18)=$C$2,MONTH(DecSun1+18)=12),DecSun1+18, "")</f>
        <v>46009</v>
      </c>
      <c r="X37" s="30">
        <f>IF(AND(YEAR(DecSun1+19)=$C$2,MONTH(DecSun1+19)=12),DecSun1+19, "")</f>
        <v>46010</v>
      </c>
      <c r="Y37" s="37">
        <f>IF(AND(YEAR(DecSun1+20)=$C$2,MONTH(DecSun1+20)=12),DecSun1+20, "")</f>
        <v>46011</v>
      </c>
    </row>
    <row r="38" spans="2:59" ht="19.899999999999999" customHeight="1" x14ac:dyDescent="0.2">
      <c r="C38" s="36">
        <f>IF(AND(YEAR(OctSun1+21)=$C$2,MONTH(OctSun1+21)=10),OctSun1+21, "")</f>
        <v>45949</v>
      </c>
      <c r="D38" s="55">
        <f>IF(AND(YEAR(OctSun1+22)=$C$2,MONTH(OctSun1+22)=10),OctSun1+22, "")</f>
        <v>45950</v>
      </c>
      <c r="E38" s="30">
        <f>IF(AND(YEAR(OctSun1+23)=$C$2,MONTH(OctSun1+23)=10),OctSun1+23, "")</f>
        <v>45951</v>
      </c>
      <c r="F38" s="30">
        <f>IF(AND(YEAR(OctSun1+24)=$C$2,MONTH(OctSun1+24)=10),OctSun1+24, "")</f>
        <v>45952</v>
      </c>
      <c r="G38" s="30">
        <f>IF(AND(YEAR(OctSun1+25)=$C$2,MONTH(OctSun1+25)=10),OctSun1+25, "")</f>
        <v>45953</v>
      </c>
      <c r="H38" s="30">
        <f>IF(AND(YEAR(OctSun1+26)=$C$2,MONTH(OctSun1+26)=10),OctSun1+26, "")</f>
        <v>45954</v>
      </c>
      <c r="I38" s="37">
        <f>IF(AND(YEAR(OctSun1+27)=$C$2,MONTH(OctSun1+27)=10),OctSun1+27, "")</f>
        <v>45955</v>
      </c>
      <c r="J38" s="31"/>
      <c r="K38" s="36">
        <f>IF(AND(YEAR(NovSun1+21)=$C$2,MONTH(NovSun1+21)=11),NovSun1+21, "")</f>
        <v>45977</v>
      </c>
      <c r="L38" s="30">
        <f>IF(AND(YEAR(NovSun1+22)=$C$2,MONTH(NovSun1+22)=11),NovSun1+22, "")</f>
        <v>45978</v>
      </c>
      <c r="M38" s="44">
        <f>IF(AND(YEAR(NovSun1+23)=$C$2,MONTH(NovSun1+23)=11),NovSun1+23, "")</f>
        <v>45979</v>
      </c>
      <c r="N38" s="44">
        <f>IF(AND(YEAR(NovSun1+24)=$C$2,MONTH(NovSun1+24)=11),NovSun1+24, "")</f>
        <v>45980</v>
      </c>
      <c r="O38" s="30">
        <f>IF(AND(YEAR(NovSun1+25)=$C$2,MONTH(NovSun1+25)=11),NovSun1+25, "")</f>
        <v>45981</v>
      </c>
      <c r="P38" s="30">
        <f>IF(AND(YEAR(NovSun1+26)=$C$2,MONTH(NovSun1+26)=11),NovSun1+26, "")</f>
        <v>45982</v>
      </c>
      <c r="Q38" s="37">
        <f>IF(AND(YEAR(NovSun1+27)=$C$2,MONTH(NovSun1+27)=11),NovSun1+27, "")</f>
        <v>45983</v>
      </c>
      <c r="R38" s="31"/>
      <c r="S38" s="36">
        <f>IF(AND(YEAR(DecSun1+21)=$C$2,MONTH(DecSun1+21)=12),DecSun1+21, "")</f>
        <v>46012</v>
      </c>
      <c r="T38" s="30">
        <f>IF(AND(YEAR(DecSun1+22)=$C$2,MONTH(DecSun1+22)=12),DecSun1+22, "")</f>
        <v>46013</v>
      </c>
      <c r="U38" s="30">
        <f>IF(AND(YEAR(DecSun1+23)=$C$2,MONTH(DecSun1+23)=12),DecSun1+23, "")</f>
        <v>46014</v>
      </c>
      <c r="V38" s="43">
        <f>IF(AND(YEAR(DecSun1+24)=$C$2,MONTH(DecSun1+24)=12),DecSun1+24, "")</f>
        <v>46015</v>
      </c>
      <c r="W38" s="30">
        <f>IF(AND(YEAR(DecSun1+25)=$C$2,MONTH(DecSun1+25)=12),DecSun1+25, "")</f>
        <v>46016</v>
      </c>
      <c r="X38" s="30">
        <f>IF(AND(YEAR(DecSun1+26)=$C$2,MONTH(DecSun1+26)=12),DecSun1+26, "")</f>
        <v>46017</v>
      </c>
      <c r="Y38" s="37">
        <f>IF(AND(YEAR(DecSun1+27)=$C$2,MONTH(DecSun1+27)=12),DecSun1+27, "")</f>
        <v>46018</v>
      </c>
      <c r="AL38" s="4"/>
      <c r="AM38" s="4"/>
      <c r="AN38" s="4"/>
      <c r="AO38" s="4"/>
      <c r="AP38" s="4"/>
      <c r="AQ38" s="4"/>
      <c r="AR38" s="4"/>
    </row>
    <row r="39" spans="2:59" ht="19.899999999999999" customHeight="1" x14ac:dyDescent="0.2">
      <c r="C39" s="36">
        <f>IF(AND(YEAR(OctSun1+28)=$C$2,MONTH(OctSun1+28)=10),OctSun1+28, "")</f>
        <v>45956</v>
      </c>
      <c r="D39" s="55">
        <f>IF(AND(YEAR(OctSun1+29)=$C$2,MONTH(OctSun1+29)=10),OctSun1+29, "")</f>
        <v>45957</v>
      </c>
      <c r="E39" s="30">
        <f>IF(AND(YEAR(OctSun1+30)=$C$2,MONTH(OctSun1+30)=10),OctSun1+30, "")</f>
        <v>45958</v>
      </c>
      <c r="F39" s="53">
        <f>IF(AND(YEAR(OctSun1+31)=$C$2,MONTH(OctSun1+31)=10),OctSun1+31, "")</f>
        <v>45959</v>
      </c>
      <c r="G39" s="30">
        <f>IF(AND(YEAR(OctSun1+32)=$C$2,MONTH(OctSun1+32)=10),OctSun1+32, "")</f>
        <v>45960</v>
      </c>
      <c r="H39" s="79">
        <f>IF(AND(YEAR(OctSun1+33)=$C$2,MONTH(OctSun1+33)=10),OctSun1+33, "")</f>
        <v>45961</v>
      </c>
      <c r="I39" s="37" t="str">
        <f>IF(AND(YEAR(OctSun1+34)=$C$2,MONTH(OctSun1+34)=10),OctSun1+34, "")</f>
        <v/>
      </c>
      <c r="J39" s="31"/>
      <c r="K39" s="36">
        <f>IF(AND(YEAR(NovSun1+28)=$C$2,MONTH(NovSun1+28)=11),NovSun1+28, "")</f>
        <v>45984</v>
      </c>
      <c r="L39" s="30">
        <f>IF(AND(YEAR(NovSun1+29)=$C$2,MONTH(NovSun1+29)=11),NovSun1+29, "")</f>
        <v>45985</v>
      </c>
      <c r="M39" s="30">
        <f>IF(AND(YEAR(NovSun1+30)=$C$2,MONTH(NovSun1+30)=11),NovSun1+30, "")</f>
        <v>45986</v>
      </c>
      <c r="N39" s="30">
        <f>IF(AND(YEAR(NovSun1+31)=$C$2,MONTH(NovSun1+31)=11),NovSun1+31, "")</f>
        <v>45987</v>
      </c>
      <c r="O39" s="43">
        <f>IF(AND(YEAR(NovSun1+32)=$C$2,MONTH(NovSun1+32)=11),NovSun1+32, "")</f>
        <v>45988</v>
      </c>
      <c r="P39" s="43">
        <f>IF(AND(YEAR(NovSun1+33)=$C$2,MONTH(NovSun1+33)=11),NovSun1+33, "")</f>
        <v>45989</v>
      </c>
      <c r="Q39" s="37">
        <f>IF(AND(YEAR(NovSun1+34)=$C$2,MONTH(NovSun1+34)=11),NovSun1+34, "")</f>
        <v>45990</v>
      </c>
      <c r="R39" s="31"/>
      <c r="S39" s="36">
        <f>IF(AND(YEAR(DecSun1+28)=$C$2,MONTH(DecSun1+28)=12),DecSun1+28, "")</f>
        <v>46019</v>
      </c>
      <c r="T39" s="30">
        <f>IF(AND(YEAR(DecSun1+29)=$C$2,MONTH(DecSun1+29)=12),DecSun1+29, "")</f>
        <v>46020</v>
      </c>
      <c r="U39" s="30">
        <f>IF(AND(YEAR(DecSun1+30)=$C$2,MONTH(DecSun1+30)=12),DecSun1+30, "")</f>
        <v>46021</v>
      </c>
      <c r="V39" s="30">
        <f>IF(AND(YEAR(DecSun1+31)=$C$2,MONTH(DecSun1+31)=12),DecSun1+31, "")</f>
        <v>46022</v>
      </c>
      <c r="W39" s="30" t="str">
        <f>IF(AND(YEAR(DecSun1+32)=$C$2,MONTH(DecSun1+32)=12),DecSun1+32, "")</f>
        <v/>
      </c>
      <c r="X39" s="30" t="str">
        <f>IF(AND(YEAR(DecSun1+33)=$C$2,MONTH(DecSun1+33)=12),DecSun1+33, "")</f>
        <v/>
      </c>
      <c r="Y39" s="37" t="str">
        <f>IF(AND(YEAR(DecSun1+34)=$C$2,MONTH(DecSun1+34)=12),DecSun1+34, "")</f>
        <v/>
      </c>
    </row>
    <row r="40" spans="2:59" ht="19.899999999999999" customHeight="1" thickBot="1" x14ac:dyDescent="0.25">
      <c r="C40" s="38" t="str">
        <f>IF(AND(YEAR(OctSun1+35)=$C$2,MONTH(OctSun1+35)=10),OctSun1+35, "")</f>
        <v/>
      </c>
      <c r="D40" s="39" t="str">
        <f>IF(AND(YEAR(OctSun1+36)=$C$2,MONTH(OctSun1+36)=10),OctSun1+36, "")</f>
        <v/>
      </c>
      <c r="E40" s="39" t="str">
        <f>IF(AND(YEAR(OctSun1+37)=$C$2,MONTH(OctSun1+37)=10),OctSun1+37, "")</f>
        <v/>
      </c>
      <c r="F40" s="39" t="str">
        <f>IF(AND(YEAR(OctSun1+38)=$C$2,MONTH(OctSun1+38)=10),OctSun1+38, "")</f>
        <v/>
      </c>
      <c r="G40" s="39" t="str">
        <f>IF(AND(YEAR(OctSun1+39)=$C$2,MONTH(OctSun1+39)=10),OctSun1+39, "")</f>
        <v/>
      </c>
      <c r="H40" s="39" t="str">
        <f>IF(AND(YEAR(OctSun1+40)=$C$2,MONTH(OctSun1+40)=10),OctSun1+40, "")</f>
        <v/>
      </c>
      <c r="I40" s="40" t="str">
        <f>IF(AND(YEAR(OctSun1+41)=$C$2,MONTH(OctSun1+41)=10),OctSun1+41, "")</f>
        <v/>
      </c>
      <c r="J40" s="31"/>
      <c r="K40" s="38">
        <f>IF(AND(YEAR(NovSun1+35)=$C$2,MONTH(NovSun1+35)=11),NovSun1+35, "")</f>
        <v>45991</v>
      </c>
      <c r="L40" s="39" t="str">
        <f>IF(AND(YEAR(NovSun1+36)=$C$2,MONTH(NovSun1+36)=11),NovSun1+36, "")</f>
        <v/>
      </c>
      <c r="M40" s="39" t="str">
        <f>IF(AND(YEAR(NovSun1+37)=$C$2,MONTH(NovSun1+37)=11),NovSun1+37, "")</f>
        <v/>
      </c>
      <c r="N40" s="39" t="str">
        <f>IF(AND(YEAR(NovSun1+38)=$C$2,MONTH(NovSun1+38)=11),NovSun1+38, "")</f>
        <v/>
      </c>
      <c r="O40" s="39" t="str">
        <f>IF(AND(YEAR(NovSun1+39)=$C$2,MONTH(NovSun1+39)=11),NovSun1+39, "")</f>
        <v/>
      </c>
      <c r="P40" s="39" t="str">
        <f>IF(AND(YEAR(NovSun1+40)=$C$2,MONTH(NovSun1+40)=11),NovSun1+40, "")</f>
        <v/>
      </c>
      <c r="Q40" s="40" t="str">
        <f>IF(AND(YEAR(NovSun1+41)=$C$2,MONTH(NovSun1+41)=11),NovSun1+41, "")</f>
        <v/>
      </c>
      <c r="R40" s="31"/>
      <c r="S40" s="38" t="str">
        <f>IF(AND(YEAR(DecSun1+35)=$C$2,MONTH(DecSun1+35)=12),DecSun1+35, "")</f>
        <v/>
      </c>
      <c r="T40" s="39" t="str">
        <f>IF(AND(YEAR(DecSun1+36)=$C$2,MONTH(DecSun1+36)=12),DecSun1+36, "")</f>
        <v/>
      </c>
      <c r="U40" s="39" t="str">
        <f>IF(AND(YEAR(DecSun1+37)=$C$2,MONTH(DecSun1+37)=12),DecSun1+37, "")</f>
        <v/>
      </c>
      <c r="V40" s="39" t="str">
        <f>IF(AND(YEAR(DecSun1+38)=$C$2,MONTH(DecSun1+38)=12),DecSun1+38, "")</f>
        <v/>
      </c>
      <c r="W40" s="39" t="str">
        <f>IF(AND(YEAR(DecSun1+39)=$C$2,MONTH(DecSun1+39)=12),DecSun1+39, "")</f>
        <v/>
      </c>
      <c r="X40" s="39" t="str">
        <f>IF(AND(YEAR(DecSun1+40)=$C$2,MONTH(DecSun1+40)=12),DecSun1+40, "")</f>
        <v/>
      </c>
      <c r="Y40" s="40" t="str">
        <f>IF(AND(YEAR(DecSun1+41)=$C$2,MONTH(DecSun1+41)=12),DecSun1+41, "")</f>
        <v/>
      </c>
    </row>
    <row r="43" spans="2:59" ht="15" x14ac:dyDescent="0.25">
      <c r="C43" s="7" t="s">
        <v>30</v>
      </c>
      <c r="D43" s="8"/>
      <c r="E43" s="8"/>
      <c r="F43" s="8"/>
      <c r="G43" s="8"/>
      <c r="H43" s="8"/>
      <c r="I43" s="9"/>
      <c r="J43" s="9"/>
      <c r="K43" s="9"/>
      <c r="L43" s="9"/>
      <c r="M43" s="9"/>
      <c r="N43" s="9"/>
      <c r="O43" s="10"/>
      <c r="P43" s="10"/>
      <c r="Q43" s="82" t="s">
        <v>17</v>
      </c>
      <c r="R43" s="82"/>
      <c r="S43" s="82"/>
      <c r="T43" s="82"/>
      <c r="U43" s="82"/>
      <c r="V43" s="82"/>
      <c r="W43" s="82"/>
      <c r="X43" s="82"/>
      <c r="Y43" s="83"/>
      <c r="Z43" s="11"/>
    </row>
    <row r="44" spans="2:59" ht="15" x14ac:dyDescent="0.25">
      <c r="C44" s="12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  <c r="P44" s="10"/>
      <c r="Q44" s="13" t="s">
        <v>18</v>
      </c>
      <c r="R44" s="13"/>
      <c r="S44" s="13"/>
      <c r="T44" s="13"/>
      <c r="U44" s="13"/>
      <c r="V44" s="13"/>
      <c r="W44" s="13"/>
      <c r="X44" s="13"/>
      <c r="Y44" s="66"/>
      <c r="Z44" s="13"/>
    </row>
    <row r="45" spans="2:59" ht="15" x14ac:dyDescent="0.25">
      <c r="C45" s="12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  <c r="P45" s="10"/>
      <c r="Q45" s="14" t="s">
        <v>19</v>
      </c>
      <c r="R45" s="14"/>
      <c r="S45" s="14"/>
      <c r="T45" s="14"/>
      <c r="U45" s="14"/>
      <c r="V45" s="14"/>
      <c r="W45" s="14"/>
      <c r="X45" s="14"/>
      <c r="Y45" s="67"/>
      <c r="Z45" s="14"/>
    </row>
    <row r="46" spans="2:59" ht="15" x14ac:dyDescent="0.25">
      <c r="C46" s="12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10"/>
      <c r="Q46" s="68" t="s">
        <v>20</v>
      </c>
      <c r="R46" s="68"/>
      <c r="S46" s="68"/>
      <c r="T46" s="68"/>
      <c r="U46" s="68"/>
      <c r="V46" s="68"/>
      <c r="W46" s="68"/>
      <c r="X46" s="68"/>
      <c r="Y46" s="69"/>
      <c r="Z46" s="15"/>
    </row>
    <row r="47" spans="2:59" ht="15" x14ac:dyDescent="0.25">
      <c r="C47" s="12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/>
      <c r="P47" s="10"/>
      <c r="Q47" s="70" t="s">
        <v>21</v>
      </c>
      <c r="R47" s="70"/>
      <c r="S47" s="70"/>
      <c r="T47" s="70"/>
      <c r="U47" s="70"/>
      <c r="V47" s="70"/>
      <c r="W47" s="70"/>
      <c r="X47" s="70"/>
      <c r="Y47" s="71"/>
      <c r="Z47" s="16"/>
    </row>
    <row r="48" spans="2:59" ht="15" x14ac:dyDescent="0.25">
      <c r="C48" s="12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72" t="s">
        <v>22</v>
      </c>
      <c r="R48" s="72"/>
      <c r="S48" s="72"/>
      <c r="T48" s="72"/>
      <c r="U48" s="72"/>
      <c r="V48" s="72"/>
      <c r="W48" s="72"/>
      <c r="X48" s="72"/>
      <c r="Y48" s="73"/>
      <c r="Z48" s="17"/>
    </row>
    <row r="49" spans="3:26" ht="15" x14ac:dyDescent="0.25">
      <c r="C49" s="12"/>
      <c r="D49" s="9"/>
      <c r="E49" s="9"/>
      <c r="F49" s="9"/>
      <c r="G49" s="9"/>
      <c r="H49" s="9"/>
      <c r="I49" s="9"/>
      <c r="J49" s="9"/>
      <c r="K49" s="9"/>
      <c r="L49" s="9"/>
      <c r="M49" s="10"/>
      <c r="N49" s="10"/>
      <c r="O49" s="10"/>
      <c r="P49" s="10"/>
      <c r="Q49" s="19" t="s">
        <v>23</v>
      </c>
      <c r="R49" s="19"/>
      <c r="S49" s="19"/>
      <c r="T49" s="19"/>
      <c r="U49" s="19"/>
      <c r="V49" s="19"/>
      <c r="W49" s="19"/>
      <c r="X49" s="19"/>
      <c r="Y49" s="74"/>
      <c r="Z49" s="18"/>
    </row>
    <row r="50" spans="3:26" ht="15" x14ac:dyDescent="0.2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2" t="s">
        <v>25</v>
      </c>
      <c r="R50" s="23"/>
      <c r="S50" s="23"/>
      <c r="T50" s="23"/>
      <c r="U50" s="23"/>
      <c r="V50" s="23"/>
      <c r="W50" s="23"/>
      <c r="X50" s="23"/>
      <c r="Y50" s="24"/>
      <c r="Z50" s="19"/>
    </row>
    <row r="51" spans="3:26" ht="15" x14ac:dyDescent="0.25"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46" t="s">
        <v>26</v>
      </c>
      <c r="R51" s="47"/>
      <c r="S51" s="47"/>
      <c r="T51" s="47"/>
      <c r="U51" s="47"/>
      <c r="V51" s="47"/>
      <c r="W51" s="47"/>
      <c r="X51" s="47"/>
      <c r="Y51" s="75"/>
    </row>
    <row r="52" spans="3:26" ht="15" x14ac:dyDescent="0.25">
      <c r="C52" s="9" t="s">
        <v>24</v>
      </c>
      <c r="D52" s="9"/>
      <c r="E52" s="9"/>
      <c r="F52" s="9"/>
      <c r="G52" s="9"/>
      <c r="H52" s="9" t="s">
        <v>29</v>
      </c>
      <c r="I52" s="9"/>
      <c r="J52" s="9"/>
      <c r="K52" s="9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25"/>
    </row>
    <row r="53" spans="3:26" x14ac:dyDescent="0.2">
      <c r="C53" s="41" t="s">
        <v>27</v>
      </c>
      <c r="D53" s="10"/>
      <c r="E53" s="10"/>
      <c r="F53" s="64" t="s">
        <v>31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3:26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Z54" s="10"/>
    </row>
  </sheetData>
  <mergeCells count="15">
    <mergeCell ref="C2:Y2"/>
    <mergeCell ref="C4:Y4"/>
    <mergeCell ref="C5:I5"/>
    <mergeCell ref="C14:I14"/>
    <mergeCell ref="C23:I23"/>
    <mergeCell ref="C33:I33"/>
    <mergeCell ref="K33:Q33"/>
    <mergeCell ref="K23:Q23"/>
    <mergeCell ref="K14:Q14"/>
    <mergeCell ref="K5:Q5"/>
    <mergeCell ref="Q43:Y43"/>
    <mergeCell ref="S5:Y5"/>
    <mergeCell ref="S14:Y14"/>
    <mergeCell ref="S23:Y23"/>
    <mergeCell ref="S33:Y33"/>
  </mergeCells>
  <phoneticPr fontId="1" type="noConversion"/>
  <dataValidations count="1">
    <dataValidation type="whole" allowBlank="1" showInputMessage="1" showErrorMessage="1" sqref="C2" xr:uid="{00000000-0002-0000-0000-000000000000}">
      <formula1>1900</formula1>
      <formula2>9999</formula2>
    </dataValidation>
  </dataValidations>
  <printOptions horizontalCentered="1" verticalCentered="1"/>
  <pageMargins left="0.5" right="0.5" top="0.5" bottom="0.5" header="0.5" footer="0.5"/>
  <pageSetup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Button to select the year">
                <anchor moveWithCells="1">
                  <from>
                    <xdr:col>20</xdr:col>
                    <xdr:colOff>47625</xdr:colOff>
                    <xdr:row>1</xdr:row>
                    <xdr:rowOff>85725</xdr:rowOff>
                  </from>
                  <to>
                    <xdr:col>20</xdr:col>
                    <xdr:colOff>314325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F49043176C23438E567DA30B82E99E" ma:contentTypeVersion="2" ma:contentTypeDescription="Create a new document." ma:contentTypeScope="" ma:versionID="cb076b36bc92c32d2f0d864b578692f2">
  <xsd:schema xmlns:xsd="http://www.w3.org/2001/XMLSchema" xmlns:xs="http://www.w3.org/2001/XMLSchema" xmlns:p="http://schemas.microsoft.com/office/2006/metadata/properties" xmlns:ns1="http://schemas.microsoft.com/sharepoint/v3" xmlns:ns2="97863827-5b6a-4200-a971-f0b8232253f0" targetNamespace="http://schemas.microsoft.com/office/2006/metadata/properties" ma:root="true" ma:fieldsID="40e8baf9e352ce76908fe892e1ba0939" ns1:_="" ns2:_="">
    <xsd:import namespace="http://schemas.microsoft.com/sharepoint/v3"/>
    <xsd:import namespace="97863827-5b6a-4200-a971-f0b8232253f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63827-5b6a-4200-a971-f0b8232253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4A8861-CD2A-4660-AB61-796C85EECCDD}"/>
</file>

<file path=customXml/itemProps2.xml><?xml version="1.0" encoding="utf-8"?>
<ds:datastoreItem xmlns:ds="http://schemas.openxmlformats.org/officeDocument/2006/customXml" ds:itemID="{8347B0E3-AFAE-489E-AF54-4F5C36B54D3E}"/>
</file>

<file path=customXml/itemProps3.xml><?xml version="1.0" encoding="utf-8"?>
<ds:datastoreItem xmlns:ds="http://schemas.openxmlformats.org/officeDocument/2006/customXml" ds:itemID="{E004572B-9CE0-4E72-84B1-91B183BAB5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Marshall</dc:creator>
  <cp:lastModifiedBy>WARBURTON Denise * OPRD</cp:lastModifiedBy>
  <cp:lastPrinted>2024-01-23T14:55:15Z</cp:lastPrinted>
  <dcterms:created xsi:type="dcterms:W3CDTF">2011-12-01T00:19:55Z</dcterms:created>
  <dcterms:modified xsi:type="dcterms:W3CDTF">2024-11-15T20:54:11Z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0x0101002CF49043176C23438E567DA30B82E99E</vt:lpwstr>
  </property>
  <property fmtid="{D5CDD505-2E9C-101B-9397-08002B2CF9AE}" pid="3" name="ImageGenCounter">
    <vt:lpwstr>0</vt:lpwstr>
  </property>
  <property fmtid="{D5CDD505-2E9C-101B-9397-08002B2CF9AE}" pid="4" name="APTrustLevel">
    <vt:r8>1</vt:r8>
  </property>
  <property fmtid="{D5CDD505-2E9C-101B-9397-08002B2CF9AE}" pid="5" name="ViolationReportStatus">
    <vt:lpwstr>None</vt:lpwstr>
  </property>
  <property fmtid="{D5CDD505-2E9C-101B-9397-08002B2CF9AE}" pid="6" name="ImageGenStatus">
    <vt:lpwstr>0</vt:lpwstr>
  </property>
  <property fmtid="{D5CDD505-2E9C-101B-9397-08002B2CF9AE}" pid="7" name="Applications">
    <vt:lpwstr>79;#tpl120;#405;#zxl140;#23;#zxl120</vt:lpwstr>
  </property>
  <property fmtid="{D5CDD505-2E9C-101B-9397-08002B2CF9AE}" pid="8" name="PolicheckCounter">
    <vt:lpwstr>0</vt:lpwstr>
  </property>
  <property fmtid="{D5CDD505-2E9C-101B-9397-08002B2CF9AE}" pid="9" name="PolicheckStatus">
    <vt:lpwstr>0</vt:lpwstr>
  </property>
  <property fmtid="{D5CDD505-2E9C-101B-9397-08002B2CF9AE}" pid="10" name="InternalTags">
    <vt:lpwstr/>
  </property>
  <property fmtid="{D5CDD505-2E9C-101B-9397-08002B2CF9AE}" pid="11" name="FeatureTags">
    <vt:lpwstr/>
  </property>
  <property fmtid="{D5CDD505-2E9C-101B-9397-08002B2CF9AE}" pid="12" name="LocalizationTags">
    <vt:lpwstr/>
  </property>
  <property fmtid="{D5CDD505-2E9C-101B-9397-08002B2CF9AE}" pid="13" name="CampaignTags">
    <vt:lpwstr/>
  </property>
  <property fmtid="{D5CDD505-2E9C-101B-9397-08002B2CF9AE}" pid="14" name="ScenarioTags">
    <vt:lpwstr/>
  </property>
  <property fmtid="{D5CDD505-2E9C-101B-9397-08002B2CF9AE}" pid="15" name="MSIP_Label_09b73270-2993-4076-be47-9c78f42a1e84_Enabled">
    <vt:lpwstr>true</vt:lpwstr>
  </property>
  <property fmtid="{D5CDD505-2E9C-101B-9397-08002B2CF9AE}" pid="16" name="MSIP_Label_09b73270-2993-4076-be47-9c78f42a1e84_SetDate">
    <vt:lpwstr>2023-11-17T16:35:22Z</vt:lpwstr>
  </property>
  <property fmtid="{D5CDD505-2E9C-101B-9397-08002B2CF9AE}" pid="17" name="MSIP_Label_09b73270-2993-4076-be47-9c78f42a1e84_Method">
    <vt:lpwstr>Privileged</vt:lpwstr>
  </property>
  <property fmtid="{D5CDD505-2E9C-101B-9397-08002B2CF9AE}" pid="18" name="MSIP_Label_09b73270-2993-4076-be47-9c78f42a1e84_Name">
    <vt:lpwstr>Level 1 - Published (Items)</vt:lpwstr>
  </property>
  <property fmtid="{D5CDD505-2E9C-101B-9397-08002B2CF9AE}" pid="19" name="MSIP_Label_09b73270-2993-4076-be47-9c78f42a1e84_SiteId">
    <vt:lpwstr>aa3f6932-fa7c-47b4-a0ce-a598cad161cf</vt:lpwstr>
  </property>
  <property fmtid="{D5CDD505-2E9C-101B-9397-08002B2CF9AE}" pid="20" name="MSIP_Label_09b73270-2993-4076-be47-9c78f42a1e84_ActionId">
    <vt:lpwstr>d4ffc2a2-e12f-4dfa-b2ee-976406a711a0</vt:lpwstr>
  </property>
  <property fmtid="{D5CDD505-2E9C-101B-9397-08002B2CF9AE}" pid="21" name="MSIP_Label_09b73270-2993-4076-be47-9c78f42a1e84_ContentBits">
    <vt:lpwstr>0</vt:lpwstr>
  </property>
</Properties>
</file>