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74189638-72DB-481E-BBEC-6515BE9FA000}" xr6:coauthVersionLast="47" xr6:coauthVersionMax="47" xr10:uidLastSave="{00000000-0000-0000-0000-000000000000}"/>
  <bookViews>
    <workbookView xWindow="-110" yWindow="-110" windowWidth="19420" windowHeight="10420" tabRatio="918" xr2:uid="{00000000-000D-0000-FFFF-FFFF00000000}"/>
  </bookViews>
  <sheets>
    <sheet name="Index" sheetId="104" r:id="rId1"/>
    <sheet name="THCE_Statewide" sheetId="5" r:id="rId2"/>
    <sheet name="THCE_Comm" sheetId="71" r:id="rId3"/>
    <sheet name="THCE_Mcare" sheetId="69" r:id="rId4"/>
    <sheet name="THCE_Maid" sheetId="70" r:id="rId5"/>
    <sheet name="THCE_NCPHI" sheetId="9" r:id="rId6"/>
    <sheet name="THCE_Other" sheetId="10" r:id="rId7"/>
    <sheet name="TME_StatewideServCat" sheetId="91" r:id="rId8"/>
    <sheet name="TME_Comm_ServCat" sheetId="52" r:id="rId9"/>
    <sheet name="TME_Mcare_ServCat" sheetId="81" r:id="rId10"/>
    <sheet name="TME_Maid_ServCat" sheetId="80" r:id="rId11"/>
    <sheet name="TME_Payer" sheetId="100" r:id="rId12"/>
    <sheet name="TME_Provider" sheetId="101" r:id="rId13"/>
    <sheet name="Comm MM Full vs Partial" sheetId="102" r:id="rId14"/>
    <sheet name="Entity Name" sheetId="103" r:id="rId15"/>
  </sheets>
  <externalReferences>
    <externalReference r:id="rId16"/>
    <externalReference r:id="rId17"/>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71" l="1"/>
  <c r="D9" i="69"/>
  <c r="C9" i="69"/>
  <c r="D8" i="69"/>
  <c r="C8" i="69"/>
  <c r="D7" i="69"/>
  <c r="C7" i="69"/>
  <c r="C21" i="70"/>
  <c r="D20" i="70"/>
  <c r="C20" i="70"/>
  <c r="D19" i="70"/>
  <c r="C19" i="70"/>
  <c r="D18" i="70"/>
  <c r="C18" i="70"/>
  <c r="D10" i="70"/>
  <c r="C10" i="70"/>
  <c r="D9" i="70"/>
  <c r="C9" i="70"/>
  <c r="D8" i="70"/>
  <c r="C8" i="70"/>
  <c r="D7" i="70"/>
  <c r="C7" i="70"/>
  <c r="J8" i="52"/>
  <c r="J9" i="52"/>
  <c r="J10" i="52"/>
  <c r="J11" i="52"/>
  <c r="J12" i="52"/>
  <c r="J13" i="52"/>
  <c r="J14" i="52"/>
  <c r="J15" i="52"/>
  <c r="J16" i="52"/>
  <c r="J17" i="52"/>
  <c r="J18" i="52"/>
  <c r="J19" i="52"/>
  <c r="J20" i="52"/>
  <c r="J21" i="52"/>
  <c r="J22" i="52"/>
  <c r="J23" i="52"/>
  <c r="J24" i="52"/>
  <c r="J25" i="52"/>
  <c r="P8" i="52"/>
  <c r="P9" i="52"/>
  <c r="P10" i="52"/>
  <c r="P11" i="52"/>
  <c r="P12" i="52"/>
  <c r="P13" i="52"/>
  <c r="P14" i="52"/>
  <c r="P15" i="52"/>
  <c r="P16" i="52"/>
  <c r="P17" i="52"/>
  <c r="P18" i="52"/>
  <c r="P19" i="52"/>
  <c r="P20" i="52"/>
  <c r="P21" i="52"/>
  <c r="P22" i="52"/>
  <c r="P23" i="52"/>
  <c r="P24" i="52"/>
  <c r="P25" i="52"/>
  <c r="C26" i="102"/>
  <c r="B26" i="102"/>
  <c r="C17" i="102"/>
  <c r="B17" i="102"/>
  <c r="C15" i="5"/>
  <c r="B15" i="5"/>
  <c r="E10" i="10" l="1"/>
  <c r="E11" i="10"/>
  <c r="D16" i="10" l="1"/>
  <c r="C16" i="10"/>
  <c r="D7" i="10"/>
  <c r="C7" i="10"/>
  <c r="D17" i="10"/>
  <c r="C17" i="10"/>
  <c r="D8" i="10"/>
  <c r="C8" i="10"/>
  <c r="H20" i="81" l="1"/>
  <c r="I20" i="81"/>
  <c r="G7" i="102"/>
  <c r="F7" i="102"/>
  <c r="A30" i="70" l="1"/>
  <c r="D16" i="71"/>
  <c r="C16" i="71"/>
  <c r="D15" i="71"/>
  <c r="C15" i="71"/>
  <c r="V9" i="80"/>
  <c r="D18" i="69"/>
  <c r="C18" i="69"/>
  <c r="D17" i="69"/>
  <c r="C17" i="69"/>
  <c r="E12" i="70" l="1"/>
  <c r="B9" i="52"/>
  <c r="J9" i="80"/>
  <c r="C9" i="52"/>
  <c r="D19" i="69"/>
  <c r="C19" i="69"/>
  <c r="P9" i="80"/>
  <c r="B9" i="80"/>
  <c r="B9" i="81"/>
  <c r="C9" i="81"/>
  <c r="P9" i="81"/>
  <c r="V9" i="81"/>
  <c r="D9" i="52" l="1"/>
  <c r="D9" i="81"/>
  <c r="T39" i="80" l="1"/>
  <c r="D11" i="69" l="1"/>
  <c r="C11" i="69"/>
  <c r="C12" i="69" s="1"/>
  <c r="E11" i="69" l="1"/>
  <c r="D11" i="70"/>
  <c r="C11" i="70"/>
  <c r="C13" i="70" s="1"/>
  <c r="C21" i="80" l="1"/>
  <c r="T48" i="80"/>
  <c r="T47" i="80"/>
  <c r="T46" i="80"/>
  <c r="T45" i="80"/>
  <c r="T44" i="80"/>
  <c r="T43" i="80"/>
  <c r="T42" i="80"/>
  <c r="T41" i="80"/>
  <c r="T40" i="80"/>
  <c r="U39" i="80"/>
  <c r="T38" i="80"/>
  <c r="T37" i="80"/>
  <c r="T36" i="80"/>
  <c r="T35" i="80"/>
  <c r="T34" i="80"/>
  <c r="T33" i="80"/>
  <c r="C9" i="80"/>
  <c r="D9" i="80" s="1"/>
  <c r="B27" i="5"/>
  <c r="C14" i="5"/>
  <c r="B14" i="5"/>
  <c r="B40" i="5" s="1"/>
  <c r="U47" i="80" l="1"/>
  <c r="U45" i="80"/>
  <c r="U33" i="80"/>
  <c r="U37" i="80"/>
  <c r="U40" i="80"/>
  <c r="U46" i="80"/>
  <c r="U35" i="80"/>
  <c r="U42" i="80"/>
  <c r="U44" i="80"/>
  <c r="U48" i="80"/>
  <c r="C19" i="80"/>
  <c r="U34" i="80"/>
  <c r="U36" i="80"/>
  <c r="U38" i="80"/>
  <c r="U41" i="80"/>
  <c r="U43" i="80"/>
  <c r="C20" i="80"/>
  <c r="V20" i="80"/>
  <c r="N26" i="80"/>
  <c r="V25" i="80"/>
  <c r="V24" i="80"/>
  <c r="V22" i="80"/>
  <c r="V21" i="80"/>
  <c r="V18" i="80"/>
  <c r="V17" i="80"/>
  <c r="V8" i="80"/>
  <c r="C10" i="80"/>
  <c r="B13" i="80"/>
  <c r="C16" i="80"/>
  <c r="C15" i="80"/>
  <c r="C14" i="80"/>
  <c r="C13" i="80"/>
  <c r="C12" i="80"/>
  <c r="C11" i="80"/>
  <c r="B16" i="80"/>
  <c r="B15" i="80"/>
  <c r="B14" i="80"/>
  <c r="B12" i="80"/>
  <c r="B11" i="80"/>
  <c r="V16" i="80"/>
  <c r="V14" i="80"/>
  <c r="V13" i="80"/>
  <c r="V12" i="80"/>
  <c r="B10" i="80"/>
  <c r="C8" i="80"/>
  <c r="B8" i="80"/>
  <c r="T27" i="80"/>
  <c r="T50" i="80" s="1"/>
  <c r="U26" i="80"/>
  <c r="U49" i="80" s="1"/>
  <c r="V10" i="80"/>
  <c r="T26" i="80"/>
  <c r="T49" i="80" s="1"/>
  <c r="T28" i="80"/>
  <c r="T51" i="80" s="1"/>
  <c r="U27" i="80"/>
  <c r="U50" i="80" s="1"/>
  <c r="U28" i="80"/>
  <c r="U51" i="80" s="1"/>
  <c r="V11" i="80"/>
  <c r="V15" i="80"/>
  <c r="V19" i="80"/>
  <c r="V23" i="80"/>
  <c r="E18" i="10"/>
  <c r="D14" i="5"/>
  <c r="D26" i="10"/>
  <c r="C27" i="5"/>
  <c r="D27" i="5" s="1"/>
  <c r="C26" i="10"/>
  <c r="E26" i="10" l="1"/>
  <c r="U53" i="80"/>
  <c r="U52" i="80"/>
  <c r="U54" i="80"/>
  <c r="U55" i="80"/>
  <c r="D18" i="80"/>
  <c r="T55" i="80"/>
  <c r="T54" i="80"/>
  <c r="T52" i="80"/>
  <c r="T53" i="80"/>
  <c r="V41" i="80"/>
  <c r="V45" i="80"/>
  <c r="V48" i="80"/>
  <c r="V47" i="80"/>
  <c r="V44" i="80"/>
  <c r="V46" i="80"/>
  <c r="V40" i="80"/>
  <c r="V39" i="80"/>
  <c r="V38" i="80"/>
  <c r="V37" i="80"/>
  <c r="V35" i="80"/>
  <c r="V36" i="80"/>
  <c r="V42" i="80"/>
  <c r="V34" i="80"/>
  <c r="V43" i="80"/>
  <c r="V33" i="80"/>
  <c r="V26" i="80"/>
  <c r="V49" i="80"/>
  <c r="V27" i="80"/>
  <c r="V28" i="80"/>
  <c r="V51" i="80"/>
  <c r="C40" i="5"/>
  <c r="V52" i="80" l="1"/>
  <c r="V50" i="80"/>
  <c r="V55" i="80"/>
  <c r="V54" i="80"/>
  <c r="V53" i="80"/>
  <c r="C31" i="9" l="1"/>
  <c r="B10" i="81"/>
  <c r="J21" i="81"/>
  <c r="C30" i="70"/>
  <c r="D30" i="70"/>
  <c r="D10" i="69"/>
  <c r="C26" i="70" l="1"/>
  <c r="E30" i="70"/>
  <c r="C10" i="69"/>
  <c r="E10" i="69" s="1"/>
  <c r="T33" i="81"/>
  <c r="C8" i="81"/>
  <c r="U34" i="81"/>
  <c r="U35" i="81"/>
  <c r="E10" i="70"/>
  <c r="B23" i="5"/>
  <c r="C23" i="9"/>
  <c r="C34" i="9" s="1"/>
  <c r="C28" i="69"/>
  <c r="D23" i="9"/>
  <c r="C24" i="5" s="1"/>
  <c r="D28" i="69"/>
  <c r="D28" i="70"/>
  <c r="E18" i="69"/>
  <c r="U33" i="81"/>
  <c r="T34" i="81"/>
  <c r="T36" i="81"/>
  <c r="T40" i="81"/>
  <c r="T44" i="81"/>
  <c r="T48" i="81"/>
  <c r="U36" i="81"/>
  <c r="U38" i="81"/>
  <c r="U40" i="81"/>
  <c r="U42" i="81"/>
  <c r="U44" i="81"/>
  <c r="U46" i="81"/>
  <c r="U48" i="81"/>
  <c r="T38" i="81"/>
  <c r="T42" i="81"/>
  <c r="T46" i="81"/>
  <c r="U37" i="81"/>
  <c r="U39" i="81"/>
  <c r="U41" i="81"/>
  <c r="U43" i="81"/>
  <c r="U45" i="81"/>
  <c r="T35" i="81"/>
  <c r="T39" i="81"/>
  <c r="T43" i="81"/>
  <c r="T37" i="81"/>
  <c r="T41" i="81"/>
  <c r="T45" i="81"/>
  <c r="B11" i="81"/>
  <c r="B15" i="81"/>
  <c r="B19" i="81"/>
  <c r="B23" i="81"/>
  <c r="C12" i="81"/>
  <c r="C16" i="81"/>
  <c r="C18" i="81"/>
  <c r="C20" i="81"/>
  <c r="C22" i="81"/>
  <c r="U47" i="81"/>
  <c r="B12" i="81"/>
  <c r="B16" i="81"/>
  <c r="B20" i="81"/>
  <c r="T47" i="81"/>
  <c r="B13" i="81"/>
  <c r="B17" i="81"/>
  <c r="B21" i="81"/>
  <c r="B25" i="81"/>
  <c r="C11" i="81"/>
  <c r="C13" i="81"/>
  <c r="C15" i="81"/>
  <c r="C17" i="81"/>
  <c r="C19" i="81"/>
  <c r="C21" i="81"/>
  <c r="C23" i="81"/>
  <c r="C25" i="81"/>
  <c r="B8" i="81"/>
  <c r="B14" i="81"/>
  <c r="B18" i="81"/>
  <c r="B22" i="81"/>
  <c r="C14" i="81"/>
  <c r="B24" i="81"/>
  <c r="C24" i="81"/>
  <c r="T27" i="81"/>
  <c r="C10" i="81"/>
  <c r="J12" i="81"/>
  <c r="C33" i="9"/>
  <c r="D30" i="9"/>
  <c r="D33" i="9"/>
  <c r="D32" i="9"/>
  <c r="C32" i="9"/>
  <c r="C30" i="9"/>
  <c r="J11" i="81"/>
  <c r="J19" i="81"/>
  <c r="J15" i="81"/>
  <c r="J14" i="81"/>
  <c r="J16" i="81"/>
  <c r="J13" i="81"/>
  <c r="J10" i="81"/>
  <c r="J18" i="81"/>
  <c r="J9" i="81"/>
  <c r="J17" i="81"/>
  <c r="V23" i="81"/>
  <c r="V18" i="81"/>
  <c r="V25" i="81"/>
  <c r="V24" i="81"/>
  <c r="T28" i="81"/>
  <c r="T51" i="81" s="1"/>
  <c r="V20" i="81"/>
  <c r="V17" i="81"/>
  <c r="V15" i="81"/>
  <c r="V12" i="81"/>
  <c r="V8" i="81"/>
  <c r="V16" i="81"/>
  <c r="V14" i="81"/>
  <c r="V22" i="81"/>
  <c r="V11" i="81"/>
  <c r="V19" i="81"/>
  <c r="T26" i="81"/>
  <c r="T49" i="81" s="1"/>
  <c r="U27" i="81"/>
  <c r="U26" i="81"/>
  <c r="U49" i="81" s="1"/>
  <c r="V13" i="81"/>
  <c r="V21" i="81"/>
  <c r="V10" i="81"/>
  <c r="U28" i="81"/>
  <c r="U51" i="81" s="1"/>
  <c r="C28" i="70"/>
  <c r="E20" i="70"/>
  <c r="D35" i="9"/>
  <c r="D29" i="70" s="1"/>
  <c r="C35" i="9"/>
  <c r="C29" i="70" s="1"/>
  <c r="U50" i="81" l="1"/>
  <c r="U54" i="81" s="1"/>
  <c r="T50" i="81"/>
  <c r="T55" i="81" s="1"/>
  <c r="C26" i="69"/>
  <c r="T52" i="81"/>
  <c r="T53" i="81"/>
  <c r="U53" i="81"/>
  <c r="U52" i="81"/>
  <c r="D14" i="81"/>
  <c r="C48" i="81"/>
  <c r="D16" i="81"/>
  <c r="D21" i="81"/>
  <c r="C46" i="81"/>
  <c r="C45" i="81"/>
  <c r="C44" i="81"/>
  <c r="E29" i="70"/>
  <c r="D34" i="9"/>
  <c r="B24" i="5"/>
  <c r="B39" i="81"/>
  <c r="E28" i="69"/>
  <c r="E28" i="70"/>
  <c r="D29" i="9"/>
  <c r="D17" i="81"/>
  <c r="D20" i="81"/>
  <c r="D13" i="81"/>
  <c r="B43" i="81"/>
  <c r="D19" i="81"/>
  <c r="D11" i="81"/>
  <c r="D22" i="81"/>
  <c r="B26" i="81"/>
  <c r="D18" i="81"/>
  <c r="B46" i="81"/>
  <c r="D8" i="81"/>
  <c r="B38" i="81"/>
  <c r="C27" i="81"/>
  <c r="D15" i="81"/>
  <c r="B41" i="81"/>
  <c r="D12" i="81"/>
  <c r="D25" i="81"/>
  <c r="D23" i="81"/>
  <c r="B45" i="81"/>
  <c r="C40" i="81"/>
  <c r="B48" i="81"/>
  <c r="C41" i="81"/>
  <c r="C38" i="81"/>
  <c r="B44" i="81"/>
  <c r="C39" i="81"/>
  <c r="B42" i="81"/>
  <c r="C37" i="81"/>
  <c r="B37" i="81"/>
  <c r="C36" i="81"/>
  <c r="B40" i="81"/>
  <c r="B35" i="81"/>
  <c r="C29" i="9"/>
  <c r="B10" i="5"/>
  <c r="C42" i="81"/>
  <c r="C34" i="81"/>
  <c r="B36" i="81"/>
  <c r="C43" i="81"/>
  <c r="C35" i="81"/>
  <c r="B34" i="81"/>
  <c r="B47" i="81"/>
  <c r="D24" i="81"/>
  <c r="C47" i="81"/>
  <c r="B28" i="81"/>
  <c r="B51" i="81" s="1"/>
  <c r="C28" i="81"/>
  <c r="C51" i="81" s="1"/>
  <c r="C26" i="81"/>
  <c r="C33" i="81"/>
  <c r="B33" i="81"/>
  <c r="D10" i="81"/>
  <c r="B27" i="81"/>
  <c r="J20" i="81"/>
  <c r="V27" i="81"/>
  <c r="V26" i="81"/>
  <c r="V28" i="81"/>
  <c r="E33" i="9"/>
  <c r="E30" i="9"/>
  <c r="E20" i="9"/>
  <c r="E32" i="9"/>
  <c r="E24" i="9"/>
  <c r="E19" i="9"/>
  <c r="E18" i="9"/>
  <c r="E22" i="9"/>
  <c r="D31" i="9"/>
  <c r="U55" i="81" l="1"/>
  <c r="V55" i="81" s="1"/>
  <c r="T54" i="81"/>
  <c r="V54" i="81" s="1"/>
  <c r="D48" i="81"/>
  <c r="D26" i="69"/>
  <c r="E26" i="69" s="1"/>
  <c r="E8" i="69"/>
  <c r="V52" i="81"/>
  <c r="V53" i="81"/>
  <c r="B49" i="81"/>
  <c r="C49" i="81"/>
  <c r="C50" i="81"/>
  <c r="B50" i="81"/>
  <c r="E29" i="9"/>
  <c r="D45" i="81"/>
  <c r="D44" i="81"/>
  <c r="D46" i="81"/>
  <c r="B36" i="5"/>
  <c r="D9" i="71"/>
  <c r="E9" i="71" s="1"/>
  <c r="D41" i="81"/>
  <c r="D51" i="81"/>
  <c r="D43" i="81"/>
  <c r="D42" i="81"/>
  <c r="D37" i="81"/>
  <c r="D39" i="81"/>
  <c r="D36" i="81"/>
  <c r="D26" i="81"/>
  <c r="D35" i="81"/>
  <c r="D34" i="81"/>
  <c r="D38" i="81"/>
  <c r="D40" i="81"/>
  <c r="D28" i="81"/>
  <c r="D47" i="81"/>
  <c r="D33" i="81"/>
  <c r="E31" i="9"/>
  <c r="E21" i="9"/>
  <c r="D27" i="81"/>
  <c r="E35" i="9"/>
  <c r="E23" i="9"/>
  <c r="E11" i="9"/>
  <c r="E10" i="9"/>
  <c r="E8" i="9"/>
  <c r="E13" i="9"/>
  <c r="E12" i="9"/>
  <c r="E9" i="9"/>
  <c r="D49" i="81" l="1"/>
  <c r="C52" i="81"/>
  <c r="C53" i="81"/>
  <c r="B52" i="81"/>
  <c r="B53" i="81"/>
  <c r="B54" i="81"/>
  <c r="B55" i="81"/>
  <c r="C54" i="81"/>
  <c r="C55" i="81"/>
  <c r="D50" i="81"/>
  <c r="C10" i="5"/>
  <c r="E34" i="9"/>
  <c r="D54" i="81" l="1"/>
  <c r="D53" i="81"/>
  <c r="D52" i="81"/>
  <c r="D55" i="81"/>
  <c r="B8" i="52"/>
  <c r="B8" i="91" l="1"/>
  <c r="H9" i="91"/>
  <c r="N33" i="52"/>
  <c r="H33" i="52"/>
  <c r="V33" i="81"/>
  <c r="P18" i="81"/>
  <c r="P8" i="80"/>
  <c r="P20" i="81"/>
  <c r="P12" i="81"/>
  <c r="P10" i="81"/>
  <c r="P15" i="81"/>
  <c r="P23" i="81"/>
  <c r="N27" i="81"/>
  <c r="P11" i="81"/>
  <c r="P13" i="81"/>
  <c r="P19" i="81"/>
  <c r="P21" i="81"/>
  <c r="P16" i="81"/>
  <c r="P24" i="81"/>
  <c r="P14" i="81"/>
  <c r="N28" i="81"/>
  <c r="N51" i="81" s="1"/>
  <c r="P22" i="81"/>
  <c r="P25" i="81"/>
  <c r="P17" i="81"/>
  <c r="O28" i="81"/>
  <c r="O27" i="81"/>
  <c r="N33" i="81"/>
  <c r="O26" i="81"/>
  <c r="O49" i="81" s="1"/>
  <c r="P8" i="81"/>
  <c r="N26" i="81"/>
  <c r="N49" i="81" s="1"/>
  <c r="O44" i="81"/>
  <c r="O39" i="81"/>
  <c r="O48" i="81"/>
  <c r="O38" i="81"/>
  <c r="O47" i="81"/>
  <c r="O46" i="81"/>
  <c r="O41" i="81"/>
  <c r="O36" i="81"/>
  <c r="O42" i="81"/>
  <c r="O40" i="81"/>
  <c r="O35" i="81"/>
  <c r="O43" i="81"/>
  <c r="N33" i="80"/>
  <c r="N44" i="81"/>
  <c r="N39" i="81"/>
  <c r="N41" i="81"/>
  <c r="N40" i="81"/>
  <c r="N48" i="81"/>
  <c r="N36" i="81"/>
  <c r="N35" i="81"/>
  <c r="N38" i="81"/>
  <c r="N46" i="81"/>
  <c r="J8" i="80"/>
  <c r="H33" i="80"/>
  <c r="N37" i="81"/>
  <c r="N34" i="81"/>
  <c r="O37" i="81"/>
  <c r="N42" i="81"/>
  <c r="O45" i="81"/>
  <c r="O34" i="81"/>
  <c r="N47" i="81"/>
  <c r="N45" i="81"/>
  <c r="O33" i="81"/>
  <c r="N43" i="81"/>
  <c r="C8" i="52"/>
  <c r="I37" i="80"/>
  <c r="I33" i="80"/>
  <c r="H37" i="80"/>
  <c r="I39" i="80"/>
  <c r="H39" i="80"/>
  <c r="I38" i="80"/>
  <c r="H38" i="80"/>
  <c r="I36" i="80"/>
  <c r="H36" i="80"/>
  <c r="I35" i="80"/>
  <c r="H35" i="80"/>
  <c r="I34" i="80"/>
  <c r="H34" i="80"/>
  <c r="N48" i="80"/>
  <c r="O47" i="80"/>
  <c r="N47" i="80"/>
  <c r="O46" i="80"/>
  <c r="N46" i="80"/>
  <c r="O45" i="80"/>
  <c r="N45" i="80"/>
  <c r="O44" i="80"/>
  <c r="N44" i="80"/>
  <c r="O43" i="80"/>
  <c r="N43" i="80"/>
  <c r="O42" i="80"/>
  <c r="N42" i="80"/>
  <c r="O41" i="80"/>
  <c r="N41" i="80"/>
  <c r="O40" i="80"/>
  <c r="N40" i="80"/>
  <c r="N39" i="80"/>
  <c r="O39" i="80"/>
  <c r="O38" i="80"/>
  <c r="N38" i="80"/>
  <c r="O37" i="80"/>
  <c r="N37" i="80"/>
  <c r="O36" i="80"/>
  <c r="N36" i="80"/>
  <c r="O35" i="80"/>
  <c r="N35" i="80"/>
  <c r="N34" i="80"/>
  <c r="O34" i="80"/>
  <c r="O33" i="80"/>
  <c r="O41" i="52"/>
  <c r="I41" i="52"/>
  <c r="O42" i="52"/>
  <c r="N42" i="52"/>
  <c r="I42" i="52"/>
  <c r="H42" i="52"/>
  <c r="D8" i="52" l="1"/>
  <c r="C8" i="91"/>
  <c r="I9" i="91"/>
  <c r="J9" i="91" s="1"/>
  <c r="N50" i="81"/>
  <c r="N55" i="81" s="1"/>
  <c r="N52" i="81"/>
  <c r="N53" i="81"/>
  <c r="H41" i="52"/>
  <c r="N40" i="52"/>
  <c r="H40" i="52"/>
  <c r="N41" i="52"/>
  <c r="H44" i="80"/>
  <c r="B21" i="80"/>
  <c r="D21" i="80" s="1"/>
  <c r="I46" i="80"/>
  <c r="C23" i="80"/>
  <c r="I41" i="80"/>
  <c r="H47" i="80"/>
  <c r="B24" i="80"/>
  <c r="I40" i="80"/>
  <c r="C17" i="80"/>
  <c r="H42" i="80"/>
  <c r="B19" i="80"/>
  <c r="I44" i="80"/>
  <c r="H46" i="80"/>
  <c r="B23" i="80"/>
  <c r="I48" i="80"/>
  <c r="C25" i="80"/>
  <c r="H40" i="80"/>
  <c r="B17" i="80"/>
  <c r="I42" i="80"/>
  <c r="H48" i="80"/>
  <c r="B25" i="80"/>
  <c r="H43" i="80"/>
  <c r="B20" i="80"/>
  <c r="D20" i="80" s="1"/>
  <c r="I45" i="80"/>
  <c r="C22" i="80"/>
  <c r="H41" i="80"/>
  <c r="I43" i="80"/>
  <c r="H45" i="80"/>
  <c r="B22" i="80"/>
  <c r="I47" i="80"/>
  <c r="C24" i="80"/>
  <c r="V47" i="81"/>
  <c r="V35" i="81"/>
  <c r="V40" i="81"/>
  <c r="V46" i="81"/>
  <c r="V51" i="81"/>
  <c r="V49" i="81"/>
  <c r="V42" i="81"/>
  <c r="V36" i="81"/>
  <c r="V41" i="81"/>
  <c r="V43" i="81"/>
  <c r="V34" i="81"/>
  <c r="V50" i="81"/>
  <c r="V44" i="81"/>
  <c r="V39" i="81"/>
  <c r="V45" i="81"/>
  <c r="V48" i="81"/>
  <c r="V38" i="81"/>
  <c r="V37" i="81"/>
  <c r="P38" i="81"/>
  <c r="P27" i="81"/>
  <c r="P28" i="81"/>
  <c r="P47" i="81"/>
  <c r="P35" i="81"/>
  <c r="P36" i="81"/>
  <c r="P44" i="81"/>
  <c r="P48" i="81"/>
  <c r="P26" i="81"/>
  <c r="P43" i="81"/>
  <c r="P46" i="81"/>
  <c r="P41" i="81"/>
  <c r="P39" i="81"/>
  <c r="P40" i="81"/>
  <c r="P42" i="81"/>
  <c r="P34" i="80"/>
  <c r="P37" i="80"/>
  <c r="P45" i="80"/>
  <c r="P33" i="81"/>
  <c r="P43" i="80"/>
  <c r="P38" i="80"/>
  <c r="P46" i="80"/>
  <c r="P39" i="80"/>
  <c r="D8" i="80"/>
  <c r="P35" i="80"/>
  <c r="P41" i="80"/>
  <c r="P36" i="80"/>
  <c r="P44" i="80"/>
  <c r="P47" i="80"/>
  <c r="P42" i="80"/>
  <c r="P40" i="80"/>
  <c r="P25" i="80"/>
  <c r="O48" i="80"/>
  <c r="P48" i="80" s="1"/>
  <c r="P34" i="81"/>
  <c r="P49" i="81"/>
  <c r="O51" i="81"/>
  <c r="P51" i="81" s="1"/>
  <c r="O50" i="81"/>
  <c r="P45" i="81"/>
  <c r="P37" i="81"/>
  <c r="P19" i="80"/>
  <c r="P42" i="52"/>
  <c r="I26" i="80"/>
  <c r="I49" i="80" s="1"/>
  <c r="P22" i="80"/>
  <c r="P20" i="80"/>
  <c r="P21" i="80"/>
  <c r="H27" i="80"/>
  <c r="H50" i="80" s="1"/>
  <c r="H28" i="80"/>
  <c r="H51" i="80" s="1"/>
  <c r="H26" i="80"/>
  <c r="H49" i="80" s="1"/>
  <c r="J18" i="80"/>
  <c r="J38" i="80"/>
  <c r="P24" i="80"/>
  <c r="P23" i="80"/>
  <c r="P18" i="80"/>
  <c r="P33" i="80"/>
  <c r="J39" i="80"/>
  <c r="O28" i="80"/>
  <c r="O51" i="80" s="1"/>
  <c r="N28" i="80"/>
  <c r="N51" i="80" s="1"/>
  <c r="O27" i="80"/>
  <c r="O50" i="80" s="1"/>
  <c r="N27" i="80"/>
  <c r="N50" i="80" s="1"/>
  <c r="O26" i="80"/>
  <c r="O49" i="80" s="1"/>
  <c r="N49" i="80"/>
  <c r="J25" i="80"/>
  <c r="J24" i="80"/>
  <c r="J23" i="80"/>
  <c r="J22" i="80"/>
  <c r="J21" i="80"/>
  <c r="I28" i="80"/>
  <c r="I51" i="80" s="1"/>
  <c r="J19" i="80"/>
  <c r="J20" i="80"/>
  <c r="C18" i="52"/>
  <c r="B18" i="52"/>
  <c r="N54" i="81" l="1"/>
  <c r="C31" i="70"/>
  <c r="B9" i="5"/>
  <c r="B35" i="5" s="1"/>
  <c r="B27" i="80"/>
  <c r="B50" i="80" s="1"/>
  <c r="D19" i="80"/>
  <c r="D13" i="70"/>
  <c r="C9" i="5"/>
  <c r="B26" i="80"/>
  <c r="B49" i="80" s="1"/>
  <c r="C25" i="69"/>
  <c r="I52" i="80"/>
  <c r="I53" i="80"/>
  <c r="N52" i="80"/>
  <c r="N53" i="80"/>
  <c r="O53" i="80"/>
  <c r="O52" i="80"/>
  <c r="H53" i="80"/>
  <c r="H52" i="80"/>
  <c r="O55" i="80"/>
  <c r="O54" i="80"/>
  <c r="H54" i="80"/>
  <c r="H55" i="80"/>
  <c r="N54" i="80"/>
  <c r="N55" i="80"/>
  <c r="O52" i="81"/>
  <c r="P52" i="81" s="1"/>
  <c r="O53" i="81"/>
  <c r="P53" i="81" s="1"/>
  <c r="O55" i="81"/>
  <c r="P55" i="81" s="1"/>
  <c r="O54" i="81"/>
  <c r="P50" i="81"/>
  <c r="D18" i="52"/>
  <c r="J48" i="80"/>
  <c r="J47" i="80"/>
  <c r="J43" i="80"/>
  <c r="J40" i="80"/>
  <c r="J45" i="80"/>
  <c r="J46" i="80"/>
  <c r="J44" i="80"/>
  <c r="H18" i="91"/>
  <c r="I18" i="91"/>
  <c r="J41" i="80"/>
  <c r="B14" i="91"/>
  <c r="C14" i="91"/>
  <c r="B41" i="52"/>
  <c r="C41" i="52"/>
  <c r="C41" i="80"/>
  <c r="B41" i="80"/>
  <c r="C27" i="70"/>
  <c r="P41" i="52"/>
  <c r="J36" i="80"/>
  <c r="J35" i="80"/>
  <c r="J37" i="80"/>
  <c r="J51" i="80"/>
  <c r="J34" i="80"/>
  <c r="P51" i="80"/>
  <c r="J42" i="80"/>
  <c r="J33" i="80"/>
  <c r="I27" i="80"/>
  <c r="I50" i="80" s="1"/>
  <c r="P49" i="80"/>
  <c r="P28" i="80"/>
  <c r="P27" i="80"/>
  <c r="P26" i="80"/>
  <c r="J28" i="80"/>
  <c r="J18" i="91" l="1"/>
  <c r="P54" i="81"/>
  <c r="P54" i="80"/>
  <c r="P52" i="80"/>
  <c r="J53" i="80"/>
  <c r="I54" i="80"/>
  <c r="J54" i="80" s="1"/>
  <c r="I55" i="80"/>
  <c r="J55" i="80" s="1"/>
  <c r="P55" i="80"/>
  <c r="P53" i="80"/>
  <c r="J52" i="80"/>
  <c r="D14" i="91"/>
  <c r="D41" i="80"/>
  <c r="D41" i="52"/>
  <c r="J49" i="80"/>
  <c r="J50" i="80"/>
  <c r="J26" i="80"/>
  <c r="J27" i="80"/>
  <c r="P50" i="80"/>
  <c r="E9" i="70" l="1"/>
  <c r="P17" i="80" l="1"/>
  <c r="P16" i="80"/>
  <c r="J16" i="80"/>
  <c r="P15" i="80"/>
  <c r="J15" i="80"/>
  <c r="P14" i="80"/>
  <c r="J14" i="80"/>
  <c r="P13" i="80"/>
  <c r="P12" i="80"/>
  <c r="J12" i="80"/>
  <c r="P11" i="80"/>
  <c r="J11" i="80"/>
  <c r="P10" i="80"/>
  <c r="O38" i="52"/>
  <c r="O37" i="52"/>
  <c r="O36" i="52"/>
  <c r="O39" i="52"/>
  <c r="O43" i="52"/>
  <c r="O44" i="52"/>
  <c r="O45" i="52"/>
  <c r="O46" i="52"/>
  <c r="O47" i="52"/>
  <c r="O48" i="52"/>
  <c r="O35" i="52"/>
  <c r="C47" i="80" l="1"/>
  <c r="C38" i="80"/>
  <c r="C33" i="80"/>
  <c r="B39" i="80"/>
  <c r="B35" i="80"/>
  <c r="B45" i="80"/>
  <c r="B40" i="80"/>
  <c r="B36" i="80"/>
  <c r="B46" i="80"/>
  <c r="B42" i="80"/>
  <c r="B37" i="80"/>
  <c r="B47" i="80"/>
  <c r="B43" i="80"/>
  <c r="B38" i="80"/>
  <c r="B48" i="80"/>
  <c r="B44" i="80"/>
  <c r="B33" i="80"/>
  <c r="B34" i="80"/>
  <c r="C45" i="80"/>
  <c r="C36" i="80"/>
  <c r="C44" i="80"/>
  <c r="C35" i="80"/>
  <c r="C40" i="80"/>
  <c r="C46" i="80"/>
  <c r="C37" i="80"/>
  <c r="C48" i="80"/>
  <c r="O40" i="52"/>
  <c r="C43" i="80"/>
  <c r="C34" i="80"/>
  <c r="C39" i="80"/>
  <c r="C42" i="80"/>
  <c r="C28" i="80"/>
  <c r="C51" i="80" s="1"/>
  <c r="C26" i="80"/>
  <c r="C49" i="80" s="1"/>
  <c r="C27" i="80"/>
  <c r="C50" i="80" s="1"/>
  <c r="B28" i="80"/>
  <c r="B51" i="80" s="1"/>
  <c r="D24" i="80"/>
  <c r="D15" i="80"/>
  <c r="D22" i="80"/>
  <c r="D11" i="80"/>
  <c r="O28" i="52"/>
  <c r="O51" i="52" s="1"/>
  <c r="D25" i="80"/>
  <c r="J10" i="80"/>
  <c r="D16" i="80"/>
  <c r="D13" i="80"/>
  <c r="D17" i="80"/>
  <c r="D12" i="80"/>
  <c r="D14" i="80"/>
  <c r="J17" i="80"/>
  <c r="D23" i="80"/>
  <c r="J13" i="80"/>
  <c r="B53" i="80" l="1"/>
  <c r="B52" i="80"/>
  <c r="B54" i="80"/>
  <c r="B55" i="80"/>
  <c r="C52" i="80"/>
  <c r="C53" i="80"/>
  <c r="C54" i="80"/>
  <c r="D54" i="80" s="1"/>
  <c r="C55" i="80"/>
  <c r="D55" i="80" s="1"/>
  <c r="D38" i="80"/>
  <c r="D39" i="80"/>
  <c r="D44" i="80"/>
  <c r="D47" i="80"/>
  <c r="D48" i="80"/>
  <c r="D46" i="80"/>
  <c r="D35" i="80"/>
  <c r="D33" i="80"/>
  <c r="D37" i="80"/>
  <c r="D40" i="80"/>
  <c r="D45" i="80"/>
  <c r="D42" i="80"/>
  <c r="D43" i="80"/>
  <c r="P40" i="52"/>
  <c r="D34" i="80"/>
  <c r="D36" i="80"/>
  <c r="D49" i="80"/>
  <c r="D50" i="80"/>
  <c r="D51" i="80"/>
  <c r="D27" i="80"/>
  <c r="D28" i="80"/>
  <c r="D26" i="80"/>
  <c r="D10" i="80"/>
  <c r="I48" i="52"/>
  <c r="I47" i="52"/>
  <c r="I46" i="52"/>
  <c r="I45" i="52"/>
  <c r="H48" i="52"/>
  <c r="H47" i="52"/>
  <c r="H46" i="52"/>
  <c r="H45" i="52"/>
  <c r="H44" i="52"/>
  <c r="I44" i="52"/>
  <c r="I43" i="52"/>
  <c r="N46" i="52"/>
  <c r="N45" i="52"/>
  <c r="N44" i="52"/>
  <c r="D53" i="80" l="1"/>
  <c r="D52" i="80"/>
  <c r="H43" i="52"/>
  <c r="H28" i="52"/>
  <c r="N43" i="52"/>
  <c r="P43" i="52" s="1"/>
  <c r="N28" i="52"/>
  <c r="N47" i="52"/>
  <c r="P47" i="52" s="1"/>
  <c r="N48" i="52"/>
  <c r="P48" i="52" s="1"/>
  <c r="C25" i="52"/>
  <c r="P45" i="52"/>
  <c r="P44" i="52"/>
  <c r="P46" i="52"/>
  <c r="C21" i="52"/>
  <c r="C23" i="52"/>
  <c r="B23" i="52"/>
  <c r="B24" i="52"/>
  <c r="B25" i="52"/>
  <c r="C22" i="52"/>
  <c r="C24" i="52"/>
  <c r="B22" i="52"/>
  <c r="B21" i="52"/>
  <c r="C20" i="52"/>
  <c r="I28" i="52"/>
  <c r="C13" i="5"/>
  <c r="B13" i="5"/>
  <c r="D24" i="52" l="1"/>
  <c r="D22" i="52"/>
  <c r="D21" i="52"/>
  <c r="D23" i="52"/>
  <c r="C44" i="52"/>
  <c r="I21" i="91"/>
  <c r="C17" i="91"/>
  <c r="B44" i="52"/>
  <c r="B17" i="91"/>
  <c r="H21" i="91"/>
  <c r="C45" i="52"/>
  <c r="C18" i="91"/>
  <c r="I22" i="91"/>
  <c r="B46" i="52"/>
  <c r="H23" i="91"/>
  <c r="B19" i="91"/>
  <c r="C16" i="91"/>
  <c r="I20" i="91"/>
  <c r="B48" i="52"/>
  <c r="H25" i="91"/>
  <c r="B21" i="91"/>
  <c r="C46" i="52"/>
  <c r="C19" i="91"/>
  <c r="I23" i="91"/>
  <c r="C48" i="52"/>
  <c r="I25" i="91"/>
  <c r="C21" i="91"/>
  <c r="C20" i="91"/>
  <c r="I24" i="91"/>
  <c r="B20" i="91"/>
  <c r="B40" i="91" s="1"/>
  <c r="H24" i="91"/>
  <c r="B45" i="52"/>
  <c r="B18" i="91"/>
  <c r="H22" i="91"/>
  <c r="C43" i="52"/>
  <c r="C47" i="52"/>
  <c r="B47" i="52"/>
  <c r="D13" i="5"/>
  <c r="P28" i="52"/>
  <c r="N51" i="52"/>
  <c r="P51" i="52" s="1"/>
  <c r="D25" i="52"/>
  <c r="J28" i="52"/>
  <c r="C28" i="52"/>
  <c r="C51" i="52" s="1"/>
  <c r="E9" i="10"/>
  <c r="J23" i="91" l="1"/>
  <c r="C17" i="71"/>
  <c r="C24" i="71" s="1"/>
  <c r="J25" i="91"/>
  <c r="D45" i="52"/>
  <c r="D44" i="52"/>
  <c r="J22" i="91"/>
  <c r="D18" i="91"/>
  <c r="D17" i="91"/>
  <c r="D21" i="91"/>
  <c r="D19" i="91"/>
  <c r="J24" i="91"/>
  <c r="D46" i="52"/>
  <c r="I28" i="91"/>
  <c r="D20" i="91"/>
  <c r="C24" i="91"/>
  <c r="J21" i="91"/>
  <c r="D47" i="52"/>
  <c r="D17" i="71"/>
  <c r="D24" i="71" s="1"/>
  <c r="D48" i="52"/>
  <c r="D21" i="70"/>
  <c r="B21" i="5" l="1"/>
  <c r="C23" i="5"/>
  <c r="E24" i="71"/>
  <c r="C21" i="5"/>
  <c r="E21" i="70"/>
  <c r="J45" i="52"/>
  <c r="J44" i="52"/>
  <c r="J42" i="52"/>
  <c r="J46" i="52"/>
  <c r="J48" i="52"/>
  <c r="H51" i="52"/>
  <c r="J41" i="52"/>
  <c r="J43" i="52"/>
  <c r="I51" i="52"/>
  <c r="J47" i="52"/>
  <c r="E17" i="71"/>
  <c r="C8" i="5" l="1"/>
  <c r="D12" i="69"/>
  <c r="B8" i="5"/>
  <c r="E13" i="70"/>
  <c r="D31" i="70"/>
  <c r="J51" i="52"/>
  <c r="O34" i="52"/>
  <c r="O33" i="52"/>
  <c r="B20" i="52"/>
  <c r="D20" i="52" s="1"/>
  <c r="C19" i="52"/>
  <c r="I40" i="52"/>
  <c r="I39" i="52"/>
  <c r="H39" i="52"/>
  <c r="I38" i="52"/>
  <c r="H38" i="52"/>
  <c r="I37" i="52"/>
  <c r="H37" i="52"/>
  <c r="I36" i="52"/>
  <c r="H36" i="52"/>
  <c r="I35" i="52"/>
  <c r="H35" i="52"/>
  <c r="I34" i="52"/>
  <c r="I33" i="52"/>
  <c r="E7" i="9"/>
  <c r="D24" i="5"/>
  <c r="D10" i="5"/>
  <c r="C36" i="5"/>
  <c r="B26" i="5"/>
  <c r="I49" i="52" l="1"/>
  <c r="N34" i="52"/>
  <c r="N26" i="52"/>
  <c r="N27" i="52"/>
  <c r="H34" i="52"/>
  <c r="J34" i="52" s="1"/>
  <c r="H27" i="52"/>
  <c r="C7" i="71" s="1"/>
  <c r="C22" i="71" s="1"/>
  <c r="H26" i="52"/>
  <c r="I50" i="52"/>
  <c r="C15" i="91"/>
  <c r="I19" i="91"/>
  <c r="B16" i="91"/>
  <c r="H20" i="91"/>
  <c r="C42" i="52"/>
  <c r="B43" i="52"/>
  <c r="E12" i="69"/>
  <c r="E31" i="70"/>
  <c r="N35" i="52"/>
  <c r="P35" i="52" s="1"/>
  <c r="N36" i="52"/>
  <c r="P36" i="52" s="1"/>
  <c r="N37" i="52"/>
  <c r="P37" i="52" s="1"/>
  <c r="N38" i="52"/>
  <c r="P38" i="52" s="1"/>
  <c r="N39" i="52"/>
  <c r="P39" i="52" s="1"/>
  <c r="J38" i="52"/>
  <c r="P34" i="52"/>
  <c r="C16" i="52"/>
  <c r="C13" i="52"/>
  <c r="I13" i="91" s="1"/>
  <c r="J36" i="52"/>
  <c r="P33" i="52"/>
  <c r="C17" i="52"/>
  <c r="J40" i="52"/>
  <c r="C12" i="52"/>
  <c r="I12" i="91" s="1"/>
  <c r="J35" i="52"/>
  <c r="B28" i="52"/>
  <c r="B51" i="52" s="1"/>
  <c r="J33" i="52"/>
  <c r="C14" i="52"/>
  <c r="I14" i="91" s="1"/>
  <c r="J37" i="52"/>
  <c r="O26" i="52"/>
  <c r="O49" i="52" s="1"/>
  <c r="O27" i="52"/>
  <c r="I27" i="52"/>
  <c r="D7" i="71" s="1"/>
  <c r="N49" i="52"/>
  <c r="B16" i="52"/>
  <c r="B11" i="52"/>
  <c r="B17" i="52"/>
  <c r="C11" i="52"/>
  <c r="B12" i="52"/>
  <c r="H12" i="91" s="1"/>
  <c r="B15" i="52"/>
  <c r="H15" i="91" s="1"/>
  <c r="B19" i="52"/>
  <c r="D19" i="52" s="1"/>
  <c r="B13" i="52"/>
  <c r="H13" i="91" s="1"/>
  <c r="I26" i="52"/>
  <c r="C10" i="52"/>
  <c r="C15" i="52"/>
  <c r="I15" i="91" s="1"/>
  <c r="B10" i="52"/>
  <c r="B14" i="52"/>
  <c r="H14" i="91" s="1"/>
  <c r="E17" i="10"/>
  <c r="C26" i="5"/>
  <c r="D26" i="5" s="1"/>
  <c r="D36" i="5"/>
  <c r="B33" i="52" l="1"/>
  <c r="H10" i="91"/>
  <c r="I55" i="52"/>
  <c r="I54" i="52"/>
  <c r="N53" i="52"/>
  <c r="N52" i="52"/>
  <c r="O53" i="52"/>
  <c r="O52" i="52"/>
  <c r="D22" i="71"/>
  <c r="N50" i="52"/>
  <c r="C8" i="71"/>
  <c r="O50" i="52"/>
  <c r="D8" i="71"/>
  <c r="I53" i="52"/>
  <c r="I52" i="52"/>
  <c r="H50" i="52"/>
  <c r="J50" i="52" s="1"/>
  <c r="H49" i="52"/>
  <c r="J12" i="91"/>
  <c r="D43" i="52"/>
  <c r="J13" i="91"/>
  <c r="H28" i="91"/>
  <c r="J28" i="91" s="1"/>
  <c r="J20" i="91"/>
  <c r="B13" i="91"/>
  <c r="H17" i="91"/>
  <c r="B24" i="91"/>
  <c r="D24" i="91" s="1"/>
  <c r="D16" i="91"/>
  <c r="J15" i="91"/>
  <c r="C12" i="91"/>
  <c r="I16" i="91"/>
  <c r="B15" i="91"/>
  <c r="D15" i="91" s="1"/>
  <c r="H19" i="91"/>
  <c r="J19" i="91" s="1"/>
  <c r="B10" i="91"/>
  <c r="H11" i="91"/>
  <c r="B9" i="91"/>
  <c r="C9" i="91"/>
  <c r="I10" i="91"/>
  <c r="C10" i="91"/>
  <c r="I11" i="91"/>
  <c r="B12" i="91"/>
  <c r="H16" i="91"/>
  <c r="J14" i="91"/>
  <c r="C13" i="91"/>
  <c r="I17" i="91"/>
  <c r="B11" i="91"/>
  <c r="C11" i="91"/>
  <c r="C38" i="52"/>
  <c r="B38" i="52"/>
  <c r="C39" i="52"/>
  <c r="B36" i="52"/>
  <c r="B40" i="52"/>
  <c r="B37" i="52"/>
  <c r="B42" i="52"/>
  <c r="B35" i="52"/>
  <c r="B34" i="52"/>
  <c r="C35" i="52"/>
  <c r="C36" i="52"/>
  <c r="C34" i="52"/>
  <c r="B39" i="52"/>
  <c r="C37" i="52"/>
  <c r="C40" i="52"/>
  <c r="C33" i="52"/>
  <c r="P49" i="52"/>
  <c r="D16" i="52"/>
  <c r="D12" i="52"/>
  <c r="J39" i="52"/>
  <c r="D13" i="52"/>
  <c r="P27" i="52"/>
  <c r="J27" i="52"/>
  <c r="D14" i="52"/>
  <c r="D28" i="52"/>
  <c r="D51" i="52"/>
  <c r="B26" i="52"/>
  <c r="B49" i="52" s="1"/>
  <c r="B27" i="52"/>
  <c r="B50" i="52" s="1"/>
  <c r="C26" i="52"/>
  <c r="C49" i="52" s="1"/>
  <c r="C27" i="52"/>
  <c r="C50" i="52" s="1"/>
  <c r="D17" i="52"/>
  <c r="D15" i="52"/>
  <c r="P26" i="52"/>
  <c r="D10" i="52"/>
  <c r="J26" i="52"/>
  <c r="C25" i="5"/>
  <c r="B25" i="5"/>
  <c r="P50" i="52" l="1"/>
  <c r="P52" i="52"/>
  <c r="H55" i="52"/>
  <c r="H54" i="52"/>
  <c r="J54" i="52" s="1"/>
  <c r="O54" i="52"/>
  <c r="O55" i="52"/>
  <c r="J49" i="52"/>
  <c r="H52" i="52"/>
  <c r="J52" i="52" s="1"/>
  <c r="H53" i="52"/>
  <c r="J53" i="52" s="1"/>
  <c r="B52" i="52"/>
  <c r="B53" i="52"/>
  <c r="C23" i="71"/>
  <c r="C10" i="71"/>
  <c r="C25" i="71" s="1"/>
  <c r="B7" i="5"/>
  <c r="P53" i="52"/>
  <c r="J55" i="52"/>
  <c r="B54" i="52"/>
  <c r="B55" i="52"/>
  <c r="D23" i="71"/>
  <c r="C7" i="5"/>
  <c r="C55" i="52"/>
  <c r="C54" i="52"/>
  <c r="C52" i="52"/>
  <c r="C53" i="52"/>
  <c r="D53" i="52" s="1"/>
  <c r="N55" i="52"/>
  <c r="N54" i="52"/>
  <c r="D10" i="71"/>
  <c r="D10" i="91"/>
  <c r="D13" i="91"/>
  <c r="D12" i="91"/>
  <c r="D9" i="91"/>
  <c r="C22" i="91"/>
  <c r="D34" i="52"/>
  <c r="I26" i="91"/>
  <c r="I27" i="91"/>
  <c r="J10" i="91"/>
  <c r="D42" i="52"/>
  <c r="J17" i="91"/>
  <c r="H27" i="91"/>
  <c r="H26" i="91"/>
  <c r="J11" i="91"/>
  <c r="J16" i="91"/>
  <c r="D37" i="52"/>
  <c r="C23" i="91"/>
  <c r="B23" i="91"/>
  <c r="B22" i="91"/>
  <c r="D11" i="91"/>
  <c r="D33" i="52"/>
  <c r="D40" i="52"/>
  <c r="D38" i="52"/>
  <c r="D36" i="52"/>
  <c r="D35" i="52"/>
  <c r="D39" i="52"/>
  <c r="D49" i="52"/>
  <c r="D27" i="52"/>
  <c r="D26" i="52"/>
  <c r="E16" i="10"/>
  <c r="D25" i="5"/>
  <c r="E19" i="70"/>
  <c r="D52" i="52" l="1"/>
  <c r="D55" i="52"/>
  <c r="P55" i="52"/>
  <c r="E10" i="71"/>
  <c r="D25" i="71"/>
  <c r="P54" i="52"/>
  <c r="D54" i="52"/>
  <c r="B33" i="5"/>
  <c r="J27" i="91"/>
  <c r="J26" i="91"/>
  <c r="I8" i="91"/>
  <c r="C39" i="91"/>
  <c r="C44" i="91"/>
  <c r="C37" i="91"/>
  <c r="C41" i="91"/>
  <c r="C36" i="91"/>
  <c r="C40" i="91"/>
  <c r="C38" i="91"/>
  <c r="C34" i="91"/>
  <c r="C35" i="91"/>
  <c r="C30" i="91"/>
  <c r="C29" i="91"/>
  <c r="C32" i="91"/>
  <c r="C33" i="91"/>
  <c r="C43" i="91"/>
  <c r="C31" i="91"/>
  <c r="C42" i="91"/>
  <c r="D23" i="91"/>
  <c r="D22" i="91"/>
  <c r="I36" i="81"/>
  <c r="I44" i="81"/>
  <c r="I42" i="81"/>
  <c r="I34" i="81"/>
  <c r="I38" i="81"/>
  <c r="I35" i="81"/>
  <c r="I41" i="81"/>
  <c r="I32" i="81"/>
  <c r="I33" i="81"/>
  <c r="I37" i="81"/>
  <c r="I40" i="81"/>
  <c r="I39" i="81"/>
  <c r="I43" i="81"/>
  <c r="D20" i="69"/>
  <c r="C22" i="5" s="1"/>
  <c r="C28" i="5" s="1"/>
  <c r="C41" i="5" s="1"/>
  <c r="D50" i="52"/>
  <c r="D21" i="5"/>
  <c r="E15" i="71"/>
  <c r="E16" i="71"/>
  <c r="E17" i="69"/>
  <c r="E18" i="70"/>
  <c r="C45" i="91" l="1"/>
  <c r="C46" i="91"/>
  <c r="D27" i="10"/>
  <c r="D25" i="10"/>
  <c r="E25" i="71"/>
  <c r="I50" i="91"/>
  <c r="I36" i="91"/>
  <c r="I40" i="91"/>
  <c r="I44" i="91"/>
  <c r="I48" i="91"/>
  <c r="I39" i="91"/>
  <c r="I51" i="91"/>
  <c r="I37" i="91"/>
  <c r="I41" i="91"/>
  <c r="I45" i="91"/>
  <c r="I33" i="91"/>
  <c r="I35" i="91"/>
  <c r="I47" i="91"/>
  <c r="I49" i="91"/>
  <c r="I34" i="91"/>
  <c r="I38" i="91"/>
  <c r="I42" i="91"/>
  <c r="I46" i="91"/>
  <c r="I43" i="91"/>
  <c r="D29" i="69"/>
  <c r="D23" i="5"/>
  <c r="E8" i="71"/>
  <c r="E23" i="71"/>
  <c r="C35" i="5"/>
  <c r="D26" i="70"/>
  <c r="E7" i="70"/>
  <c r="D27" i="70"/>
  <c r="E8" i="70"/>
  <c r="D25" i="69"/>
  <c r="E7" i="69"/>
  <c r="E7" i="71"/>
  <c r="E22" i="71"/>
  <c r="I54" i="91" l="1"/>
  <c r="I55" i="91"/>
  <c r="I52" i="91"/>
  <c r="I53" i="91"/>
  <c r="E27" i="70"/>
  <c r="E25" i="69"/>
  <c r="C39" i="5"/>
  <c r="C24" i="10"/>
  <c r="B12" i="5"/>
  <c r="D23" i="10"/>
  <c r="E7" i="10"/>
  <c r="C11" i="5"/>
  <c r="D9" i="5"/>
  <c r="D35" i="5"/>
  <c r="B11" i="5"/>
  <c r="C23" i="10"/>
  <c r="C12" i="5"/>
  <c r="D24" i="10"/>
  <c r="E8" i="10"/>
  <c r="E26" i="70"/>
  <c r="E9" i="69"/>
  <c r="D27" i="69"/>
  <c r="B16" i="5" l="1"/>
  <c r="C16" i="5"/>
  <c r="D40" i="5"/>
  <c r="B38" i="5"/>
  <c r="B37" i="5"/>
  <c r="E24" i="10"/>
  <c r="C33" i="5"/>
  <c r="D33" i="5" s="1"/>
  <c r="D11" i="5"/>
  <c r="C37" i="5"/>
  <c r="E23" i="10"/>
  <c r="D7" i="5"/>
  <c r="D12" i="5"/>
  <c r="C38" i="5"/>
  <c r="D11" i="52"/>
  <c r="D8" i="5"/>
  <c r="C34" i="5"/>
  <c r="C42" i="5" l="1"/>
  <c r="D38" i="5"/>
  <c r="D37" i="5"/>
  <c r="D16" i="5"/>
  <c r="C27" i="69"/>
  <c r="C20" i="69"/>
  <c r="E19" i="69"/>
  <c r="J8" i="81"/>
  <c r="E20" i="69" l="1"/>
  <c r="C29" i="69"/>
  <c r="H36" i="81"/>
  <c r="J36" i="81" s="1"/>
  <c r="H43" i="81"/>
  <c r="J43" i="81" s="1"/>
  <c r="H40" i="81"/>
  <c r="J40" i="81" s="1"/>
  <c r="H42" i="81"/>
  <c r="J42" i="81" s="1"/>
  <c r="H33" i="81"/>
  <c r="J33" i="81" s="1"/>
  <c r="H44" i="81"/>
  <c r="J44" i="81" s="1"/>
  <c r="H34" i="81"/>
  <c r="J34" i="81" s="1"/>
  <c r="B43" i="91"/>
  <c r="E27" i="69"/>
  <c r="H32" i="81"/>
  <c r="J32" i="81" s="1"/>
  <c r="H38" i="81"/>
  <c r="J38" i="81" s="1"/>
  <c r="H41" i="81"/>
  <c r="J41" i="81" s="1"/>
  <c r="H37" i="81"/>
  <c r="J37" i="81" s="1"/>
  <c r="H35" i="81"/>
  <c r="J35" i="81" s="1"/>
  <c r="B22" i="5"/>
  <c r="B28" i="5" s="1"/>
  <c r="H39" i="81"/>
  <c r="J39" i="81" s="1"/>
  <c r="D43" i="91" l="1"/>
  <c r="B41" i="5"/>
  <c r="D41" i="5" s="1"/>
  <c r="B39" i="5"/>
  <c r="B42" i="5"/>
  <c r="C27" i="10"/>
  <c r="E27" i="10" s="1"/>
  <c r="B34" i="91"/>
  <c r="D34" i="91" s="1"/>
  <c r="B36" i="91"/>
  <c r="D36" i="91" s="1"/>
  <c r="B30" i="91"/>
  <c r="D30" i="91" s="1"/>
  <c r="D8" i="91"/>
  <c r="D40" i="91"/>
  <c r="D22" i="5"/>
  <c r="B34" i="5"/>
  <c r="D34" i="5" s="1"/>
  <c r="B33" i="91"/>
  <c r="D33" i="91" s="1"/>
  <c r="B41" i="91"/>
  <c r="D41" i="91" s="1"/>
  <c r="H8" i="91"/>
  <c r="B29" i="91"/>
  <c r="D29" i="91" s="1"/>
  <c r="B38" i="91"/>
  <c r="D38" i="91" s="1"/>
  <c r="B44" i="91"/>
  <c r="D44" i="91" s="1"/>
  <c r="B42" i="91"/>
  <c r="B32" i="91"/>
  <c r="D32" i="91" s="1"/>
  <c r="B37" i="91"/>
  <c r="D37" i="91" s="1"/>
  <c r="B31" i="91"/>
  <c r="D31" i="91" s="1"/>
  <c r="B39" i="91"/>
  <c r="D39" i="91" s="1"/>
  <c r="B35" i="91"/>
  <c r="D35" i="91" s="1"/>
  <c r="E29" i="69"/>
  <c r="D42" i="91" l="1"/>
  <c r="B45" i="91"/>
  <c r="D45" i="91" s="1"/>
  <c r="B46" i="91"/>
  <c r="D46" i="91" s="1"/>
  <c r="J8" i="91"/>
  <c r="H51" i="91"/>
  <c r="J51" i="91" s="1"/>
  <c r="H36" i="91"/>
  <c r="J36" i="91" s="1"/>
  <c r="H40" i="91"/>
  <c r="J40" i="91" s="1"/>
  <c r="H44" i="91"/>
  <c r="J44" i="91" s="1"/>
  <c r="H48" i="91"/>
  <c r="J48" i="91" s="1"/>
  <c r="H35" i="91"/>
  <c r="J35" i="91" s="1"/>
  <c r="H47" i="91"/>
  <c r="J47" i="91" s="1"/>
  <c r="H49" i="91"/>
  <c r="J49" i="91" s="1"/>
  <c r="H37" i="91"/>
  <c r="J37" i="91" s="1"/>
  <c r="H41" i="91"/>
  <c r="J41" i="91" s="1"/>
  <c r="H45" i="91"/>
  <c r="J45" i="91" s="1"/>
  <c r="H33" i="91"/>
  <c r="J33" i="91" s="1"/>
  <c r="H43" i="91"/>
  <c r="J43" i="91" s="1"/>
  <c r="H34" i="91"/>
  <c r="J34" i="91" s="1"/>
  <c r="H38" i="91"/>
  <c r="J38" i="91" s="1"/>
  <c r="H42" i="91"/>
  <c r="J42" i="91" s="1"/>
  <c r="H46" i="91"/>
  <c r="J46" i="91" s="1"/>
  <c r="H50" i="91"/>
  <c r="J50" i="91" s="1"/>
  <c r="H39" i="91"/>
  <c r="J39" i="91" s="1"/>
  <c r="D28" i="5"/>
  <c r="C25" i="10"/>
  <c r="E25" i="10" s="1"/>
  <c r="D42" i="5"/>
  <c r="D39" i="5"/>
  <c r="H52" i="91" l="1"/>
  <c r="J52" i="91" s="1"/>
  <c r="H54" i="91"/>
  <c r="J54" i="91" s="1"/>
  <c r="H55" i="91"/>
  <c r="J55" i="91" s="1"/>
  <c r="H53" i="91"/>
  <c r="J53" i="91" s="1"/>
</calcChain>
</file>

<file path=xl/sharedStrings.xml><?xml version="1.0" encoding="utf-8"?>
<sst xmlns="http://schemas.openxmlformats.org/spreadsheetml/2006/main" count="1783" uniqueCount="379">
  <si>
    <t>Total Health Care Expenditures</t>
  </si>
  <si>
    <t>THCE Component</t>
  </si>
  <si>
    <t>Total Expenses</t>
  </si>
  <si>
    <t>Percent Change</t>
  </si>
  <si>
    <t>Commercial</t>
  </si>
  <si>
    <t>NCPHI</t>
  </si>
  <si>
    <t>Program Type</t>
  </si>
  <si>
    <t>Medicare FFS</t>
  </si>
  <si>
    <t>Service Category</t>
  </si>
  <si>
    <t>Large Group</t>
  </si>
  <si>
    <t>Self-Insured</t>
  </si>
  <si>
    <t>VA</t>
  </si>
  <si>
    <t>Medicare Advantage</t>
  </si>
  <si>
    <t>Payer</t>
  </si>
  <si>
    <t>Market Sector</t>
  </si>
  <si>
    <t>Total</t>
  </si>
  <si>
    <t>Small Group</t>
  </si>
  <si>
    <t>Cigna</t>
  </si>
  <si>
    <t>Data Source</t>
  </si>
  <si>
    <t>CGT-1</t>
  </si>
  <si>
    <t>CMS</t>
  </si>
  <si>
    <t>Oregon Department of Corrections</t>
  </si>
  <si>
    <t>Corrections</t>
  </si>
  <si>
    <t>Commercial (Full and Partial Claims)</t>
  </si>
  <si>
    <t>Commercial Partial Claims</t>
  </si>
  <si>
    <t>Commercial Full Claims</t>
  </si>
  <si>
    <t>Market Type</t>
  </si>
  <si>
    <t>Medicaid CCO</t>
  </si>
  <si>
    <t>Medicaid Open Card</t>
  </si>
  <si>
    <t>Member Month</t>
  </si>
  <si>
    <t>Note</t>
  </si>
  <si>
    <t>Person</t>
  </si>
  <si>
    <t>TME PMPM/TME Per Person</t>
  </si>
  <si>
    <t>Claims Hospital Inpatient</t>
  </si>
  <si>
    <t>Claims Hospital Outpatient</t>
  </si>
  <si>
    <t>Claims Professional PCPs</t>
  </si>
  <si>
    <t>Claims Professional Specialty</t>
  </si>
  <si>
    <t>Claims Professional BH</t>
  </si>
  <si>
    <t>Claims Professional Other</t>
  </si>
  <si>
    <t>Claims LTC</t>
  </si>
  <si>
    <t>Claims Other</t>
  </si>
  <si>
    <t>PMPY</t>
  </si>
  <si>
    <t xml:space="preserve">Note: </t>
  </si>
  <si>
    <t>Medicare</t>
  </si>
  <si>
    <t>Medicaid</t>
  </si>
  <si>
    <t>TME PMPY/Per Person</t>
  </si>
  <si>
    <t>Member Year/Person</t>
  </si>
  <si>
    <t>Member Year</t>
  </si>
  <si>
    <t>Non-Claims Prospective Payments</t>
  </si>
  <si>
    <t>Non-Claims Performance Incentives</t>
  </si>
  <si>
    <t>Non-Claims Support Population Health</t>
  </si>
  <si>
    <t>Non-Claims Provider Salaries</t>
  </si>
  <si>
    <t>Non-Claims Recovery</t>
  </si>
  <si>
    <t>Non-Claims Other</t>
  </si>
  <si>
    <t>Denominator is the entire state.</t>
  </si>
  <si>
    <t>BH services provided by additional contracts</t>
  </si>
  <si>
    <t>Non-Claims: Total</t>
  </si>
  <si>
    <t>Medicaid Rx Rebate</t>
  </si>
  <si>
    <t>exclude rx rebates</t>
  </si>
  <si>
    <t>Medicaid All</t>
  </si>
  <si>
    <t>Claims Retail Pharmacy (Gross of Rebates)</t>
  </si>
  <si>
    <t>Claims Retail Pharmacy (Net of Rebates)</t>
  </si>
  <si>
    <t>Claims: Total (Gross of Rebates)</t>
  </si>
  <si>
    <t>Claims: Total (Net of Rebates)</t>
  </si>
  <si>
    <t>Include all rebates</t>
  </si>
  <si>
    <t>No Rebates</t>
  </si>
  <si>
    <t>TME Per Person</t>
  </si>
  <si>
    <t>Expenses PMPY</t>
  </si>
  <si>
    <t>Member Months</t>
  </si>
  <si>
    <t>Medicaid FFS</t>
  </si>
  <si>
    <t>Claims Professional Physician</t>
  </si>
  <si>
    <t>Claims Professional Other Providers</t>
  </si>
  <si>
    <t>CGT Professional</t>
  </si>
  <si>
    <t>Claims Non Hospital Outpatient</t>
  </si>
  <si>
    <t>CGT Other</t>
  </si>
  <si>
    <t>Claims Home Health Agency</t>
  </si>
  <si>
    <t>Claims Skilled Nursing Facility</t>
  </si>
  <si>
    <t>CGT LTC</t>
  </si>
  <si>
    <t>Claims Hospice</t>
  </si>
  <si>
    <t>CGT Inpatient</t>
  </si>
  <si>
    <t>CGT Outpatient</t>
  </si>
  <si>
    <t>Claims DME</t>
  </si>
  <si>
    <t>Claims Part D</t>
  </si>
  <si>
    <t>CGT Retail (Rx net of rebates)</t>
  </si>
  <si>
    <t>Claims Other Suppliers</t>
  </si>
  <si>
    <t>Individual</t>
  </si>
  <si>
    <t>Student</t>
  </si>
  <si>
    <t>Advanced Health</t>
  </si>
  <si>
    <t>Cascade Health Alliance</t>
  </si>
  <si>
    <t>Health Share of Oregon</t>
  </si>
  <si>
    <t>Umpqua Health Alliance</t>
  </si>
  <si>
    <t>AllCare CCO</t>
  </si>
  <si>
    <t>Eastern Oregon CCO</t>
  </si>
  <si>
    <t>Intercommunity Health Network</t>
  </si>
  <si>
    <t>MLR</t>
  </si>
  <si>
    <t>TME PMPY/TME Per Person</t>
  </si>
  <si>
    <t>exlcude duals (see row 10); exclude rx rebates (see row 9)</t>
  </si>
  <si>
    <t>Total excluding duals</t>
  </si>
  <si>
    <t>Total including duals</t>
  </si>
  <si>
    <t>Dual: Medicare Advantage</t>
  </si>
  <si>
    <t>Dual: Medicaid Expenses</t>
  </si>
  <si>
    <t>MA + FFS + MA dual</t>
  </si>
  <si>
    <t>CCO + Open Card</t>
  </si>
  <si>
    <t>Per Capita</t>
  </si>
  <si>
    <t>inlcude rx rebates</t>
  </si>
  <si>
    <t>Dual: Medicaid Advantage (LOB = 5)</t>
  </si>
  <si>
    <t>SHCE</t>
  </si>
  <si>
    <t>NW Pharmacy Purchasing Program (ArrayRx)</t>
  </si>
  <si>
    <t>Not rolled up to statewide.</t>
  </si>
  <si>
    <t>Claims Professional</t>
  </si>
  <si>
    <t>Statewide including Medicare FFS</t>
  </si>
  <si>
    <t>Member/Person</t>
  </si>
  <si>
    <t>Statewide excluding Medicare FFS</t>
  </si>
  <si>
    <t>Medicaid duals</t>
  </si>
  <si>
    <t>Exclude duals</t>
  </si>
  <si>
    <t>Medicare Advantage only (LOB = 1)</t>
  </si>
  <si>
    <t>Sum of rx rebates data are applied to the entire Medicaid market</t>
  </si>
  <si>
    <t>Exhibit L</t>
  </si>
  <si>
    <t>Commercial NCPHI</t>
  </si>
  <si>
    <t>denominator is total number of people</t>
  </si>
  <si>
    <t>MA + FFS + MA dual + Medicaid dual</t>
  </si>
  <si>
    <t>from TCHE_NCPHI tab</t>
  </si>
  <si>
    <t>Full + Partial Claims</t>
  </si>
  <si>
    <t>denominator is MA including duals.</t>
  </si>
  <si>
    <t>Medicare Advantage NCPHI</t>
  </si>
  <si>
    <t>Medicaid CCO NCPHI</t>
  </si>
  <si>
    <t>Not roll up to Medicaid TCHE. It is in Medicare TCHE.</t>
  </si>
  <si>
    <t>THCE has duals in Medicare</t>
  </si>
  <si>
    <t>Medicaid CCO NCPHI including duals.</t>
  </si>
  <si>
    <t>Medicare Advantage's denominator use the data from CMS, but we didn't collect all MA in Oregon (for example, Humana, and possibly other small health plans). We may underestimate the dollars for MA.</t>
  </si>
  <si>
    <t>Person (part A and/or Part B)</t>
  </si>
  <si>
    <t>The numbers include duals.</t>
  </si>
  <si>
    <t>Dollars for Medicaid duals are also in this row.</t>
  </si>
  <si>
    <t>THCE_NCPHI tab</t>
  </si>
  <si>
    <t>Demographic Score</t>
  </si>
  <si>
    <t>This is the number for provider organizations to compare</t>
  </si>
  <si>
    <t>This is the number for payer to compare</t>
  </si>
  <si>
    <t xml:space="preserve">Note: Number for Medicaid payers to compare is a bit complicated, so use the number is TME by payer tab </t>
  </si>
  <si>
    <t>Medicare part is not complete.</t>
  </si>
  <si>
    <t>Medicaid CCO Other Spending</t>
  </si>
  <si>
    <t>Exh L &amp; Audited HRS</t>
  </si>
  <si>
    <t>Total Medical Expenses</t>
  </si>
  <si>
    <t xml:space="preserve">Medicare FFS data is reported without the additional granularity for professional services. </t>
  </si>
  <si>
    <t>Statewide data are presented here with and without Medicare FFS data</t>
  </si>
  <si>
    <t>Demographic Adjusted Total Medical Expenses Per Member Per Month by Market by Payer</t>
  </si>
  <si>
    <t xml:space="preserve">Net of prescription drug rebates </t>
  </si>
  <si>
    <t>Note: In Medicaid market, only the rx rebates reported by CCOs are included.</t>
  </si>
  <si>
    <t>Market</t>
  </si>
  <si>
    <t>Member Months in 2021</t>
  </si>
  <si>
    <t>TME PMPM Growth, Adjusted</t>
  </si>
  <si>
    <t>95% CI Lower</t>
  </si>
  <si>
    <t>95% CI Upper</t>
  </si>
  <si>
    <t>Type</t>
  </si>
  <si>
    <t>Number of Payers</t>
  </si>
  <si>
    <t>Kaiser Permanente</t>
  </si>
  <si>
    <t>All</t>
  </si>
  <si>
    <t>Providence Health</t>
  </si>
  <si>
    <t>UnitedHealthcare Insurance Company</t>
  </si>
  <si>
    <t>MM &gt;= 60K</t>
  </si>
  <si>
    <t>Moda Health Plan</t>
  </si>
  <si>
    <t>Yamhill Community Care</t>
  </si>
  <si>
    <t>Demographic Adjusted Total Medical Expenses Per Member Per Month by Market by Provider Organizations</t>
  </si>
  <si>
    <t xml:space="preserve">Gross of prescription drug rebates </t>
  </si>
  <si>
    <t>Group</t>
  </si>
  <si>
    <t>Provider Organization Name</t>
  </si>
  <si>
    <t>1. more than 20,000 attributed patients</t>
  </si>
  <si>
    <t>Oregon Medical Group</t>
  </si>
  <si>
    <t>Legacy Health</t>
  </si>
  <si>
    <t>Praxis Health</t>
  </si>
  <si>
    <t>PeaceHealth</t>
  </si>
  <si>
    <t>Salem Clinic</t>
  </si>
  <si>
    <t>2. 10,000 to 20,000 attributed patients</t>
  </si>
  <si>
    <t>The Corvallis Clinic</t>
  </si>
  <si>
    <t>Salem Health</t>
  </si>
  <si>
    <t>3. Fewer than 10,000 attributed patients</t>
  </si>
  <si>
    <t>Summit Health</t>
  </si>
  <si>
    <t>4. Pediatric practices</t>
  </si>
  <si>
    <t>Northwest Primary Care</t>
  </si>
  <si>
    <t>5. Federally qualified health centers (FQHCs)</t>
  </si>
  <si>
    <t>The Portland Clinic</t>
  </si>
  <si>
    <t>St Charles Health System</t>
  </si>
  <si>
    <t>North Bend Medical Center</t>
  </si>
  <si>
    <t>Metropolitan Pediatrics</t>
  </si>
  <si>
    <t>The Children's Clinic</t>
  </si>
  <si>
    <t>Oregon Integrated Health</t>
  </si>
  <si>
    <t>Northwest Medical Homes</t>
  </si>
  <si>
    <t>Sky Lakes Medical Center</t>
  </si>
  <si>
    <t>WFMC Health</t>
  </si>
  <si>
    <t>Columbia Clinic</t>
  </si>
  <si>
    <t>Evergreen Family Medicine</t>
  </si>
  <si>
    <t>Adventist Health</t>
  </si>
  <si>
    <t>Grants Pass Clinic</t>
  </si>
  <si>
    <t>BestMed</t>
  </si>
  <si>
    <t>Yakima Valley Farm Workers Clinic</t>
  </si>
  <si>
    <t>Neighborhood Health Center</t>
  </si>
  <si>
    <t>Rogue Community Health</t>
  </si>
  <si>
    <t>Northwest Human Services</t>
  </si>
  <si>
    <t>Aviva Health</t>
  </si>
  <si>
    <t>Valley Family Health Care</t>
  </si>
  <si>
    <t>One Community Health</t>
  </si>
  <si>
    <t>Number of Provider Organizations</t>
  </si>
  <si>
    <t>TME (Gross of Rebates), Unadjusted</t>
  </si>
  <si>
    <t>TME (Gross of Rebates), Adjusted</t>
  </si>
  <si>
    <t>TME (Net of Rebates), Unadjusted</t>
  </si>
  <si>
    <t>TME (Net of Rebates), Adjusted</t>
  </si>
  <si>
    <t>Commercial Member Months by Payer</t>
  </si>
  <si>
    <t>Commercial Full Claims vs Commercial Partial Claims</t>
  </si>
  <si>
    <t>Percent of Member Months in Partial Claims</t>
  </si>
  <si>
    <t>Year 2021</t>
  </si>
  <si>
    <t>CCO + Open Card+Other spend</t>
  </si>
  <si>
    <t>Components of Total Health Care Expenditures, Commercial Spending by Service Category, 2021-2022: Gross/Net of Prescription Drug Rebates</t>
  </si>
  <si>
    <t>2021-2022</t>
  </si>
  <si>
    <t>Components of Total Health Care Expenditures, Medicare Spending by Service Category, 2021-2022: Gross/Net of Prescription Drug Rebates</t>
  </si>
  <si>
    <t>ATRIO</t>
  </si>
  <si>
    <t>Components of Total Health Care Expenditures: Other Public Programs, 2021-2022</t>
  </si>
  <si>
    <t>Components of Total Health Care Expenditures: Medicaid, 2021-2022</t>
  </si>
  <si>
    <t>Components of Total Health Care Expenditures: Net Cost of Private Health Insurance by Market Sector, 2021-2022</t>
  </si>
  <si>
    <t>Components of Total Health Care Expenditures: Commercial, 2021-2022</t>
  </si>
  <si>
    <t>Components of Total Health Care Expenditures, 2021-2022</t>
  </si>
  <si>
    <t>Member Months in 2022</t>
  </si>
  <si>
    <t>Year 2022</t>
  </si>
  <si>
    <t>Oregon State Hospital</t>
  </si>
  <si>
    <t>Aetna</t>
  </si>
  <si>
    <t>Health Net Oregon</t>
  </si>
  <si>
    <t>Kaiser</t>
  </si>
  <si>
    <t>Moda</t>
  </si>
  <si>
    <t>PacificSource Health</t>
  </si>
  <si>
    <t>Providence</t>
  </si>
  <si>
    <t xml:space="preserve">Regence </t>
  </si>
  <si>
    <t>UHC Company</t>
  </si>
  <si>
    <t>Health Net Company</t>
  </si>
  <si>
    <t>PacificSource Community</t>
  </si>
  <si>
    <t>Providence Health Assurance</t>
  </si>
  <si>
    <t>Regence</t>
  </si>
  <si>
    <t>Cascade Health</t>
  </si>
  <si>
    <t>CPC - CareOregon</t>
  </si>
  <si>
    <t>EOCCO - Moda</t>
  </si>
  <si>
    <t>Health Share</t>
  </si>
  <si>
    <t>IHN - Samaritan</t>
  </si>
  <si>
    <t>Jackson CCO - CareOregon</t>
  </si>
  <si>
    <t>Medicaid FFS/ Open Card</t>
  </si>
  <si>
    <t>PacificSource - Central OR</t>
  </si>
  <si>
    <t>PacificSource - Gorge</t>
  </si>
  <si>
    <t xml:space="preserve">PacificSource - Lane </t>
  </si>
  <si>
    <t>PacificSource - Marion and Polk</t>
  </si>
  <si>
    <t>Trillium CCO Tri-county</t>
  </si>
  <si>
    <t>Trillium CCO Southwest</t>
  </si>
  <si>
    <t>Umpqua CCO</t>
  </si>
  <si>
    <t>MA + Medicaid + Commercial Full Claims</t>
  </si>
  <si>
    <t>OHSU</t>
  </si>
  <si>
    <t>Samaritan Health</t>
  </si>
  <si>
    <t>Asante Health</t>
  </si>
  <si>
    <t>COPA</t>
  </si>
  <si>
    <t>Salem Pediatrics</t>
  </si>
  <si>
    <t>Asante</t>
  </si>
  <si>
    <t>Grande Ronde Hospital</t>
  </si>
  <si>
    <t>Physicians Medical Center</t>
  </si>
  <si>
    <t>Santiam Memorial Hospital</t>
  </si>
  <si>
    <t>CHAOS</t>
  </si>
  <si>
    <t>Hillsboro Pediatrics</t>
  </si>
  <si>
    <t>Oregon Pediatrics</t>
  </si>
  <si>
    <t>Sanford Children's</t>
  </si>
  <si>
    <t>Woodburn Pediatric</t>
  </si>
  <si>
    <t>Benton Co Health Dept</t>
  </si>
  <si>
    <t>Clackamas Co Health Dept</t>
  </si>
  <si>
    <t>La Clinica</t>
  </si>
  <si>
    <t>Community Health Centers of Lane</t>
  </si>
  <si>
    <t>Mosaic Community Health</t>
  </si>
  <si>
    <t>Multnomah Co Health Dept</t>
  </si>
  <si>
    <t>Siskiyou CHC</t>
  </si>
  <si>
    <t xml:space="preserve">Virginia Garcia </t>
  </si>
  <si>
    <t xml:space="preserve">Providence </t>
  </si>
  <si>
    <t>Entity name key</t>
  </si>
  <si>
    <t>Entity type</t>
  </si>
  <si>
    <t>Name in report</t>
  </si>
  <si>
    <t>Other name/full name</t>
  </si>
  <si>
    <t>payer</t>
  </si>
  <si>
    <t>Atrio Health Plans, Inc.</t>
  </si>
  <si>
    <t>Cigna Health And Life Insurance Company</t>
  </si>
  <si>
    <t>CPC – CareOregon</t>
  </si>
  <si>
    <t>Columbia Pacific CCO</t>
  </si>
  <si>
    <t>EOCCO – Moda</t>
  </si>
  <si>
    <t>Health Net Life Insurance Company</t>
  </si>
  <si>
    <t>Health Net Health Plan Of Oregon, Inc.</t>
  </si>
  <si>
    <t>IHN – Samaritan</t>
  </si>
  <si>
    <t>Jackson CCO – CareOregon</t>
  </si>
  <si>
    <t>Jackson Care Connect</t>
  </si>
  <si>
    <t>Kaiser Foundation Health Plan Of The Northwest</t>
  </si>
  <si>
    <t>Medicaid FFS/Open Card</t>
  </si>
  <si>
    <t>Moda Health Plan, Inc.</t>
  </si>
  <si>
    <t>PacificSource – Central OR</t>
  </si>
  <si>
    <t>PacificSource Central</t>
  </si>
  <si>
    <t>PacificSource – Gorge</t>
  </si>
  <si>
    <t>PacificSource Gorge</t>
  </si>
  <si>
    <t>PacificSource – Lane</t>
  </si>
  <si>
    <t>PacificSource Lane</t>
  </si>
  <si>
    <t>PacificSource – Marion Polk</t>
  </si>
  <si>
    <t>PacificSource Marion Polk</t>
  </si>
  <si>
    <t>PacificSource Community Health Plans</t>
  </si>
  <si>
    <t>PacificSource Health Plans</t>
  </si>
  <si>
    <t>Providence Health Plan</t>
  </si>
  <si>
    <t>Regence Bluecross Blueshield Of Oregon</t>
  </si>
  <si>
    <t>Trillium CCO</t>
  </si>
  <si>
    <t>Trillium Community Health Plan, Inc.</t>
  </si>
  <si>
    <t>UHC Oregon</t>
  </si>
  <si>
    <t>UnitedHealthcare Of Oregon, Inc.</t>
  </si>
  <si>
    <t>provider organization</t>
  </si>
  <si>
    <t xml:space="preserve">Adventist Health </t>
  </si>
  <si>
    <t>Asante Health System</t>
  </si>
  <si>
    <t>Benton County Health Department / Community Health Centers of Benton &amp; Linn Counties</t>
  </si>
  <si>
    <t>Childhood Health Associates of Salem</t>
  </si>
  <si>
    <t>Clackamas County Health Department</t>
  </si>
  <si>
    <t>Central Oregon Pediatric Associates</t>
  </si>
  <si>
    <t>Grande Ronde Hospital and Clinics</t>
  </si>
  <si>
    <t>Hillsboro Pediatric Clinic</t>
  </si>
  <si>
    <t>La Clinica del Valle</t>
  </si>
  <si>
    <t>Community Health Centers of Lane County</t>
  </si>
  <si>
    <t xml:space="preserve">Legacy Health </t>
  </si>
  <si>
    <t xml:space="preserve">Mosaic Medical </t>
  </si>
  <si>
    <t>Multnomah County Health Department</t>
  </si>
  <si>
    <t xml:space="preserve">North Bend Medical Center </t>
  </si>
  <si>
    <t>Northwest Health Partners</t>
  </si>
  <si>
    <t xml:space="preserve">Northwest Primary Care </t>
  </si>
  <si>
    <t>Oregon Health &amp; Science University</t>
  </si>
  <si>
    <t xml:space="preserve">Oregon Integrated Health </t>
  </si>
  <si>
    <t xml:space="preserve">PeaceHealth </t>
  </si>
  <si>
    <t>Providence Health &amp; Services</t>
  </si>
  <si>
    <t>River Rock Family Practice</t>
  </si>
  <si>
    <t xml:space="preserve">Salem Health </t>
  </si>
  <si>
    <t>Salem Pediatric Clinic</t>
  </si>
  <si>
    <t>Samaritan Health Services</t>
  </si>
  <si>
    <t>Sanford Children's Clinic</t>
  </si>
  <si>
    <t>Siskiyou Community Health Center</t>
  </si>
  <si>
    <t>St. Charles Health System</t>
  </si>
  <si>
    <t>Summit Health / Bend Memorial Clinic</t>
  </si>
  <si>
    <t>Virginia Garcia</t>
  </si>
  <si>
    <t>Virginia Garcia Memorial Health Center</t>
  </si>
  <si>
    <t>Willamette Family Medical Center</t>
  </si>
  <si>
    <t>Samaritan Health Plans</t>
  </si>
  <si>
    <t>Medicare Advantage + Medicaid + Commercial Full</t>
  </si>
  <si>
    <t>Medicare Advantage including duals (LOB = 1 + 5)</t>
  </si>
  <si>
    <t>Dollars for Medicare duals are also in this row.</t>
  </si>
  <si>
    <t>Added HRS on 5/15</t>
  </si>
  <si>
    <r>
      <t xml:space="preserve">Please contact </t>
    </r>
    <r>
      <rPr>
        <b/>
        <u/>
        <sz val="11"/>
        <color theme="5"/>
        <rFont val="Calibri"/>
        <family val="2"/>
        <scheme val="minor"/>
      </rPr>
      <t>HealthCare.CostTarget@oha.oregon.gov</t>
    </r>
    <r>
      <rPr>
        <sz val="11"/>
        <color theme="1"/>
        <rFont val="Calibri"/>
        <family val="2"/>
        <scheme val="minor"/>
      </rPr>
      <t xml:space="preserve"> with any questions. </t>
    </r>
  </si>
  <si>
    <t>Workbook Tabs</t>
  </si>
  <si>
    <t>Description</t>
  </si>
  <si>
    <t>THCE_Statewide</t>
  </si>
  <si>
    <t>THCE_Comm</t>
  </si>
  <si>
    <t>THCE_Mcare</t>
  </si>
  <si>
    <t>THCE_Maid</t>
  </si>
  <si>
    <t>THCE_NCPHI</t>
  </si>
  <si>
    <t>THCE_Other</t>
  </si>
  <si>
    <t>TME_StatewideServCat</t>
  </si>
  <si>
    <t>TME_Comm_ServCat</t>
  </si>
  <si>
    <t>TME_Mcare_ServCat</t>
  </si>
  <si>
    <t>TME_Maid_ServCat</t>
  </si>
  <si>
    <t>Comm_MM_Full_Partial</t>
  </si>
  <si>
    <t>Member Months in Commercial: Full Claims vs Commercial: Partial Claims</t>
  </si>
  <si>
    <t>TME_Payer</t>
  </si>
  <si>
    <t>Demographic adjusted TME per person growth by payer</t>
  </si>
  <si>
    <t>TME_Provider</t>
  </si>
  <si>
    <t>Demographic adjusted TME per person growth by provider organization</t>
  </si>
  <si>
    <t>Entity_Name</t>
  </si>
  <si>
    <t xml:space="preserve">Key with full and abbreviated names of payers and provider organizations </t>
  </si>
  <si>
    <t>Health Care Cost Growth Trends in Oregon, 2021-2022</t>
  </si>
  <si>
    <t>2024 Sustainable Health Care Cost Growth Target Annual Report - Databook</t>
  </si>
  <si>
    <t xml:space="preserve">This databook provides the detailed state, market, payer and provider organization level data underlying the 2024 Sustainable Health Care Cost Growth Target Annual Report </t>
  </si>
  <si>
    <t>Total Health Care Expenditures (THCE) Statewide, 2021-2022</t>
  </si>
  <si>
    <t>THCE Commercial Market, 2021-2022</t>
  </si>
  <si>
    <t>THCE Medicare Market, 2021-2022</t>
  </si>
  <si>
    <t>THCE Medicaid Market, 2021-2022</t>
  </si>
  <si>
    <t>THCE Net Cost of Private Health Insurance by Market Sector, 2021-2022</t>
  </si>
  <si>
    <t>THCE Other Spending, 2021-2022</t>
  </si>
  <si>
    <t>Components of Total Health Care Expenditures: Medicare, 2021-2022</t>
  </si>
  <si>
    <t>OHA</t>
  </si>
  <si>
    <t>Total Medical Expenses (TME) Spending by Service Category, Statewide, 2021-2022</t>
  </si>
  <si>
    <t>TME Spending by Service Category, Commercial, 2021-2022</t>
  </si>
  <si>
    <t>TME Spending by Service Category, Medicare, 2021-2022</t>
  </si>
  <si>
    <t>TME Spending by Service Category, Medicaid,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</si>
</sst>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quot;$&quot;#,##0.00"/>
    <numFmt numFmtId="166" formatCode="0.0%"/>
    <numFmt numFmtId="167" formatCode="&quot;$&quot;#,##0"/>
    <numFmt numFmtId="168" formatCode="#,##0.00000"/>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4"/>
      <color theme="3"/>
      <name val="Calibri"/>
      <family val="2"/>
      <scheme val="minor"/>
    </font>
    <font>
      <u/>
      <sz val="11"/>
      <color theme="10"/>
      <name val="Calibri"/>
      <family val="2"/>
      <scheme val="minor"/>
    </font>
    <font>
      <b/>
      <sz val="12"/>
      <color theme="6" tint="-0.249977111117893"/>
      <name val="Calibri"/>
      <family val="2"/>
      <scheme val="minor"/>
    </font>
    <font>
      <sz val="11"/>
      <name val="Calibri"/>
      <family val="2"/>
      <scheme val="minor"/>
    </font>
    <font>
      <b/>
      <sz val="11"/>
      <name val="Calibri"/>
      <family val="2"/>
      <scheme val="minor"/>
    </font>
    <font>
      <sz val="11"/>
      <color indexed="8"/>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
      <sz val="11"/>
      <color indexed="9"/>
      <name val="Calibri"/>
      <family val="2"/>
    </font>
    <font>
      <b/>
      <u/>
      <sz val="11"/>
      <color rgb="FFFF0000"/>
      <name val="Calibri"/>
      <family val="2"/>
      <scheme val="minor"/>
    </font>
    <font>
      <b/>
      <u/>
      <sz val="11"/>
      <color theme="10"/>
      <name val="Calibri"/>
      <family val="2"/>
      <scheme val="minor"/>
    </font>
    <font>
      <b/>
      <sz val="11"/>
      <color rgb="FFFF0000"/>
      <name val="Calibri"/>
      <family val="2"/>
      <scheme val="minor"/>
    </font>
    <font>
      <sz val="11"/>
      <color rgb="FF00B050"/>
      <name val="Calibri"/>
      <family val="2"/>
      <scheme val="minor"/>
    </font>
    <font>
      <sz val="10"/>
      <name val="Calibri"/>
      <family val="2"/>
    </font>
    <font>
      <b/>
      <sz val="12"/>
      <color rgb="FF0082AC"/>
      <name val="Calibri"/>
      <family val="2"/>
      <scheme val="minor"/>
    </font>
    <font>
      <sz val="12"/>
      <color rgb="FFFF0000"/>
      <name val="Calibri"/>
      <family val="2"/>
      <scheme val="minor"/>
    </font>
    <font>
      <b/>
      <sz val="11"/>
      <color rgb="FF000000"/>
      <name val="Calibri"/>
      <family val="2"/>
      <scheme val="minor"/>
    </font>
    <font>
      <b/>
      <sz val="11"/>
      <color rgb="FF000000"/>
      <name val="Calibri"/>
      <family val="2"/>
    </font>
    <font>
      <sz val="11"/>
      <color rgb="FF000000"/>
      <name val="Calibri"/>
      <family val="2"/>
    </font>
    <font>
      <b/>
      <sz val="22"/>
      <color rgb="FF1F497D"/>
      <name val="Rockwell"/>
      <family val="1"/>
    </font>
    <font>
      <sz val="12"/>
      <color rgb="FF003F6F"/>
      <name val="Rockwell"/>
      <family val="1"/>
    </font>
    <font>
      <b/>
      <u/>
      <sz val="11"/>
      <color theme="5"/>
      <name val="Calibri"/>
      <family val="2"/>
      <scheme val="minor"/>
    </font>
  </fonts>
  <fills count="3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71">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11" applyNumberFormat="0" applyAlignment="0" applyProtection="0"/>
    <xf numFmtId="0" fontId="17" fillId="8" borderId="12" applyNumberFormat="0" applyAlignment="0" applyProtection="0"/>
    <xf numFmtId="0" fontId="18" fillId="8" borderId="11" applyNumberFormat="0" applyAlignment="0" applyProtection="0"/>
    <xf numFmtId="0" fontId="19" fillId="0" borderId="13" applyNumberFormat="0" applyFill="0" applyAlignment="0" applyProtection="0"/>
    <xf numFmtId="0" fontId="20" fillId="9" borderId="14" applyNumberFormat="0" applyAlignment="0" applyProtection="0"/>
    <xf numFmtId="0" fontId="21" fillId="0" borderId="0" applyNumberFormat="0" applyFill="0" applyBorder="0" applyAlignment="0" applyProtection="0"/>
    <xf numFmtId="0" fontId="1" fillId="10" borderId="15" applyNumberFormat="0" applyFont="0" applyAlignment="0" applyProtection="0"/>
    <xf numFmtId="0" fontId="22" fillId="0" borderId="0" applyNumberFormat="0" applyFill="0" applyBorder="0" applyAlignment="0" applyProtection="0"/>
    <xf numFmtId="0" fontId="2" fillId="0" borderId="16"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4" borderId="0" applyNumberFormat="0" applyBorder="0" applyAlignment="0" applyProtection="0"/>
    <xf numFmtId="0" fontId="24" fillId="0" borderId="0"/>
    <xf numFmtId="0" fontId="24" fillId="0" borderId="0"/>
    <xf numFmtId="0" fontId="8" fillId="0" borderId="0"/>
    <xf numFmtId="0" fontId="25" fillId="35" borderId="0" applyNumberFormat="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15" applyNumberFormat="0" applyFont="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43" fontId="30" fillId="0" borderId="0" applyFont="0" applyFill="0" applyBorder="0" applyAlignment="0" applyProtection="0"/>
    <xf numFmtId="0" fontId="30" fillId="0" borderId="0"/>
  </cellStyleXfs>
  <cellXfs count="146">
    <xf numFmtId="0" fontId="0" fillId="0" borderId="0" xfId="0"/>
    <xf numFmtId="0" fontId="3" fillId="0" borderId="0" xfId="0" applyFont="1" applyFill="1" applyAlignment="1"/>
    <xf numFmtId="164" fontId="5" fillId="0" borderId="0" xfId="0" applyNumberFormat="1" applyFont="1" applyFill="1" applyBorder="1" applyAlignment="1">
      <alignment horizontal="left" vertical="center"/>
    </xf>
    <xf numFmtId="0" fontId="5" fillId="0" borderId="0" xfId="0" applyFont="1" applyAlignment="1"/>
    <xf numFmtId="0" fontId="5" fillId="0" borderId="0" xfId="0" applyFont="1" applyBorder="1" applyAlignment="1">
      <alignment vertical="top"/>
    </xf>
    <xf numFmtId="0" fontId="5" fillId="0" borderId="0" xfId="0" applyFont="1" applyAlignment="1">
      <alignment vertical="top" wrapText="1"/>
    </xf>
    <xf numFmtId="0" fontId="0" fillId="0" borderId="1" xfId="0" applyBorder="1"/>
    <xf numFmtId="166" fontId="0" fillId="0" borderId="1" xfId="0" applyNumberFormat="1" applyBorder="1"/>
    <xf numFmtId="0" fontId="0" fillId="0" borderId="0" xfId="0" applyAlignment="1">
      <alignment horizontal="center"/>
    </xf>
    <xf numFmtId="167" fontId="0" fillId="0" borderId="1" xfId="0" applyNumberFormat="1" applyBorder="1"/>
    <xf numFmtId="4" fontId="0" fillId="0" borderId="0" xfId="0" applyNumberFormat="1"/>
    <xf numFmtId="3" fontId="0" fillId="0" borderId="0" xfId="0" applyNumberFormat="1"/>
    <xf numFmtId="0" fontId="0" fillId="0" borderId="1" xfId="0" applyFill="1" applyBorder="1"/>
    <xf numFmtId="0" fontId="0" fillId="0" borderId="0" xfId="0" applyFill="1"/>
    <xf numFmtId="0" fontId="0" fillId="0" borderId="0" xfId="0" applyFill="1" applyBorder="1"/>
    <xf numFmtId="0" fontId="0" fillId="0" borderId="0" xfId="0" applyBorder="1"/>
    <xf numFmtId="166" fontId="0" fillId="0" borderId="0" xfId="0" applyNumberFormat="1" applyBorder="1"/>
    <xf numFmtId="0" fontId="2" fillId="0" borderId="0" xfId="0" applyFont="1" applyFill="1" applyBorder="1"/>
    <xf numFmtId="0" fontId="2" fillId="2" borderId="1" xfId="0" applyFont="1" applyFill="1" applyBorder="1" applyAlignment="1">
      <alignment horizontal="center"/>
    </xf>
    <xf numFmtId="0" fontId="0" fillId="0" borderId="0" xfId="0"/>
    <xf numFmtId="0" fontId="4" fillId="0" borderId="1" xfId="2" applyBorder="1"/>
    <xf numFmtId="0" fontId="4" fillId="0" borderId="1" xfId="2" applyFont="1" applyBorder="1"/>
    <xf numFmtId="0" fontId="21" fillId="0" borderId="0" xfId="0" applyFont="1"/>
    <xf numFmtId="167" fontId="0" fillId="0" borderId="1" xfId="1" applyNumberFormat="1" applyFont="1" applyBorder="1"/>
    <xf numFmtId="167" fontId="6" fillId="0" borderId="1" xfId="1" applyNumberFormat="1" applyFont="1" applyBorder="1"/>
    <xf numFmtId="167" fontId="0" fillId="0" borderId="1" xfId="0" applyNumberFormat="1" applyFont="1" applyBorder="1" applyAlignment="1">
      <alignment horizontal="right"/>
    </xf>
    <xf numFmtId="0" fontId="21" fillId="0" borderId="1" xfId="0" applyFont="1" applyBorder="1"/>
    <xf numFmtId="0" fontId="3" fillId="0" borderId="0" xfId="0" applyFont="1"/>
    <xf numFmtId="164" fontId="5" fillId="0" borderId="0" xfId="0" applyNumberFormat="1" applyFont="1" applyAlignment="1">
      <alignment horizontal="left" vertical="center"/>
    </xf>
    <xf numFmtId="0" fontId="5" fillId="0" borderId="0" xfId="0" applyFont="1"/>
    <xf numFmtId="0" fontId="5" fillId="0" borderId="0" xfId="0" applyFont="1" applyAlignment="1">
      <alignment vertical="top"/>
    </xf>
    <xf numFmtId="3" fontId="0" fillId="0" borderId="1" xfId="1" applyNumberFormat="1" applyFont="1" applyBorder="1"/>
    <xf numFmtId="0" fontId="7" fillId="0" borderId="1" xfId="0" applyFont="1" applyFill="1" applyBorder="1"/>
    <xf numFmtId="0" fontId="2" fillId="0" borderId="0" xfId="0" applyFont="1"/>
    <xf numFmtId="0" fontId="21" fillId="0" borderId="0" xfId="0" applyFont="1" applyAlignment="1">
      <alignment horizontal="left"/>
    </xf>
    <xf numFmtId="0" fontId="4" fillId="0" borderId="0" xfId="2" applyFont="1" applyBorder="1"/>
    <xf numFmtId="3" fontId="0" fillId="0" borderId="0" xfId="1" applyNumberFormat="1" applyFont="1" applyBorder="1"/>
    <xf numFmtId="0" fontId="2" fillId="3" borderId="1" xfId="0" applyFont="1" applyFill="1" applyBorder="1"/>
    <xf numFmtId="0" fontId="0" fillId="3" borderId="1" xfId="0" applyFill="1" applyBorder="1"/>
    <xf numFmtId="167" fontId="2" fillId="3" borderId="1" xfId="0" applyNumberFormat="1" applyFont="1" applyFill="1" applyBorder="1"/>
    <xf numFmtId="166" fontId="2" fillId="3" borderId="1" xfId="0" applyNumberFormat="1" applyFont="1" applyFill="1" applyBorder="1"/>
    <xf numFmtId="0" fontId="6" fillId="0" borderId="1" xfId="0" applyFont="1" applyBorder="1"/>
    <xf numFmtId="0" fontId="2" fillId="0" borderId="1" xfId="0" applyFont="1" applyBorder="1"/>
    <xf numFmtId="0" fontId="27" fillId="0" borderId="1" xfId="2" applyFont="1" applyBorder="1"/>
    <xf numFmtId="3" fontId="2" fillId="0" borderId="1" xfId="1" applyNumberFormat="1" applyFont="1" applyBorder="1"/>
    <xf numFmtId="166" fontId="2" fillId="0" borderId="1" xfId="0" applyNumberFormat="1" applyFont="1" applyBorder="1"/>
    <xf numFmtId="0" fontId="28" fillId="0" borderId="1" xfId="0" applyFont="1" applyBorder="1"/>
    <xf numFmtId="0" fontId="2" fillId="0" borderId="1" xfId="0" applyFont="1" applyFill="1" applyBorder="1"/>
    <xf numFmtId="167" fontId="2" fillId="0" borderId="1" xfId="0" applyNumberFormat="1" applyFont="1" applyBorder="1"/>
    <xf numFmtId="165" fontId="0" fillId="0" borderId="0" xfId="1" applyNumberFormat="1" applyFont="1" applyFill="1"/>
    <xf numFmtId="0" fontId="28" fillId="0" borderId="0" xfId="0" applyFont="1"/>
    <xf numFmtId="165" fontId="0" fillId="0" borderId="0" xfId="0" applyNumberFormat="1"/>
    <xf numFmtId="167" fontId="1" fillId="0" borderId="1" xfId="1" applyNumberFormat="1" applyFont="1" applyBorder="1"/>
    <xf numFmtId="167" fontId="2" fillId="3" borderId="1" xfId="1" applyNumberFormat="1" applyFont="1" applyFill="1" applyBorder="1"/>
    <xf numFmtId="0" fontId="0" fillId="0" borderId="1" xfId="0" applyFont="1" applyBorder="1"/>
    <xf numFmtId="167" fontId="2" fillId="0" borderId="0" xfId="0" applyNumberFormat="1" applyFont="1" applyFill="1" applyBorder="1"/>
    <xf numFmtId="166" fontId="2" fillId="0" borderId="0" xfId="0" applyNumberFormat="1" applyFont="1" applyFill="1" applyBorder="1"/>
    <xf numFmtId="165" fontId="0" fillId="0" borderId="1" xfId="1" applyNumberFormat="1" applyFont="1" applyBorder="1"/>
    <xf numFmtId="3" fontId="2" fillId="0" borderId="1" xfId="0" applyNumberFormat="1" applyFont="1" applyBorder="1"/>
    <xf numFmtId="166" fontId="0" fillId="3" borderId="1" xfId="0" applyNumberFormat="1" applyFill="1" applyBorder="1"/>
    <xf numFmtId="3" fontId="2" fillId="3" borderId="1" xfId="0" applyNumberFormat="1" applyFont="1" applyFill="1" applyBorder="1"/>
    <xf numFmtId="0" fontId="6" fillId="0" borderId="0" xfId="0" applyFont="1"/>
    <xf numFmtId="165" fontId="2" fillId="0" borderId="1" xfId="1" applyNumberFormat="1" applyFont="1" applyBorder="1"/>
    <xf numFmtId="0" fontId="7" fillId="3" borderId="1" xfId="0" applyFont="1" applyFill="1" applyBorder="1"/>
    <xf numFmtId="167" fontId="7" fillId="3" borderId="1" xfId="1" applyNumberFormat="1" applyFont="1" applyFill="1" applyBorder="1"/>
    <xf numFmtId="166" fontId="0" fillId="0" borderId="1" xfId="68" applyNumberFormat="1" applyFont="1" applyBorder="1"/>
    <xf numFmtId="9" fontId="0" fillId="0" borderId="1" xfId="68" applyFont="1" applyBorder="1"/>
    <xf numFmtId="0" fontId="29" fillId="0" borderId="1" xfId="0" applyFont="1" applyBorder="1"/>
    <xf numFmtId="0" fontId="29" fillId="0" borderId="0" xfId="0" applyFont="1"/>
    <xf numFmtId="166" fontId="0" fillId="0" borderId="1" xfId="0" applyNumberFormat="1" applyFill="1" applyBorder="1"/>
    <xf numFmtId="0" fontId="6" fillId="0" borderId="1" xfId="0" applyFont="1" applyFill="1" applyBorder="1"/>
    <xf numFmtId="165" fontId="0" fillId="0" borderId="1" xfId="0" applyNumberFormat="1" applyFont="1" applyBorder="1"/>
    <xf numFmtId="165" fontId="2" fillId="0" borderId="1" xfId="0" applyNumberFormat="1" applyFont="1" applyBorder="1"/>
    <xf numFmtId="44" fontId="0" fillId="0" borderId="1" xfId="1" applyNumberFormat="1" applyFont="1" applyBorder="1"/>
    <xf numFmtId="44" fontId="2" fillId="0" borderId="1" xfId="1" applyNumberFormat="1" applyFont="1" applyBorder="1"/>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0" borderId="0" xfId="0"/>
    <xf numFmtId="3" fontId="0" fillId="0" borderId="0" xfId="0" applyNumberFormat="1"/>
    <xf numFmtId="9" fontId="0" fillId="0" borderId="0" xfId="68" applyFont="1"/>
    <xf numFmtId="0" fontId="6" fillId="0" borderId="1" xfId="2" applyFont="1" applyFill="1" applyBorder="1"/>
    <xf numFmtId="168" fontId="2" fillId="3" borderId="1" xfId="0" applyNumberFormat="1" applyFont="1" applyFill="1" applyBorder="1"/>
    <xf numFmtId="0" fontId="21" fillId="3" borderId="1" xfId="0" applyFont="1" applyFill="1" applyBorder="1"/>
    <xf numFmtId="0" fontId="28" fillId="3" borderId="1" xfId="0" applyFont="1" applyFill="1" applyBorder="1"/>
    <xf numFmtId="0" fontId="28" fillId="0" borderId="0" xfId="0" applyFont="1" applyFill="1" applyBorder="1"/>
    <xf numFmtId="3" fontId="2" fillId="3" borderId="1" xfId="1" applyNumberFormat="1" applyFont="1" applyFill="1" applyBorder="1"/>
    <xf numFmtId="168" fontId="2" fillId="3" borderId="1" xfId="1" applyNumberFormat="1" applyFont="1" applyFill="1" applyBorder="1"/>
    <xf numFmtId="0" fontId="0" fillId="2" borderId="1" xfId="0" applyFill="1" applyBorder="1"/>
    <xf numFmtId="0" fontId="4" fillId="2" borderId="1" xfId="2" applyFill="1" applyBorder="1"/>
    <xf numFmtId="167" fontId="0" fillId="2" borderId="1" xfId="0" applyNumberFormat="1" applyFill="1" applyBorder="1"/>
    <xf numFmtId="166" fontId="0" fillId="2" borderId="1" xfId="0" applyNumberFormat="1" applyFill="1" applyBorder="1"/>
    <xf numFmtId="0" fontId="6" fillId="2" borderId="1" xfId="0" applyFont="1" applyFill="1" applyBorder="1"/>
    <xf numFmtId="3" fontId="0" fillId="2" borderId="1" xfId="1" applyNumberFormat="1" applyFont="1" applyFill="1" applyBorder="1"/>
    <xf numFmtId="44" fontId="0" fillId="2" borderId="1" xfId="1" applyNumberFormat="1" applyFont="1" applyFill="1" applyBorder="1"/>
    <xf numFmtId="0" fontId="26" fillId="0" borderId="1" xfId="2" applyFont="1" applyFill="1" applyBorder="1"/>
    <xf numFmtId="167" fontId="0" fillId="0" borderId="1" xfId="1" applyNumberFormat="1" applyFont="1" applyFill="1" applyBorder="1"/>
    <xf numFmtId="167" fontId="6" fillId="0" borderId="1" xfId="1" applyNumberFormat="1" applyFont="1" applyFill="1" applyBorder="1"/>
    <xf numFmtId="167" fontId="0" fillId="0" borderId="1" xfId="0" applyNumberFormat="1" applyFont="1" applyFill="1" applyBorder="1" applyAlignment="1">
      <alignment horizontal="right"/>
    </xf>
    <xf numFmtId="0" fontId="21" fillId="0" borderId="1" xfId="0" applyFont="1" applyFill="1" applyBorder="1"/>
    <xf numFmtId="3" fontId="0" fillId="0" borderId="1" xfId="0" applyNumberFormat="1" applyFill="1" applyBorder="1"/>
    <xf numFmtId="165" fontId="0" fillId="0" borderId="1" xfId="1" applyNumberFormat="1" applyFont="1" applyFill="1" applyBorder="1"/>
    <xf numFmtId="0" fontId="28" fillId="0" borderId="1" xfId="0" applyFont="1" applyFill="1" applyBorder="1"/>
    <xf numFmtId="164" fontId="31" fillId="0" borderId="0" xfId="0" applyNumberFormat="1" applyFont="1" applyAlignment="1">
      <alignment horizontal="left" vertical="center"/>
    </xf>
    <xf numFmtId="0" fontId="31" fillId="0" borderId="0" xfId="0" applyFont="1" applyAlignment="1">
      <alignment vertical="top"/>
    </xf>
    <xf numFmtId="164" fontId="32" fillId="0" borderId="0" xfId="0" applyNumberFormat="1" applyFont="1" applyAlignment="1">
      <alignment horizontal="left" vertical="center"/>
    </xf>
    <xf numFmtId="0" fontId="33" fillId="0" borderId="1" xfId="0" applyFont="1" applyBorder="1"/>
    <xf numFmtId="3" fontId="34" fillId="0" borderId="1" xfId="0" applyNumberFormat="1" applyFont="1" applyBorder="1"/>
    <xf numFmtId="166" fontId="34" fillId="0" borderId="1" xfId="0" applyNumberFormat="1" applyFont="1" applyBorder="1"/>
    <xf numFmtId="0" fontId="34" fillId="0" borderId="1" xfId="0" applyFont="1" applyBorder="1"/>
    <xf numFmtId="3" fontId="35" fillId="0" borderId="1" xfId="0" applyNumberFormat="1" applyFont="1" applyBorder="1"/>
    <xf numFmtId="166" fontId="35" fillId="0" borderId="1" xfId="0" applyNumberFormat="1" applyFont="1" applyBorder="1"/>
    <xf numFmtId="166" fontId="35" fillId="0" borderId="0" xfId="0" applyNumberFormat="1" applyFont="1"/>
    <xf numFmtId="3" fontId="0" fillId="0" borderId="1" xfId="0" applyNumberFormat="1" applyBorder="1"/>
    <xf numFmtId="3" fontId="33" fillId="0" borderId="1" xfId="0" applyNumberFormat="1" applyFont="1" applyBorder="1"/>
    <xf numFmtId="1" fontId="2" fillId="0" borderId="1" xfId="0" applyNumberFormat="1" applyFont="1" applyFill="1" applyBorder="1" applyAlignment="1">
      <alignment horizontal="center" vertical="center"/>
    </xf>
    <xf numFmtId="0" fontId="33" fillId="0" borderId="0" xfId="0" applyFont="1" applyBorder="1"/>
    <xf numFmtId="3" fontId="33" fillId="0" borderId="0" xfId="0" applyNumberFormat="1" applyFont="1" applyBorder="1"/>
    <xf numFmtId="0" fontId="2" fillId="2" borderId="1" xfId="0" applyFont="1" applyFill="1" applyBorder="1" applyAlignment="1">
      <alignment horizontal="center"/>
    </xf>
    <xf numFmtId="0" fontId="4" fillId="0" borderId="1" xfId="2" applyFill="1" applyBorder="1"/>
    <xf numFmtId="167" fontId="0" fillId="0" borderId="1" xfId="0" applyNumberFormat="1" applyFill="1" applyBorder="1"/>
    <xf numFmtId="0" fontId="6" fillId="0" borderId="0" xfId="0" applyFont="1" applyFill="1"/>
    <xf numFmtId="4" fontId="0" fillId="0" borderId="0" xfId="0" applyNumberFormat="1" applyBorder="1"/>
    <xf numFmtId="3" fontId="0" fillId="0" borderId="1" xfId="0" applyNumberFormat="1" applyFont="1" applyFill="1" applyBorder="1" applyAlignment="1">
      <alignment horizontal="right"/>
    </xf>
    <xf numFmtId="165" fontId="0" fillId="0" borderId="1" xfId="0" applyNumberFormat="1" applyBorder="1"/>
    <xf numFmtId="3" fontId="35" fillId="0" borderId="0" xfId="0" applyNumberFormat="1" applyFont="1"/>
    <xf numFmtId="166" fontId="0" fillId="0" borderId="0" xfId="68" applyNumberFormat="1" applyFont="1"/>
    <xf numFmtId="0" fontId="0" fillId="36" borderId="1" xfId="0" applyFill="1" applyBorder="1"/>
    <xf numFmtId="0" fontId="1" fillId="0" borderId="1" xfId="0" applyFont="1" applyBorder="1" applyAlignment="1">
      <alignment wrapText="1"/>
    </xf>
    <xf numFmtId="0" fontId="35" fillId="0" borderId="1" xfId="0" applyFont="1" applyBorder="1" applyAlignment="1">
      <alignment vertical="center"/>
    </xf>
    <xf numFmtId="166" fontId="0" fillId="0" borderId="1" xfId="68" applyNumberFormat="1" applyFont="1" applyFill="1" applyBorder="1"/>
    <xf numFmtId="167" fontId="0" fillId="0" borderId="0" xfId="0" applyNumberFormat="1"/>
    <xf numFmtId="3" fontId="0" fillId="0" borderId="1" xfId="1" applyNumberFormat="1" applyFont="1" applyFill="1" applyBorder="1"/>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0" borderId="0" xfId="0" applyFont="1" applyBorder="1" applyAlignment="1">
      <alignment horizontal="center"/>
    </xf>
    <xf numFmtId="0" fontId="36" fillId="0" borderId="0" xfId="0" applyFont="1" applyAlignment="1">
      <alignment vertical="center"/>
    </xf>
    <xf numFmtId="0" fontId="0" fillId="36" borderId="0" xfId="0" applyFill="1"/>
    <xf numFmtId="0" fontId="37" fillId="0" borderId="0" xfId="0" applyFont="1" applyAlignment="1">
      <alignment vertical="center"/>
    </xf>
    <xf numFmtId="0" fontId="2" fillId="36" borderId="17" xfId="0" applyFont="1" applyFill="1" applyBorder="1"/>
    <xf numFmtId="0" fontId="0" fillId="36" borderId="17" xfId="0" applyFill="1" applyBorder="1"/>
    <xf numFmtId="0" fontId="0" fillId="36" borderId="0" xfId="0" applyFill="1" applyAlignment="1">
      <alignment horizontal="left"/>
    </xf>
  </cellXfs>
  <cellStyles count="71">
    <cellStyle name="20% - Accent1" xfId="21" builtinId="30" customBuiltin="1"/>
    <cellStyle name="20% - Accent1 2" xfId="56" xr:uid="{00000000-0005-0000-0000-000001000000}"/>
    <cellStyle name="20% - Accent2" xfId="25" builtinId="34" customBuiltin="1"/>
    <cellStyle name="20% - Accent2 2" xfId="58" xr:uid="{00000000-0005-0000-0000-000003000000}"/>
    <cellStyle name="20% - Accent3" xfId="29" builtinId="38" customBuiltin="1"/>
    <cellStyle name="20% - Accent3 2" xfId="60" xr:uid="{00000000-0005-0000-0000-000005000000}"/>
    <cellStyle name="20% - Accent4" xfId="33" builtinId="42" customBuiltin="1"/>
    <cellStyle name="20% - Accent4 2" xfId="62" xr:uid="{00000000-0005-0000-0000-000007000000}"/>
    <cellStyle name="20% - Accent5" xfId="37" builtinId="46" customBuiltin="1"/>
    <cellStyle name="20% - Accent5 2" xfId="64" xr:uid="{00000000-0005-0000-0000-000009000000}"/>
    <cellStyle name="20% - Accent6" xfId="41" builtinId="50" customBuiltin="1"/>
    <cellStyle name="20% - Accent6 2" xfId="66" xr:uid="{00000000-0005-0000-0000-00000B000000}"/>
    <cellStyle name="40% - Accent1" xfId="22" builtinId="31" customBuiltin="1"/>
    <cellStyle name="40% - Accent1 2" xfId="57" xr:uid="{00000000-0005-0000-0000-00000D000000}"/>
    <cellStyle name="40% - Accent2" xfId="26" builtinId="35" customBuiltin="1"/>
    <cellStyle name="40% - Accent2 2" xfId="59" xr:uid="{00000000-0005-0000-0000-00000F000000}"/>
    <cellStyle name="40% - Accent3" xfId="30" builtinId="39" customBuiltin="1"/>
    <cellStyle name="40% - Accent3 2" xfId="61" xr:uid="{00000000-0005-0000-0000-000011000000}"/>
    <cellStyle name="40% - Accent4" xfId="34" builtinId="43" customBuiltin="1"/>
    <cellStyle name="40% - Accent4 2" xfId="63" xr:uid="{00000000-0005-0000-0000-000013000000}"/>
    <cellStyle name="40% - Accent5" xfId="38" builtinId="47" customBuiltin="1"/>
    <cellStyle name="40% - Accent5 2" xfId="65" xr:uid="{00000000-0005-0000-0000-000015000000}"/>
    <cellStyle name="40% - Accent6" xfId="42" builtinId="51" customBuiltin="1"/>
    <cellStyle name="40% - Accent6 2" xfId="67" xr:uid="{00000000-0005-0000-0000-00001700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1 2" xfId="55" xr:uid="{00000000-0005-0000-0000-00001F000000}"/>
    <cellStyle name="Accent1 3" xfId="47" xr:uid="{00000000-0005-0000-0000-000020000000}"/>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2" xfId="48" xr:uid="{00000000-0005-0000-0000-00002A000000}"/>
    <cellStyle name="Comma 2 2" xfId="69" xr:uid="{2C9B0058-1106-4305-8D5E-48B799511833}"/>
    <cellStyle name="Comma 3" xfId="52" xr:uid="{00000000-0005-0000-0000-00002B000000}"/>
    <cellStyle name="Currency" xfId="1"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xfId="45" xr:uid="{00000000-0005-0000-0000-000038000000}"/>
    <cellStyle name="Normal 2 2" xfId="49" xr:uid="{00000000-0005-0000-0000-000039000000}"/>
    <cellStyle name="Normal 2 3" xfId="70" xr:uid="{497EFC48-0424-495E-9DEF-053FF56C4DD1}"/>
    <cellStyle name="Normal 3" xfId="44" xr:uid="{00000000-0005-0000-0000-00003A000000}"/>
    <cellStyle name="Normal 3 2" xfId="51" xr:uid="{00000000-0005-0000-0000-00003B000000}"/>
    <cellStyle name="Normal 4" xfId="46" xr:uid="{00000000-0005-0000-0000-00003C000000}"/>
    <cellStyle name="Note" xfId="17" builtinId="10" customBuiltin="1"/>
    <cellStyle name="Note 2" xfId="54" xr:uid="{00000000-0005-0000-0000-00003E000000}"/>
    <cellStyle name="Output" xfId="12" builtinId="21" customBuiltin="1"/>
    <cellStyle name="Percent" xfId="68" builtinId="5"/>
    <cellStyle name="Percent 2" xfId="50" xr:uid="{00000000-0005-0000-0000-000041000000}"/>
    <cellStyle name="Percent 3" xfId="53" xr:uid="{00000000-0005-0000-0000-000042000000}"/>
    <cellStyle name="Title" xfId="3" builtinId="15" customBuiltin="1"/>
    <cellStyle name="Total" xfId="19" builtinId="25" customBuiltin="1"/>
    <cellStyle name="Warning Text" xfId="16" builtinId="11" customBuiltin="1"/>
  </cellStyles>
  <dxfs count="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0082AC"/>
      <color rgb="FFE6F2D1"/>
      <color rgb="FFCDE5A4"/>
      <color rgb="FFB5D876"/>
      <color rgb="FF7DA830"/>
      <color rgb="FF5E7E24"/>
      <color rgb="FF3F5418"/>
      <color rgb="FF5D7D24"/>
      <color rgb="FF3E5418"/>
      <color rgb="FFB066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Offices\Salem%20(500%20Summer%20St)\Oregon%20Health%20Authority\Sustainable%20Health%20Care%20Cost%20Growth%20Target\Data\Data%20Sources\VA\GDX_FY21.xlsx" TargetMode="External"/><Relationship Id="rId1" Type="http://schemas.openxmlformats.org/officeDocument/2006/relationships/externalLinkPath" Target="/Offices/Salem%20(500%20Summer%20St)/Oregon%20Health%20Authority/Sustainable%20Health%20Care%20Cost%20Growth%20Target/Data/Data%20Sources/VA/GDX_FY2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Offices\Salem%20(500%20Summer%20St)\Oregon%20Health%20Authority\Sustainable%20Health%20Care%20Cost%20Growth%20Target\Data\Data%20Sources\VA\GDX_FY22.xlsx" TargetMode="External"/><Relationship Id="rId1" Type="http://schemas.openxmlformats.org/officeDocument/2006/relationships/externalLinkPath" Target="/Offices/Salem%20(500%20Summer%20St)/Oregon%20Health%20Authority/Sustainable%20Health%20Care%20Cost%20Growth%20Target/Data/Data%20Sources/VA/GDX_FY2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S:\Offices\Salem%20(500%20Summer%20St)\Oregon%20Health%20Authority\Sustainable%20Health%20Care%20Cost%20Growth%20Target\Data\Data%20Sources\Corrections\Data%20from%20Matt.xlsx" TargetMode="External"/><Relationship Id="rId1" Type="http://schemas.openxmlformats.org/officeDocument/2006/relationships/externalLinkPath" Target="/Offices/Salem%20(500%20Summer%20St)/Oregon%20Health%20Authority/Sustainable%20Health%20Care%20Cost%20Growth%20Target/Data/Data%20Sources/Corrections/Data%20from%20Ma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a Guide"/>
      <sheetName val="State Level Expenditures"/>
      <sheetName val="AK"/>
      <sheetName val="AL"/>
      <sheetName val="AR"/>
      <sheetName val="AZ"/>
      <sheetName val="CA"/>
      <sheetName val="CO"/>
      <sheetName val="CT"/>
      <sheetName val="DC"/>
      <sheetName val="DE"/>
      <sheetName val="FL"/>
      <sheetName val="GA"/>
      <sheetName val="HI"/>
      <sheetName val="IA"/>
      <sheetName val="ID"/>
      <sheetName val="IL"/>
      <sheetName val="IN"/>
      <sheetName val="KS"/>
      <sheetName val="KY"/>
      <sheetName val="LA"/>
      <sheetName val="MA"/>
      <sheetName val="MD"/>
      <sheetName val="ME"/>
      <sheetName val="MI"/>
      <sheetName val="MN"/>
      <sheetName val="MO"/>
      <sheetName val="MS"/>
      <sheetName val="MT"/>
      <sheetName val="NC"/>
      <sheetName val="ND"/>
      <sheetName val="NE"/>
      <sheetName val="NH"/>
      <sheetName val="NJ"/>
      <sheetName val="NM"/>
      <sheetName val="NV"/>
      <sheetName val="NY"/>
      <sheetName val="OH"/>
      <sheetName val="OK"/>
      <sheetName val="OR"/>
      <sheetName val="PA"/>
      <sheetName val="RI"/>
      <sheetName val="SC"/>
      <sheetName val="SD"/>
      <sheetName val="TN"/>
      <sheetName val="TX"/>
      <sheetName val="UT"/>
      <sheetName val="VA"/>
      <sheetName val="VT"/>
      <sheetName val="WA"/>
      <sheetName val="WI"/>
      <sheetName val="WV"/>
      <sheetName val="WY"/>
      <sheetName val="PR"/>
      <sheetName val="GU"/>
    </sheetNames>
    <sheetDataSet>
      <sheetData sheetId="0"/>
      <sheetData sheetId="1">
        <row r="43">
          <cell r="J43">
            <v>1577274.2413569672</v>
          </cell>
          <cell r="K43">
            <v>103417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a Guide"/>
      <sheetName val="State Level Expenditures"/>
      <sheetName val="AK"/>
      <sheetName val="AL"/>
      <sheetName val="AR"/>
      <sheetName val="AZ"/>
      <sheetName val="CA"/>
      <sheetName val="CO"/>
      <sheetName val="CT"/>
      <sheetName val="DC"/>
      <sheetName val="DE"/>
      <sheetName val="FL"/>
      <sheetName val="GA"/>
      <sheetName val="HI"/>
      <sheetName val="IA"/>
      <sheetName val="ID"/>
      <sheetName val="IL"/>
      <sheetName val="IN"/>
      <sheetName val="KS"/>
      <sheetName val="KY"/>
      <sheetName val="LA"/>
      <sheetName val="MA"/>
      <sheetName val="MD"/>
      <sheetName val="ME"/>
      <sheetName val="MI"/>
      <sheetName val="MN"/>
      <sheetName val="MO"/>
      <sheetName val="MS"/>
      <sheetName val="MT"/>
      <sheetName val="NC"/>
      <sheetName val="ND"/>
      <sheetName val="NE"/>
      <sheetName val="NH"/>
      <sheetName val="NJ"/>
      <sheetName val="NM"/>
      <sheetName val="NV"/>
      <sheetName val="NY"/>
      <sheetName val="OH"/>
      <sheetName val="OK"/>
      <sheetName val="OR"/>
      <sheetName val="PA"/>
      <sheetName val="RI"/>
      <sheetName val="SC"/>
      <sheetName val="SD"/>
      <sheetName val="TN"/>
      <sheetName val="TX"/>
      <sheetName val="UT"/>
      <sheetName val="VA"/>
      <sheetName val="VT"/>
      <sheetName val="WA"/>
      <sheetName val="WI"/>
      <sheetName val="WV"/>
      <sheetName val="WY"/>
      <sheetName val="PR"/>
      <sheetName val="GU"/>
    </sheetNames>
    <sheetDataSet>
      <sheetData sheetId="0"/>
      <sheetData sheetId="1">
        <row r="43">
          <cell r="J43">
            <v>1789622.2116970001</v>
          </cell>
          <cell r="K43">
            <v>98257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sheetDataSet>
      <sheetData sheetId="0">
        <row r="6">
          <cell r="I6">
            <v>12468</v>
          </cell>
          <cell r="J6">
            <v>239840432.63999999</v>
          </cell>
        </row>
        <row r="7">
          <cell r="I7">
            <v>12079</v>
          </cell>
          <cell r="J7">
            <v>173464223.98999998</v>
          </cell>
        </row>
      </sheetData>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1F497D"/>
      </a:accent1>
      <a:accent2>
        <a:srgbClr val="0078A3"/>
      </a:accent2>
      <a:accent3>
        <a:srgbClr val="00AAE6"/>
      </a:accent3>
      <a:accent4>
        <a:srgbClr val="A01C3F"/>
      </a:accent4>
      <a:accent5>
        <a:srgbClr val="7DA830"/>
      </a:accent5>
      <a:accent6>
        <a:srgbClr val="E1821B"/>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48C91-4E8E-48AD-A4F1-820156AD51FE}">
  <sheetPr>
    <tabColor theme="0"/>
  </sheetPr>
  <dimension ref="A1:H24"/>
  <sheetViews>
    <sheetView tabSelected="1" workbookViewId="0">
      <selection activeCell="J9" sqref="J9"/>
    </sheetView>
  </sheetViews>
  <sheetFormatPr defaultColWidth="9.1796875" defaultRowHeight="14.5" x14ac:dyDescent="0.35"/>
  <cols>
    <col min="1" max="1" width="9.1796875" style="141"/>
    <col min="2" max="2" width="15.81640625" style="141" customWidth="1"/>
    <col min="3" max="16384" width="9.1796875" style="141"/>
  </cols>
  <sheetData>
    <row r="1" spans="1:8" ht="28.5" x14ac:dyDescent="0.35">
      <c r="A1" s="140" t="s">
        <v>364</v>
      </c>
    </row>
    <row r="2" spans="1:8" ht="15" x14ac:dyDescent="0.35">
      <c r="A2" s="142" t="s">
        <v>365</v>
      </c>
    </row>
    <row r="5" spans="1:8" x14ac:dyDescent="0.35">
      <c r="A5" s="141" t="s">
        <v>366</v>
      </c>
    </row>
    <row r="6" spans="1:8" x14ac:dyDescent="0.35">
      <c r="A6" s="141" t="s">
        <v>343</v>
      </c>
    </row>
    <row r="8" spans="1:8" ht="15.75" customHeight="1" x14ac:dyDescent="0.35">
      <c r="A8" s="143" t="s">
        <v>344</v>
      </c>
      <c r="B8" s="144"/>
      <c r="C8" s="143" t="s">
        <v>345</v>
      </c>
      <c r="D8" s="144"/>
      <c r="E8" s="144"/>
      <c r="F8" s="144"/>
      <c r="G8" s="144"/>
      <c r="H8" s="144"/>
    </row>
    <row r="9" spans="1:8" x14ac:dyDescent="0.35">
      <c r="A9" s="141" t="s">
        <v>346</v>
      </c>
      <c r="C9" s="141" t="s">
        <v>367</v>
      </c>
    </row>
    <row r="10" spans="1:8" x14ac:dyDescent="0.35">
      <c r="A10" s="141" t="s">
        <v>347</v>
      </c>
      <c r="C10" s="141" t="s">
        <v>368</v>
      </c>
    </row>
    <row r="11" spans="1:8" x14ac:dyDescent="0.35">
      <c r="A11" s="141" t="s">
        <v>348</v>
      </c>
      <c r="C11" s="141" t="s">
        <v>369</v>
      </c>
    </row>
    <row r="12" spans="1:8" x14ac:dyDescent="0.35">
      <c r="A12" s="141" t="s">
        <v>349</v>
      </c>
      <c r="C12" s="141" t="s">
        <v>370</v>
      </c>
    </row>
    <row r="13" spans="1:8" x14ac:dyDescent="0.35">
      <c r="A13" s="141" t="s">
        <v>350</v>
      </c>
      <c r="C13" s="141" t="s">
        <v>371</v>
      </c>
    </row>
    <row r="14" spans="1:8" x14ac:dyDescent="0.35">
      <c r="A14" s="141" t="s">
        <v>351</v>
      </c>
      <c r="C14" s="141" t="s">
        <v>372</v>
      </c>
    </row>
    <row r="16" spans="1:8" x14ac:dyDescent="0.35">
      <c r="A16" s="141" t="s">
        <v>352</v>
      </c>
      <c r="C16" s="145" t="s">
        <v>375</v>
      </c>
    </row>
    <row r="17" spans="1:3" x14ac:dyDescent="0.35">
      <c r="A17" s="141" t="s">
        <v>353</v>
      </c>
      <c r="C17" s="141" t="s">
        <v>376</v>
      </c>
    </row>
    <row r="18" spans="1:3" x14ac:dyDescent="0.35">
      <c r="A18" s="141" t="s">
        <v>354</v>
      </c>
      <c r="C18" s="141" t="s">
        <v>377</v>
      </c>
    </row>
    <row r="19" spans="1:3" x14ac:dyDescent="0.35">
      <c r="A19" s="141" t="s">
        <v>355</v>
      </c>
      <c r="C19" s="141" t="s">
        <v>378</v>
      </c>
    </row>
    <row r="21" spans="1:3" x14ac:dyDescent="0.35">
      <c r="A21" s="141" t="s">
        <v>358</v>
      </c>
      <c r="C21" s="141" t="s">
        <v>359</v>
      </c>
    </row>
    <row r="22" spans="1:3" x14ac:dyDescent="0.35">
      <c r="A22" s="141" t="s">
        <v>360</v>
      </c>
      <c r="C22" s="141" t="s">
        <v>361</v>
      </c>
    </row>
    <row r="23" spans="1:3" x14ac:dyDescent="0.35">
      <c r="A23" s="141" t="s">
        <v>362</v>
      </c>
      <c r="C23" s="141" t="s">
        <v>363</v>
      </c>
    </row>
    <row r="24" spans="1:3" x14ac:dyDescent="0.35">
      <c r="A24" s="141" t="s">
        <v>356</v>
      </c>
      <c r="C24" s="141" t="s">
        <v>357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D1203-8EE3-4577-9432-09A7BB4E6642}">
  <sheetPr>
    <tabColor theme="5"/>
  </sheetPr>
  <dimension ref="A1:W56"/>
  <sheetViews>
    <sheetView zoomScale="85" zoomScaleNormal="85" workbookViewId="0"/>
  </sheetViews>
  <sheetFormatPr defaultRowHeight="14.5" x14ac:dyDescent="0.35"/>
  <cols>
    <col min="1" max="1" width="41.54296875" style="19" customWidth="1"/>
    <col min="2" max="2" width="19.7265625" style="19" customWidth="1"/>
    <col min="3" max="3" width="20" style="19" bestFit="1" customWidth="1"/>
    <col min="4" max="4" width="16.453125" style="19" customWidth="1"/>
    <col min="5" max="5" width="17.7265625" style="19" customWidth="1"/>
    <col min="6" max="6" width="18.26953125" style="19" customWidth="1"/>
    <col min="7" max="7" width="37.7265625" style="19" customWidth="1"/>
    <col min="8" max="8" width="19.7265625" style="19" customWidth="1"/>
    <col min="9" max="9" width="20" style="19" bestFit="1" customWidth="1"/>
    <col min="10" max="10" width="16.453125" style="19" customWidth="1"/>
    <col min="11" max="11" width="25.453125" style="19" customWidth="1"/>
    <col min="12" max="12" width="8.7265625" style="19"/>
    <col min="13" max="13" width="40" style="19" bestFit="1" customWidth="1"/>
    <col min="14" max="14" width="19.7265625" style="19" customWidth="1"/>
    <col min="15" max="15" width="20" style="19" bestFit="1" customWidth="1"/>
    <col min="16" max="16" width="16.453125" style="19" customWidth="1"/>
    <col min="17" max="17" width="49.81640625" style="19" customWidth="1"/>
    <col min="19" max="19" width="37.7265625" style="19" customWidth="1"/>
    <col min="20" max="20" width="19.7265625" style="19" customWidth="1"/>
    <col min="21" max="21" width="20" style="19" bestFit="1" customWidth="1"/>
    <col min="22" max="22" width="16.453125" style="19" customWidth="1"/>
    <col min="23" max="23" width="17.7265625" style="19" customWidth="1"/>
  </cols>
  <sheetData>
    <row r="1" spans="1:23" ht="18.5" x14ac:dyDescent="0.45">
      <c r="A1" s="1" t="s">
        <v>364</v>
      </c>
      <c r="B1" s="1"/>
      <c r="C1" s="1"/>
      <c r="D1" s="1"/>
      <c r="H1" s="1"/>
      <c r="I1" s="1"/>
      <c r="J1" s="1"/>
      <c r="N1" s="1"/>
      <c r="O1" s="1"/>
      <c r="P1" s="1"/>
      <c r="S1" s="1"/>
      <c r="T1" s="1"/>
      <c r="U1" s="1"/>
      <c r="V1" s="1"/>
    </row>
    <row r="2" spans="1:23" ht="15.5" x14ac:dyDescent="0.35">
      <c r="A2" s="2" t="s">
        <v>141</v>
      </c>
      <c r="B2" s="3"/>
      <c r="C2" s="3"/>
      <c r="D2" s="3"/>
      <c r="G2" s="2" t="s">
        <v>142</v>
      </c>
      <c r="H2" s="3"/>
      <c r="I2" s="3"/>
      <c r="J2" s="3"/>
      <c r="N2" s="3"/>
      <c r="O2" s="3"/>
      <c r="P2" s="3"/>
      <c r="S2" s="2"/>
      <c r="T2" s="3"/>
      <c r="U2" s="3"/>
      <c r="V2" s="3"/>
    </row>
    <row r="3" spans="1:23" ht="15.5" x14ac:dyDescent="0.35">
      <c r="A3" s="4" t="s">
        <v>212</v>
      </c>
      <c r="B3" s="5"/>
      <c r="C3" s="5"/>
      <c r="D3" s="5"/>
      <c r="G3" s="2" t="s">
        <v>143</v>
      </c>
      <c r="H3" s="5"/>
      <c r="I3" s="5"/>
      <c r="J3" s="5"/>
      <c r="N3" s="5"/>
      <c r="O3" s="5"/>
      <c r="P3" s="5"/>
      <c r="S3" s="4"/>
      <c r="T3" s="5"/>
      <c r="U3" s="5"/>
      <c r="V3" s="5"/>
    </row>
    <row r="4" spans="1:23" ht="15.5" x14ac:dyDescent="0.35">
      <c r="A4" s="4"/>
      <c r="B4" s="5"/>
      <c r="C4" s="5"/>
      <c r="D4" s="5"/>
      <c r="G4" s="4"/>
      <c r="H4" s="5"/>
      <c r="I4" s="5"/>
      <c r="J4" s="5"/>
      <c r="M4" s="4"/>
      <c r="N4" s="5"/>
      <c r="O4" s="5"/>
      <c r="P4" s="5"/>
      <c r="S4" s="4"/>
      <c r="T4" s="5"/>
      <c r="U4" s="5"/>
      <c r="V4" s="5"/>
    </row>
    <row r="5" spans="1:23" x14ac:dyDescent="0.35">
      <c r="A5" s="33" t="s">
        <v>340</v>
      </c>
      <c r="G5" s="33" t="s">
        <v>7</v>
      </c>
      <c r="M5" s="33" t="s">
        <v>115</v>
      </c>
      <c r="S5" s="33" t="s">
        <v>105</v>
      </c>
    </row>
    <row r="6" spans="1:23" x14ac:dyDescent="0.35">
      <c r="A6" s="132" t="s">
        <v>8</v>
      </c>
      <c r="B6" s="132" t="s">
        <v>2</v>
      </c>
      <c r="C6" s="132"/>
      <c r="D6" s="76" t="s">
        <v>3</v>
      </c>
      <c r="E6" s="135" t="s">
        <v>30</v>
      </c>
      <c r="G6" s="135" t="s">
        <v>8</v>
      </c>
      <c r="H6" s="133" t="s">
        <v>2</v>
      </c>
      <c r="I6" s="134"/>
      <c r="J6" s="76" t="s">
        <v>3</v>
      </c>
      <c r="K6" s="135" t="s">
        <v>30</v>
      </c>
      <c r="M6" s="132" t="s">
        <v>8</v>
      </c>
      <c r="N6" s="132" t="s">
        <v>2</v>
      </c>
      <c r="O6" s="132"/>
      <c r="P6" s="76" t="s">
        <v>3</v>
      </c>
      <c r="Q6" s="135" t="s">
        <v>30</v>
      </c>
      <c r="S6" s="132" t="s">
        <v>8</v>
      </c>
      <c r="T6" s="132" t="s">
        <v>2</v>
      </c>
      <c r="U6" s="132"/>
      <c r="V6" s="76" t="s">
        <v>3</v>
      </c>
      <c r="W6" s="135" t="s">
        <v>30</v>
      </c>
    </row>
    <row r="7" spans="1:23" x14ac:dyDescent="0.35">
      <c r="A7" s="132"/>
      <c r="B7" s="75">
        <v>2021</v>
      </c>
      <c r="C7" s="75">
        <v>2022</v>
      </c>
      <c r="D7" s="75" t="s">
        <v>211</v>
      </c>
      <c r="E7" s="136"/>
      <c r="G7" s="136"/>
      <c r="H7" s="75">
        <v>2021</v>
      </c>
      <c r="I7" s="75">
        <v>2022</v>
      </c>
      <c r="J7" s="75" t="s">
        <v>211</v>
      </c>
      <c r="K7" s="136"/>
      <c r="M7" s="132"/>
      <c r="N7" s="75">
        <v>2021</v>
      </c>
      <c r="O7" s="75">
        <v>2022</v>
      </c>
      <c r="P7" s="75" t="s">
        <v>211</v>
      </c>
      <c r="Q7" s="136"/>
      <c r="S7" s="132"/>
      <c r="T7" s="75">
        <v>2021</v>
      </c>
      <c r="U7" s="75">
        <v>2022</v>
      </c>
      <c r="V7" s="75" t="s">
        <v>211</v>
      </c>
      <c r="W7" s="136"/>
    </row>
    <row r="8" spans="1:23" x14ac:dyDescent="0.35">
      <c r="A8" s="37" t="s">
        <v>68</v>
      </c>
      <c r="B8" s="60">
        <f t="shared" ref="B8:B25" si="0">N8+T8</f>
        <v>5057499</v>
      </c>
      <c r="C8" s="60">
        <f t="shared" ref="C8:C25" si="1">O8+U8</f>
        <v>5352258</v>
      </c>
      <c r="D8" s="40">
        <f t="shared" ref="D8:D28" si="2">IFERROR((C8-B8)/B8, "")</f>
        <v>5.8281573560370455E-2</v>
      </c>
      <c r="E8" s="38"/>
      <c r="G8" s="37" t="s">
        <v>31</v>
      </c>
      <c r="H8" s="60">
        <v>468657</v>
      </c>
      <c r="I8" s="60">
        <v>459062</v>
      </c>
      <c r="J8" s="40">
        <f t="shared" ref="J8:J21" si="3">IFERROR((I8-H8)/H8, "")</f>
        <v>-2.0473395254951916E-2</v>
      </c>
      <c r="K8" s="38"/>
      <c r="M8" s="37" t="s">
        <v>68</v>
      </c>
      <c r="N8" s="60">
        <v>4285611</v>
      </c>
      <c r="O8" s="60">
        <v>4469885</v>
      </c>
      <c r="P8" s="40">
        <f t="shared" ref="P8:P28" si="4">IFERROR((O8-N8)/N8, "")</f>
        <v>4.299830292576718E-2</v>
      </c>
      <c r="Q8" s="38"/>
      <c r="S8" s="37" t="s">
        <v>68</v>
      </c>
      <c r="T8" s="60">
        <v>771888</v>
      </c>
      <c r="U8" s="60">
        <v>882373</v>
      </c>
      <c r="V8" s="40">
        <f t="shared" ref="V8:V28" si="5">IFERROR((U8-T8)/T8, "")</f>
        <v>0.14313605082602657</v>
      </c>
      <c r="W8" s="38"/>
    </row>
    <row r="9" spans="1:23" s="77" customFormat="1" x14ac:dyDescent="0.35">
      <c r="A9" s="37" t="s">
        <v>134</v>
      </c>
      <c r="B9" s="81">
        <f>(N9*N8+T9*T8)/(N8+T8)</f>
        <v>0.99109471375764746</v>
      </c>
      <c r="C9" s="81">
        <f>(O9*O8+U9*U8)/(O8+U8)</f>
        <v>0.9893462355947128</v>
      </c>
      <c r="D9" s="40">
        <f t="shared" si="2"/>
        <v>-1.7641887689073268E-3</v>
      </c>
      <c r="E9" s="38"/>
      <c r="G9" s="6" t="s">
        <v>33</v>
      </c>
      <c r="H9" s="23">
        <v>1324766208</v>
      </c>
      <c r="I9" s="23">
        <v>1357961371</v>
      </c>
      <c r="J9" s="7">
        <f t="shared" si="3"/>
        <v>2.5057374500905144E-2</v>
      </c>
      <c r="K9" s="41" t="s">
        <v>79</v>
      </c>
      <c r="M9" s="37" t="s">
        <v>134</v>
      </c>
      <c r="N9" s="81">
        <v>0.97180562979631901</v>
      </c>
      <c r="O9" s="81">
        <v>0.96982370780210003</v>
      </c>
      <c r="P9" s="40">
        <f t="shared" si="4"/>
        <v>-2.0394222192707135E-3</v>
      </c>
      <c r="Q9" s="38"/>
      <c r="S9" s="37" t="s">
        <v>134</v>
      </c>
      <c r="T9" s="81">
        <v>1.098189927577</v>
      </c>
      <c r="U9" s="81">
        <v>1.08824256871266</v>
      </c>
      <c r="V9" s="40">
        <f t="shared" si="5"/>
        <v>-9.0579585685031591E-3</v>
      </c>
      <c r="W9" s="38"/>
    </row>
    <row r="10" spans="1:23" x14ac:dyDescent="0.35">
      <c r="A10" s="6" t="s">
        <v>33</v>
      </c>
      <c r="B10" s="23">
        <f>N10+T10</f>
        <v>1164231832.433562</v>
      </c>
      <c r="C10" s="23">
        <f t="shared" si="1"/>
        <v>1249250754.854141</v>
      </c>
      <c r="D10" s="7">
        <f t="shared" si="2"/>
        <v>7.3025766906635953E-2</v>
      </c>
      <c r="E10" s="6"/>
      <c r="G10" s="6" t="s">
        <v>34</v>
      </c>
      <c r="H10" s="23">
        <v>884603304</v>
      </c>
      <c r="I10" s="23">
        <v>931113044</v>
      </c>
      <c r="J10" s="7">
        <f t="shared" si="3"/>
        <v>5.2576945835146917E-2</v>
      </c>
      <c r="K10" s="41" t="s">
        <v>80</v>
      </c>
      <c r="M10" s="6" t="s">
        <v>33</v>
      </c>
      <c r="N10" s="23">
        <v>869200051.09468603</v>
      </c>
      <c r="O10" s="23">
        <v>915294863.10671198</v>
      </c>
      <c r="P10" s="7">
        <f t="shared" si="4"/>
        <v>5.3031303845384417E-2</v>
      </c>
      <c r="Q10" s="6"/>
      <c r="S10" s="6" t="s">
        <v>33</v>
      </c>
      <c r="T10" s="23">
        <v>295031781.33887601</v>
      </c>
      <c r="U10" s="23">
        <v>333955891.74742901</v>
      </c>
      <c r="V10" s="7">
        <f t="shared" si="5"/>
        <v>0.13193192350977415</v>
      </c>
      <c r="W10" s="6"/>
    </row>
    <row r="11" spans="1:23" x14ac:dyDescent="0.35">
      <c r="A11" s="6" t="s">
        <v>34</v>
      </c>
      <c r="B11" s="23">
        <f t="shared" si="0"/>
        <v>953210002.73024499</v>
      </c>
      <c r="C11" s="23">
        <f t="shared" si="1"/>
        <v>1057993870.989475</v>
      </c>
      <c r="D11" s="7">
        <f t="shared" si="2"/>
        <v>0.10992736958183545</v>
      </c>
      <c r="E11" s="6"/>
      <c r="G11" s="6" t="s">
        <v>70</v>
      </c>
      <c r="H11" s="23">
        <v>865498099</v>
      </c>
      <c r="I11" s="23">
        <v>829115462</v>
      </c>
      <c r="J11" s="7">
        <f t="shared" si="3"/>
        <v>-4.2036645767375626E-2</v>
      </c>
      <c r="K11" s="41" t="s">
        <v>72</v>
      </c>
      <c r="M11" s="6" t="s">
        <v>34</v>
      </c>
      <c r="N11" s="23">
        <v>769031366.26264501</v>
      </c>
      <c r="O11" s="23">
        <v>842338659.01023805</v>
      </c>
      <c r="P11" s="7">
        <f t="shared" si="4"/>
        <v>9.5324190876444198E-2</v>
      </c>
      <c r="Q11" s="6"/>
      <c r="S11" s="6" t="s">
        <v>34</v>
      </c>
      <c r="T11" s="23">
        <v>184178636.46759999</v>
      </c>
      <c r="U11" s="23">
        <v>215655211.97923699</v>
      </c>
      <c r="V11" s="7">
        <f t="shared" si="5"/>
        <v>0.17090242449033574</v>
      </c>
      <c r="W11" s="6"/>
    </row>
    <row r="12" spans="1:23" x14ac:dyDescent="0.35">
      <c r="A12" s="6" t="s">
        <v>35</v>
      </c>
      <c r="B12" s="23">
        <f t="shared" si="0"/>
        <v>306223132.59827131</v>
      </c>
      <c r="C12" s="23">
        <f t="shared" si="1"/>
        <v>321329321.81004339</v>
      </c>
      <c r="D12" s="7">
        <f t="shared" si="2"/>
        <v>4.9330659913239233E-2</v>
      </c>
      <c r="E12" s="6"/>
      <c r="G12" s="6" t="s">
        <v>71</v>
      </c>
      <c r="H12" s="23">
        <v>278596707</v>
      </c>
      <c r="I12" s="23">
        <v>286100912</v>
      </c>
      <c r="J12" s="7">
        <f t="shared" si="3"/>
        <v>2.6935727564073468E-2</v>
      </c>
      <c r="K12" s="41" t="s">
        <v>72</v>
      </c>
      <c r="M12" s="6" t="s">
        <v>35</v>
      </c>
      <c r="N12" s="23">
        <v>253771699.712486</v>
      </c>
      <c r="O12" s="23">
        <v>264646234.71878499</v>
      </c>
      <c r="P12" s="7">
        <f t="shared" si="4"/>
        <v>4.2851645863661858E-2</v>
      </c>
      <c r="Q12" s="6"/>
      <c r="S12" s="6" t="s">
        <v>35</v>
      </c>
      <c r="T12" s="23">
        <v>52451432.885785297</v>
      </c>
      <c r="U12" s="23">
        <v>56683087.091258399</v>
      </c>
      <c r="V12" s="7">
        <f t="shared" si="5"/>
        <v>8.067757109110188E-2</v>
      </c>
      <c r="W12" s="6"/>
    </row>
    <row r="13" spans="1:23" x14ac:dyDescent="0.35">
      <c r="A13" s="6" t="s">
        <v>36</v>
      </c>
      <c r="B13" s="23">
        <f t="shared" si="0"/>
        <v>931756537.91696405</v>
      </c>
      <c r="C13" s="23">
        <f t="shared" si="1"/>
        <v>965571954.98112702</v>
      </c>
      <c r="D13" s="7">
        <f t="shared" si="2"/>
        <v>3.6292116758054369E-2</v>
      </c>
      <c r="E13" s="6"/>
      <c r="G13" s="6" t="s">
        <v>76</v>
      </c>
      <c r="H13" s="23">
        <v>216884823</v>
      </c>
      <c r="I13" s="23">
        <v>214659921</v>
      </c>
      <c r="J13" s="7">
        <f t="shared" si="3"/>
        <v>-1.0258449481271449E-2</v>
      </c>
      <c r="K13" s="41" t="s">
        <v>77</v>
      </c>
      <c r="M13" s="6" t="s">
        <v>36</v>
      </c>
      <c r="N13" s="23">
        <v>797601550.49824202</v>
      </c>
      <c r="O13" s="23">
        <v>820378337.52237904</v>
      </c>
      <c r="P13" s="7">
        <f t="shared" si="4"/>
        <v>2.8556598228663074E-2</v>
      </c>
      <c r="Q13" s="6"/>
      <c r="S13" s="6" t="s">
        <v>36</v>
      </c>
      <c r="T13" s="23">
        <v>134154987.418722</v>
      </c>
      <c r="U13" s="23">
        <v>145193617.45874801</v>
      </c>
      <c r="V13" s="7">
        <f t="shared" si="5"/>
        <v>8.2282666134300672E-2</v>
      </c>
      <c r="W13" s="6"/>
    </row>
    <row r="14" spans="1:23" x14ac:dyDescent="0.35">
      <c r="A14" s="6" t="s">
        <v>37</v>
      </c>
      <c r="B14" s="23">
        <f t="shared" si="0"/>
        <v>21671846.70094521</v>
      </c>
      <c r="C14" s="23">
        <f t="shared" si="1"/>
        <v>23957832.66356938</v>
      </c>
      <c r="D14" s="7">
        <f t="shared" si="2"/>
        <v>0.10548182599152786</v>
      </c>
      <c r="E14" s="6"/>
      <c r="G14" s="6" t="s">
        <v>75</v>
      </c>
      <c r="H14" s="23">
        <v>132758965</v>
      </c>
      <c r="I14" s="23">
        <v>129955564</v>
      </c>
      <c r="J14" s="7">
        <f t="shared" si="3"/>
        <v>-2.1116472247279118E-2</v>
      </c>
      <c r="K14" s="41" t="s">
        <v>77</v>
      </c>
      <c r="M14" s="6" t="s">
        <v>37</v>
      </c>
      <c r="N14" s="23">
        <v>15346956.6078021</v>
      </c>
      <c r="O14" s="23">
        <v>16294466.8324717</v>
      </c>
      <c r="P14" s="7">
        <f t="shared" si="4"/>
        <v>6.173929130599768E-2</v>
      </c>
      <c r="Q14" s="6"/>
      <c r="S14" s="6" t="s">
        <v>37</v>
      </c>
      <c r="T14" s="23">
        <v>6324890.0931431102</v>
      </c>
      <c r="U14" s="23">
        <v>7663365.8310976801</v>
      </c>
      <c r="V14" s="7">
        <f t="shared" si="5"/>
        <v>0.21162039470150285</v>
      </c>
      <c r="W14" s="6"/>
    </row>
    <row r="15" spans="1:23" x14ac:dyDescent="0.35">
      <c r="A15" s="6" t="s">
        <v>38</v>
      </c>
      <c r="B15" s="23">
        <f t="shared" si="0"/>
        <v>211717143.1348964</v>
      </c>
      <c r="C15" s="23">
        <f t="shared" si="1"/>
        <v>236442424.46368831</v>
      </c>
      <c r="D15" s="7">
        <f t="shared" si="2"/>
        <v>0.11678450295845012</v>
      </c>
      <c r="E15" s="6"/>
      <c r="G15" s="6" t="s">
        <v>73</v>
      </c>
      <c r="H15" s="23">
        <v>398523128</v>
      </c>
      <c r="I15" s="23">
        <v>410175837</v>
      </c>
      <c r="J15" s="7">
        <f t="shared" si="3"/>
        <v>2.9239730849447716E-2</v>
      </c>
      <c r="K15" s="41" t="s">
        <v>74</v>
      </c>
      <c r="M15" s="6" t="s">
        <v>38</v>
      </c>
      <c r="N15" s="23">
        <v>188015311.84104699</v>
      </c>
      <c r="O15" s="23">
        <v>207011037.308685</v>
      </c>
      <c r="P15" s="7">
        <f t="shared" si="4"/>
        <v>0.10103286419404763</v>
      </c>
      <c r="Q15" s="6"/>
      <c r="S15" s="6" t="s">
        <v>38</v>
      </c>
      <c r="T15" s="23">
        <v>23701831.293849401</v>
      </c>
      <c r="U15" s="23">
        <v>29431387.155003302</v>
      </c>
      <c r="V15" s="7">
        <f t="shared" si="5"/>
        <v>0.24173473307274421</v>
      </c>
      <c r="W15" s="6"/>
    </row>
    <row r="16" spans="1:23" x14ac:dyDescent="0.35">
      <c r="A16" s="6" t="s">
        <v>39</v>
      </c>
      <c r="B16" s="23">
        <f t="shared" si="0"/>
        <v>238469363.93881559</v>
      </c>
      <c r="C16" s="23">
        <f t="shared" si="1"/>
        <v>238542977.6043025</v>
      </c>
      <c r="D16" s="7">
        <f t="shared" si="2"/>
        <v>3.0869233796333332E-4</v>
      </c>
      <c r="E16" s="6"/>
      <c r="G16" s="12" t="s">
        <v>78</v>
      </c>
      <c r="H16" s="23">
        <v>300900446</v>
      </c>
      <c r="I16" s="23">
        <v>289974176</v>
      </c>
      <c r="J16" s="7">
        <f t="shared" si="3"/>
        <v>-3.6311910285437066E-2</v>
      </c>
      <c r="K16" s="41" t="s">
        <v>74</v>
      </c>
      <c r="M16" s="6" t="s">
        <v>39</v>
      </c>
      <c r="N16" s="23">
        <v>165578517.18561</v>
      </c>
      <c r="O16" s="23">
        <v>165034240.31816399</v>
      </c>
      <c r="P16" s="7">
        <f t="shared" si="4"/>
        <v>-3.2871224884559302E-3</v>
      </c>
      <c r="Q16" s="6"/>
      <c r="S16" s="6" t="s">
        <v>39</v>
      </c>
      <c r="T16" s="23">
        <v>72890846.753205597</v>
      </c>
      <c r="U16" s="23">
        <v>73508737.286138505</v>
      </c>
      <c r="V16" s="7">
        <f t="shared" si="5"/>
        <v>8.4769290035135135E-3</v>
      </c>
      <c r="W16" s="6"/>
    </row>
    <row r="17" spans="1:23" x14ac:dyDescent="0.35">
      <c r="A17" s="12" t="s">
        <v>60</v>
      </c>
      <c r="B17" s="23">
        <f t="shared" si="0"/>
        <v>1291757800.7757502</v>
      </c>
      <c r="C17" s="23">
        <f t="shared" si="1"/>
        <v>1435747048.8172631</v>
      </c>
      <c r="D17" s="7">
        <f t="shared" si="2"/>
        <v>0.11146768221956306</v>
      </c>
      <c r="E17" s="6"/>
      <c r="G17" s="12" t="s">
        <v>81</v>
      </c>
      <c r="H17" s="23">
        <v>119677208</v>
      </c>
      <c r="I17" s="23">
        <v>123735815</v>
      </c>
      <c r="J17" s="7">
        <f t="shared" si="3"/>
        <v>3.391294857079219E-2</v>
      </c>
      <c r="K17" s="41" t="s">
        <v>74</v>
      </c>
      <c r="M17" s="12" t="s">
        <v>60</v>
      </c>
      <c r="N17" s="23">
        <v>900075187.36628401</v>
      </c>
      <c r="O17" s="23">
        <v>1004632606.7156</v>
      </c>
      <c r="P17" s="7">
        <f t="shared" si="4"/>
        <v>0.11616520577048919</v>
      </c>
      <c r="Q17" s="6"/>
      <c r="S17" s="12" t="s">
        <v>60</v>
      </c>
      <c r="T17" s="23">
        <v>391682613.40946603</v>
      </c>
      <c r="U17" s="23">
        <v>431114442.10166299</v>
      </c>
      <c r="V17" s="7">
        <f t="shared" si="5"/>
        <v>0.10067291052047497</v>
      </c>
      <c r="W17" s="6"/>
    </row>
    <row r="18" spans="1:23" x14ac:dyDescent="0.35">
      <c r="A18" s="12" t="s">
        <v>61</v>
      </c>
      <c r="B18" s="23">
        <f t="shared" si="0"/>
        <v>1041924375.0739441</v>
      </c>
      <c r="C18" s="23">
        <f t="shared" si="1"/>
        <v>1131287124.278218</v>
      </c>
      <c r="D18" s="7">
        <f t="shared" si="2"/>
        <v>8.5767020469150634E-2</v>
      </c>
      <c r="E18" s="46"/>
      <c r="G18" s="6" t="s">
        <v>84</v>
      </c>
      <c r="H18" s="23">
        <v>147284228</v>
      </c>
      <c r="I18" s="23">
        <v>146830562</v>
      </c>
      <c r="J18" s="7">
        <f t="shared" si="3"/>
        <v>-3.080207610552842E-3</v>
      </c>
      <c r="K18" s="41" t="s">
        <v>74</v>
      </c>
      <c r="M18" s="12" t="s">
        <v>61</v>
      </c>
      <c r="N18" s="23">
        <v>713641767.55784202</v>
      </c>
      <c r="O18" s="23">
        <v>766945752.91198301</v>
      </c>
      <c r="P18" s="7">
        <f t="shared" si="4"/>
        <v>7.469291705914706E-2</v>
      </c>
      <c r="Q18" s="46"/>
      <c r="S18" s="12" t="s">
        <v>61</v>
      </c>
      <c r="T18" s="23">
        <v>328282607.51610202</v>
      </c>
      <c r="U18" s="23">
        <v>364341371.36623502</v>
      </c>
      <c r="V18" s="7">
        <f t="shared" si="5"/>
        <v>0.10984061605628725</v>
      </c>
      <c r="W18" s="46"/>
    </row>
    <row r="19" spans="1:23" x14ac:dyDescent="0.35">
      <c r="A19" s="12" t="s">
        <v>40</v>
      </c>
      <c r="B19" s="23">
        <f t="shared" si="0"/>
        <v>317445302.45997953</v>
      </c>
      <c r="C19" s="23">
        <f t="shared" si="1"/>
        <v>345089217.987791</v>
      </c>
      <c r="D19" s="7">
        <f t="shared" si="2"/>
        <v>8.7082452673233515E-2</v>
      </c>
      <c r="E19" s="6"/>
      <c r="G19" s="12" t="s">
        <v>82</v>
      </c>
      <c r="H19" s="23">
        <v>1027869568</v>
      </c>
      <c r="I19" s="23">
        <v>1017600469</v>
      </c>
      <c r="J19" s="7">
        <f t="shared" si="3"/>
        <v>-9.9906635235648879E-3</v>
      </c>
      <c r="K19" s="6" t="s">
        <v>83</v>
      </c>
      <c r="M19" s="12" t="s">
        <v>40</v>
      </c>
      <c r="N19" s="23">
        <v>236207463.33687001</v>
      </c>
      <c r="O19" s="23">
        <v>256892703.76370499</v>
      </c>
      <c r="P19" s="7">
        <f t="shared" si="4"/>
        <v>8.7572340579833735E-2</v>
      </c>
      <c r="Q19" s="6"/>
      <c r="S19" s="12" t="s">
        <v>40</v>
      </c>
      <c r="T19" s="23">
        <v>81237839.123109505</v>
      </c>
      <c r="U19" s="23">
        <v>88196514.224086002</v>
      </c>
      <c r="V19" s="7">
        <f t="shared" si="5"/>
        <v>8.5658052652424405E-2</v>
      </c>
      <c r="W19" s="6"/>
    </row>
    <row r="20" spans="1:23" x14ac:dyDescent="0.35">
      <c r="A20" s="12" t="s">
        <v>48</v>
      </c>
      <c r="B20" s="23">
        <f t="shared" si="0"/>
        <v>33871197.322880685</v>
      </c>
      <c r="C20" s="23">
        <f t="shared" si="1"/>
        <v>164114110.36952779</v>
      </c>
      <c r="D20" s="7">
        <f t="shared" si="2"/>
        <v>3.8452408931722455</v>
      </c>
      <c r="E20" s="6"/>
      <c r="G20" s="37" t="s">
        <v>63</v>
      </c>
      <c r="H20" s="39">
        <f>SUM(H9:H19)</f>
        <v>5697362684</v>
      </c>
      <c r="I20" s="39">
        <f>SUM(I9:I19)</f>
        <v>5737223133</v>
      </c>
      <c r="J20" s="40">
        <f t="shared" si="3"/>
        <v>6.9962983244757741E-3</v>
      </c>
      <c r="K20" s="37"/>
      <c r="M20" s="12" t="s">
        <v>48</v>
      </c>
      <c r="N20" s="23">
        <v>30840731.386244599</v>
      </c>
      <c r="O20" s="23">
        <v>160108298.513818</v>
      </c>
      <c r="P20" s="7">
        <f t="shared" si="4"/>
        <v>4.1914559518270229</v>
      </c>
      <c r="Q20" s="6"/>
      <c r="S20" s="12" t="s">
        <v>48</v>
      </c>
      <c r="T20" s="23">
        <v>3030465.9366360898</v>
      </c>
      <c r="U20" s="23">
        <v>4005811.8557098</v>
      </c>
      <c r="V20" s="7">
        <f t="shared" si="5"/>
        <v>0.32184685110051892</v>
      </c>
      <c r="W20" s="6"/>
    </row>
    <row r="21" spans="1:23" x14ac:dyDescent="0.35">
      <c r="A21" s="12" t="s">
        <v>49</v>
      </c>
      <c r="B21" s="23">
        <f t="shared" si="0"/>
        <v>86413208.928184599</v>
      </c>
      <c r="C21" s="23">
        <f t="shared" si="1"/>
        <v>98885717.779554233</v>
      </c>
      <c r="D21" s="7">
        <f t="shared" si="2"/>
        <v>0.14433567513660045</v>
      </c>
      <c r="E21" s="6"/>
      <c r="G21" s="37" t="s">
        <v>56</v>
      </c>
      <c r="H21" s="39">
        <v>0</v>
      </c>
      <c r="I21" s="39">
        <v>0</v>
      </c>
      <c r="J21" s="59" t="str">
        <f t="shared" si="3"/>
        <v/>
      </c>
      <c r="K21" s="37"/>
      <c r="M21" s="12" t="s">
        <v>49</v>
      </c>
      <c r="N21" s="23">
        <v>81844299.794192001</v>
      </c>
      <c r="O21" s="23">
        <v>94232922.342703</v>
      </c>
      <c r="P21" s="7">
        <f t="shared" si="4"/>
        <v>0.15136817810970074</v>
      </c>
      <c r="Q21" s="6"/>
      <c r="S21" s="12" t="s">
        <v>49</v>
      </c>
      <c r="T21" s="23">
        <v>4568909.1339926003</v>
      </c>
      <c r="U21" s="23">
        <v>4652795.4368512304</v>
      </c>
      <c r="V21" s="7">
        <f t="shared" si="5"/>
        <v>1.8360247577374134E-2</v>
      </c>
      <c r="W21" s="6"/>
    </row>
    <row r="22" spans="1:23" x14ac:dyDescent="0.35">
      <c r="A22" s="12" t="s">
        <v>50</v>
      </c>
      <c r="B22" s="23">
        <f t="shared" si="0"/>
        <v>6864310.2400048506</v>
      </c>
      <c r="C22" s="23">
        <f t="shared" si="1"/>
        <v>8672067.9100218005</v>
      </c>
      <c r="D22" s="7">
        <f t="shared" si="2"/>
        <v>0.26335605571575571</v>
      </c>
      <c r="E22" s="6"/>
      <c r="M22" s="12" t="s">
        <v>50</v>
      </c>
      <c r="N22" s="23">
        <v>6609389.2740510497</v>
      </c>
      <c r="O22" s="23">
        <v>8237694.4412779398</v>
      </c>
      <c r="P22" s="7">
        <f t="shared" si="4"/>
        <v>0.24636242468267627</v>
      </c>
      <c r="Q22" s="6"/>
      <c r="S22" s="12" t="s">
        <v>50</v>
      </c>
      <c r="T22" s="23">
        <v>254920.965953801</v>
      </c>
      <c r="U22" s="23">
        <v>434373.46874386002</v>
      </c>
      <c r="V22" s="7">
        <f t="shared" si="5"/>
        <v>0.70395348659780677</v>
      </c>
      <c r="W22" s="6"/>
    </row>
    <row r="23" spans="1:23" x14ac:dyDescent="0.35">
      <c r="A23" s="12" t="s">
        <v>51</v>
      </c>
      <c r="B23" s="23">
        <f t="shared" si="0"/>
        <v>0</v>
      </c>
      <c r="C23" s="23">
        <f t="shared" si="1"/>
        <v>0</v>
      </c>
      <c r="D23" s="7" t="str">
        <f t="shared" si="2"/>
        <v/>
      </c>
      <c r="E23" s="6"/>
      <c r="M23" s="12" t="s">
        <v>51</v>
      </c>
      <c r="N23" s="23">
        <v>0</v>
      </c>
      <c r="O23" s="23">
        <v>0</v>
      </c>
      <c r="P23" s="7" t="str">
        <f t="shared" si="4"/>
        <v/>
      </c>
      <c r="Q23" s="6"/>
      <c r="S23" s="12" t="s">
        <v>51</v>
      </c>
      <c r="T23" s="23">
        <v>0</v>
      </c>
      <c r="U23" s="23">
        <v>0</v>
      </c>
      <c r="V23" s="7" t="str">
        <f t="shared" si="5"/>
        <v/>
      </c>
      <c r="W23" s="6"/>
    </row>
    <row r="24" spans="1:23" x14ac:dyDescent="0.35">
      <c r="A24" s="12" t="s">
        <v>52</v>
      </c>
      <c r="B24" s="23">
        <f t="shared" si="0"/>
        <v>-773735.69868294103</v>
      </c>
      <c r="C24" s="23">
        <f t="shared" si="1"/>
        <v>-785943.021814654</v>
      </c>
      <c r="D24" s="7">
        <f t="shared" si="2"/>
        <v>1.577712279851165E-2</v>
      </c>
      <c r="E24" s="6"/>
      <c r="M24" s="12" t="s">
        <v>52</v>
      </c>
      <c r="N24" s="23">
        <v>-561196.66859401902</v>
      </c>
      <c r="O24" s="23">
        <v>-554243.64467199799</v>
      </c>
      <c r="P24" s="7">
        <f t="shared" si="4"/>
        <v>-1.238963862604643E-2</v>
      </c>
      <c r="Q24" s="6"/>
      <c r="S24" s="12" t="s">
        <v>52</v>
      </c>
      <c r="T24" s="23">
        <v>-212539.03008892201</v>
      </c>
      <c r="U24" s="23">
        <v>-231699.37714265601</v>
      </c>
      <c r="V24" s="7">
        <f t="shared" si="5"/>
        <v>9.0149781175333787E-2</v>
      </c>
      <c r="W24" s="6"/>
    </row>
    <row r="25" spans="1:23" x14ac:dyDescent="0.35">
      <c r="A25" s="12" t="s">
        <v>53</v>
      </c>
      <c r="B25" s="23">
        <f t="shared" si="0"/>
        <v>20349199.37567379</v>
      </c>
      <c r="C25" s="23">
        <f t="shared" si="1"/>
        <v>15156110.958530299</v>
      </c>
      <c r="D25" s="7">
        <f t="shared" si="2"/>
        <v>-0.25519866021616094</v>
      </c>
      <c r="E25" s="6"/>
      <c r="M25" s="12" t="s">
        <v>53</v>
      </c>
      <c r="N25" s="23">
        <v>18043057.552099001</v>
      </c>
      <c r="O25" s="23">
        <v>12972766.1189269</v>
      </c>
      <c r="P25" s="7">
        <f t="shared" si="4"/>
        <v>-0.28101065567915673</v>
      </c>
      <c r="Q25" s="6"/>
      <c r="S25" s="12" t="s">
        <v>53</v>
      </c>
      <c r="T25" s="23">
        <v>2306141.8235747898</v>
      </c>
      <c r="U25" s="23">
        <v>2183344.8396033999</v>
      </c>
      <c r="V25" s="7">
        <f t="shared" si="5"/>
        <v>-5.3247802332052695E-2</v>
      </c>
      <c r="W25" s="6"/>
    </row>
    <row r="26" spans="1:23" x14ac:dyDescent="0.35">
      <c r="A26" s="37" t="s">
        <v>62</v>
      </c>
      <c r="B26" s="39">
        <f>SUM(B10:B17)+B19</f>
        <v>5436482962.6894302</v>
      </c>
      <c r="C26" s="39">
        <f t="shared" ref="C26" si="6">SUM(C10:C17)+C19</f>
        <v>5873925404.171401</v>
      </c>
      <c r="D26" s="40">
        <f t="shared" si="2"/>
        <v>8.0464234779017471E-2</v>
      </c>
      <c r="E26" s="37"/>
      <c r="M26" s="37" t="s">
        <v>62</v>
      </c>
      <c r="N26" s="39">
        <f>SUM(N10:N17)+N19</f>
        <v>4194828103.9056716</v>
      </c>
      <c r="O26" s="39">
        <f t="shared" ref="O26" si="7">SUM(O10:O17)+O19</f>
        <v>4492523149.2967396</v>
      </c>
      <c r="P26" s="40">
        <f t="shared" si="4"/>
        <v>7.0967161947325941E-2</v>
      </c>
      <c r="Q26" s="37"/>
      <c r="S26" s="37" t="s">
        <v>62</v>
      </c>
      <c r="T26" s="39">
        <f>SUM(T10:T17)+T19</f>
        <v>1241654858.783757</v>
      </c>
      <c r="U26" s="39">
        <f t="shared" ref="U26" si="8">SUM(U10:U17)+U19</f>
        <v>1381402254.874661</v>
      </c>
      <c r="V26" s="40">
        <f t="shared" si="5"/>
        <v>0.11254930877312501</v>
      </c>
      <c r="W26" s="37"/>
    </row>
    <row r="27" spans="1:23" x14ac:dyDescent="0.35">
      <c r="A27" s="37" t="s">
        <v>63</v>
      </c>
      <c r="B27" s="39">
        <f>SUM(B10:B16)+SUM(B18:B19)</f>
        <v>5186649536.9876232</v>
      </c>
      <c r="C27" s="39">
        <f t="shared" ref="C27" si="9">SUM(C10:C16)+SUM(C18:C19)</f>
        <v>5569465479.6323557</v>
      </c>
      <c r="D27" s="40">
        <f t="shared" si="2"/>
        <v>7.3807944784923682E-2</v>
      </c>
      <c r="E27" s="37"/>
      <c r="M27" s="37" t="s">
        <v>63</v>
      </c>
      <c r="N27" s="39">
        <f>SUM(N10:N16)+SUM(N18:N19)</f>
        <v>4008394684.0972295</v>
      </c>
      <c r="O27" s="39">
        <f t="shared" ref="O27" si="10">SUM(O10:O16)+SUM(O18:O19)</f>
        <v>4254836295.4931231</v>
      </c>
      <c r="P27" s="40">
        <f t="shared" si="4"/>
        <v>6.1481373671514371E-2</v>
      </c>
      <c r="Q27" s="37"/>
      <c r="S27" s="37" t="s">
        <v>63</v>
      </c>
      <c r="T27" s="39">
        <f>SUM(T10:T16)+SUM(T18:T19)</f>
        <v>1178254852.8903928</v>
      </c>
      <c r="U27" s="39">
        <f t="shared" ref="U27" si="11">SUM(U10:U16)+SUM(U18:U19)</f>
        <v>1314629184.1392329</v>
      </c>
      <c r="V27" s="40">
        <f t="shared" si="5"/>
        <v>0.11574264337999406</v>
      </c>
      <c r="W27" s="37"/>
    </row>
    <row r="28" spans="1:23" x14ac:dyDescent="0.35">
      <c r="A28" s="37" t="s">
        <v>56</v>
      </c>
      <c r="B28" s="39">
        <f>SUM(B20:B25)</f>
        <v>146724180.16806099</v>
      </c>
      <c r="C28" s="39">
        <f>SUM(C20:C25)</f>
        <v>286042063.99581945</v>
      </c>
      <c r="D28" s="40">
        <f t="shared" si="2"/>
        <v>0.94952231914453911</v>
      </c>
      <c r="E28" s="37"/>
      <c r="M28" s="37" t="s">
        <v>56</v>
      </c>
      <c r="N28" s="39">
        <f>SUM(N20:N25)</f>
        <v>136776281.33799264</v>
      </c>
      <c r="O28" s="39">
        <f>SUM(O20:O25)</f>
        <v>274997437.77205384</v>
      </c>
      <c r="P28" s="40">
        <f t="shared" si="4"/>
        <v>1.0105637840269841</v>
      </c>
      <c r="Q28" s="37"/>
      <c r="S28" s="37" t="s">
        <v>56</v>
      </c>
      <c r="T28" s="39">
        <f>SUM(T20:T25)</f>
        <v>9947898.8300683573</v>
      </c>
      <c r="U28" s="39">
        <f>SUM(U20:U25)</f>
        <v>11044626.223765634</v>
      </c>
      <c r="V28" s="40">
        <f t="shared" si="5"/>
        <v>0.11024713986659437</v>
      </c>
      <c r="W28" s="37"/>
    </row>
    <row r="30" spans="1:23" x14ac:dyDescent="0.35">
      <c r="G30" s="135" t="s">
        <v>8</v>
      </c>
      <c r="H30" s="133" t="s">
        <v>67</v>
      </c>
      <c r="I30" s="134"/>
      <c r="J30" s="76" t="s">
        <v>3</v>
      </c>
      <c r="K30" s="135" t="s">
        <v>30</v>
      </c>
    </row>
    <row r="31" spans="1:23" x14ac:dyDescent="0.35">
      <c r="A31" s="132" t="s">
        <v>8</v>
      </c>
      <c r="B31" s="132" t="s">
        <v>67</v>
      </c>
      <c r="C31" s="132"/>
      <c r="D31" s="76" t="s">
        <v>3</v>
      </c>
      <c r="E31" s="135" t="s">
        <v>30</v>
      </c>
      <c r="G31" s="136"/>
      <c r="H31" s="75">
        <v>2021</v>
      </c>
      <c r="I31" s="75">
        <v>2022</v>
      </c>
      <c r="J31" s="75" t="s">
        <v>211</v>
      </c>
      <c r="K31" s="136"/>
      <c r="M31" s="132" t="s">
        <v>8</v>
      </c>
      <c r="N31" s="132" t="s">
        <v>67</v>
      </c>
      <c r="O31" s="132"/>
      <c r="P31" s="76" t="s">
        <v>3</v>
      </c>
      <c r="Q31" s="135" t="s">
        <v>30</v>
      </c>
      <c r="S31" s="132" t="s">
        <v>8</v>
      </c>
      <c r="T31" s="132" t="s">
        <v>67</v>
      </c>
      <c r="U31" s="132"/>
      <c r="V31" s="76" t="s">
        <v>3</v>
      </c>
      <c r="W31" s="135" t="s">
        <v>30</v>
      </c>
    </row>
    <row r="32" spans="1:23" x14ac:dyDescent="0.35">
      <c r="A32" s="132"/>
      <c r="B32" s="75">
        <v>2021</v>
      </c>
      <c r="C32" s="75">
        <v>2022</v>
      </c>
      <c r="D32" s="75" t="s">
        <v>211</v>
      </c>
      <c r="E32" s="136"/>
      <c r="G32" s="6" t="s">
        <v>33</v>
      </c>
      <c r="H32" s="23">
        <f>H9/$H$8</f>
        <v>2826.7287333807026</v>
      </c>
      <c r="I32" s="23">
        <f>I9/$I$8</f>
        <v>2958.1219334207581</v>
      </c>
      <c r="J32" s="7">
        <f t="shared" ref="J32:J44" si="12">IFERROR((I32-H32)/H32, "")</f>
        <v>4.6482422769627503E-2</v>
      </c>
      <c r="K32" s="6"/>
      <c r="M32" s="132"/>
      <c r="N32" s="75">
        <v>2021</v>
      </c>
      <c r="O32" s="75">
        <v>2022</v>
      </c>
      <c r="P32" s="75" t="s">
        <v>211</v>
      </c>
      <c r="Q32" s="136"/>
      <c r="S32" s="132"/>
      <c r="T32" s="75">
        <v>2021</v>
      </c>
      <c r="U32" s="75">
        <v>2022</v>
      </c>
      <c r="V32" s="75" t="s">
        <v>211</v>
      </c>
      <c r="W32" s="136"/>
    </row>
    <row r="33" spans="1:23" x14ac:dyDescent="0.35">
      <c r="A33" s="6" t="s">
        <v>33</v>
      </c>
      <c r="B33" s="23">
        <f>B10/($B$8/12)</f>
        <v>2762.3894713973732</v>
      </c>
      <c r="C33" s="23">
        <f>C10/($C$8/12)</f>
        <v>2800.8756413180554</v>
      </c>
      <c r="D33" s="7">
        <f t="shared" ref="D33:D55" si="13">IFERROR((C33-B33)/B33, "")</f>
        <v>1.3932202652515071E-2</v>
      </c>
      <c r="E33" s="6"/>
      <c r="G33" s="6" t="s">
        <v>34</v>
      </c>
      <c r="H33" s="23">
        <f t="shared" ref="H33:H44" si="14">H10/$H$8</f>
        <v>1887.5282007950377</v>
      </c>
      <c r="I33" s="23">
        <f t="shared" ref="I33:I44" si="15">I10/$I$8</f>
        <v>2028.2947488574528</v>
      </c>
      <c r="J33" s="7">
        <f t="shared" si="12"/>
        <v>7.4577189364971264E-2</v>
      </c>
      <c r="K33" s="6"/>
      <c r="M33" s="6" t="s">
        <v>33</v>
      </c>
      <c r="N33" s="23">
        <f>N10/($N$8/12)</f>
        <v>2433.8187980981552</v>
      </c>
      <c r="O33" s="23">
        <f>O10/($O$8/12)</f>
        <v>2457.2306350791</v>
      </c>
      <c r="P33" s="7">
        <f t="shared" ref="P33:P55" si="16">IFERROR((O33-N33)/N33, "")</f>
        <v>9.6193837434567445E-3</v>
      </c>
      <c r="Q33" s="6"/>
      <c r="S33" s="6" t="s">
        <v>33</v>
      </c>
      <c r="T33" s="23">
        <f>T10/($T$8/12)</f>
        <v>4586.6516593942542</v>
      </c>
      <c r="U33" s="23">
        <f>U10/($U$8/12)</f>
        <v>4541.6968798559665</v>
      </c>
      <c r="V33" s="7">
        <f t="shared" ref="V33:V55" si="17">IFERROR((U33-T33)/T33, "")</f>
        <v>-9.8012194682830598E-3</v>
      </c>
      <c r="W33" s="6"/>
    </row>
    <row r="34" spans="1:23" x14ac:dyDescent="0.35">
      <c r="A34" s="6" t="s">
        <v>34</v>
      </c>
      <c r="B34" s="23">
        <f t="shared" ref="B34:B48" si="18">B11/($B$8/12)</f>
        <v>2261.694966773684</v>
      </c>
      <c r="C34" s="23">
        <f t="shared" ref="C34:C48" si="19">C11/($C$8/12)</f>
        <v>2372.0692186127239</v>
      </c>
      <c r="D34" s="7">
        <f t="shared" si="13"/>
        <v>4.8801564074968627E-2</v>
      </c>
      <c r="E34" s="6"/>
      <c r="G34" s="6" t="s">
        <v>70</v>
      </c>
      <c r="H34" s="23">
        <f t="shared" si="14"/>
        <v>1846.7623421820222</v>
      </c>
      <c r="I34" s="23">
        <f t="shared" si="15"/>
        <v>1806.1078067886256</v>
      </c>
      <c r="J34" s="7">
        <f t="shared" si="12"/>
        <v>-2.2013950828866084E-2</v>
      </c>
      <c r="K34" s="6"/>
      <c r="M34" s="6" t="s">
        <v>34</v>
      </c>
      <c r="N34" s="23">
        <f t="shared" ref="N34:N50" si="20">N11/($N$8/12)</f>
        <v>2153.3397210226826</v>
      </c>
      <c r="O34" s="23">
        <f t="shared" ref="O34:O50" si="21">O11/($O$8/12)</f>
        <v>2261.370014692292</v>
      </c>
      <c r="P34" s="7">
        <f t="shared" si="16"/>
        <v>5.01687182077813E-2</v>
      </c>
      <c r="Q34" s="6"/>
      <c r="S34" s="6" t="s">
        <v>34</v>
      </c>
      <c r="T34" s="23">
        <f t="shared" ref="T34:T48" si="22">T11/($T$8/12)</f>
        <v>2863.295760021143</v>
      </c>
      <c r="U34" s="23">
        <f t="shared" ref="U34:U48" si="23">U11/($U$8/12)</f>
        <v>2932.8442095925921</v>
      </c>
      <c r="V34" s="7">
        <f t="shared" si="17"/>
        <v>2.4289649201637311E-2</v>
      </c>
      <c r="W34" s="6"/>
    </row>
    <row r="35" spans="1:23" x14ac:dyDescent="0.35">
      <c r="A35" s="6" t="s">
        <v>35</v>
      </c>
      <c r="B35" s="23">
        <f t="shared" si="18"/>
        <v>726.57999362516057</v>
      </c>
      <c r="C35" s="23">
        <f t="shared" si="19"/>
        <v>720.43460194193199</v>
      </c>
      <c r="D35" s="7">
        <f t="shared" si="13"/>
        <v>-8.4579698548635819E-3</v>
      </c>
      <c r="E35" s="6"/>
      <c r="G35" s="6" t="s">
        <v>71</v>
      </c>
      <c r="H35" s="23">
        <f t="shared" si="14"/>
        <v>594.45758198426563</v>
      </c>
      <c r="I35" s="23">
        <f t="shared" si="15"/>
        <v>623.22935028383961</v>
      </c>
      <c r="J35" s="7">
        <f t="shared" si="12"/>
        <v>4.8400035884033056E-2</v>
      </c>
      <c r="K35" s="6"/>
      <c r="M35" s="6" t="s">
        <v>35</v>
      </c>
      <c r="N35" s="23">
        <f t="shared" si="20"/>
        <v>710.57788412196817</v>
      </c>
      <c r="O35" s="23">
        <f t="shared" si="21"/>
        <v>710.47796903621008</v>
      </c>
      <c r="P35" s="7">
        <f t="shared" si="16"/>
        <v>-1.4061102658935882E-4</v>
      </c>
      <c r="Q35" s="6"/>
      <c r="S35" s="6" t="s">
        <v>35</v>
      </c>
      <c r="T35" s="23">
        <f t="shared" si="22"/>
        <v>815.4255470086639</v>
      </c>
      <c r="U35" s="23">
        <f t="shared" si="23"/>
        <v>770.872459940525</v>
      </c>
      <c r="V35" s="7">
        <f t="shared" si="17"/>
        <v>-5.4637835706250588E-2</v>
      </c>
      <c r="W35" s="6"/>
    </row>
    <row r="36" spans="1:23" x14ac:dyDescent="0.35">
      <c r="A36" s="6" t="s">
        <v>36</v>
      </c>
      <c r="B36" s="23">
        <f t="shared" si="18"/>
        <v>2210.7920248730784</v>
      </c>
      <c r="C36" s="23">
        <f t="shared" si="19"/>
        <v>2164.8551807056992</v>
      </c>
      <c r="D36" s="7">
        <f t="shared" si="13"/>
        <v>-2.0778455707526983E-2</v>
      </c>
      <c r="E36" s="6"/>
      <c r="G36" s="6" t="s">
        <v>76</v>
      </c>
      <c r="H36" s="23">
        <f t="shared" si="14"/>
        <v>462.77943784046755</v>
      </c>
      <c r="I36" s="23">
        <f t="shared" si="15"/>
        <v>467.60551080246239</v>
      </c>
      <c r="J36" s="7">
        <f t="shared" si="12"/>
        <v>1.0428451584874683E-2</v>
      </c>
      <c r="K36" s="6"/>
      <c r="M36" s="6" t="s">
        <v>36</v>
      </c>
      <c r="N36" s="23">
        <f t="shared" si="20"/>
        <v>2233.3381648448503</v>
      </c>
      <c r="O36" s="23">
        <f t="shared" si="21"/>
        <v>2202.4146147537458</v>
      </c>
      <c r="P36" s="7">
        <f t="shared" si="16"/>
        <v>-1.3846335757779328E-2</v>
      </c>
      <c r="Q36" s="6"/>
      <c r="S36" s="6" t="s">
        <v>36</v>
      </c>
      <c r="T36" s="23">
        <f t="shared" si="22"/>
        <v>2085.6132612822898</v>
      </c>
      <c r="U36" s="23">
        <f t="shared" si="23"/>
        <v>1974.5883084647608</v>
      </c>
      <c r="V36" s="7">
        <f t="shared" si="17"/>
        <v>-5.3233720210077697E-2</v>
      </c>
      <c r="W36" s="6"/>
    </row>
    <row r="37" spans="1:23" x14ac:dyDescent="0.35">
      <c r="A37" s="6" t="s">
        <v>37</v>
      </c>
      <c r="B37" s="23">
        <f t="shared" si="18"/>
        <v>51.421099719711762</v>
      </c>
      <c r="C37" s="23">
        <f t="shared" si="19"/>
        <v>53.714524218158495</v>
      </c>
      <c r="D37" s="7">
        <f t="shared" si="13"/>
        <v>4.4600845002301097E-2</v>
      </c>
      <c r="E37" s="6"/>
      <c r="G37" s="6" t="s">
        <v>75</v>
      </c>
      <c r="H37" s="23">
        <f t="shared" si="14"/>
        <v>283.27532715824151</v>
      </c>
      <c r="I37" s="23">
        <f t="shared" si="15"/>
        <v>283.08935176512102</v>
      </c>
      <c r="J37" s="7">
        <f t="shared" si="12"/>
        <v>-6.5651814786043107E-4</v>
      </c>
      <c r="K37" s="6"/>
      <c r="M37" s="6" t="s">
        <v>37</v>
      </c>
      <c r="N37" s="23">
        <f t="shared" si="20"/>
        <v>42.97251413943664</v>
      </c>
      <c r="O37" s="23">
        <f t="shared" si="21"/>
        <v>43.744660542644922</v>
      </c>
      <c r="P37" s="7">
        <f t="shared" si="16"/>
        <v>1.7968378594345951E-2</v>
      </c>
      <c r="Q37" s="6"/>
      <c r="S37" s="6" t="s">
        <v>37</v>
      </c>
      <c r="T37" s="23">
        <f t="shared" si="22"/>
        <v>98.328619071312573</v>
      </c>
      <c r="U37" s="23">
        <f t="shared" si="23"/>
        <v>104.21940604843095</v>
      </c>
      <c r="V37" s="7">
        <f t="shared" si="17"/>
        <v>5.9909180386700067E-2</v>
      </c>
      <c r="W37" s="6"/>
    </row>
    <row r="38" spans="1:23" x14ac:dyDescent="0.35">
      <c r="A38" s="6" t="s">
        <v>38</v>
      </c>
      <c r="B38" s="23">
        <f t="shared" si="18"/>
        <v>502.3442847183473</v>
      </c>
      <c r="C38" s="23">
        <f t="shared" si="19"/>
        <v>530.11441032257039</v>
      </c>
      <c r="D38" s="7">
        <f t="shared" si="13"/>
        <v>5.5281062110208258E-2</v>
      </c>
      <c r="E38" s="6"/>
      <c r="G38" s="6" t="s">
        <v>73</v>
      </c>
      <c r="H38" s="23">
        <f t="shared" si="14"/>
        <v>850.35138278101044</v>
      </c>
      <c r="I38" s="23">
        <f t="shared" si="15"/>
        <v>893.50858271867412</v>
      </c>
      <c r="J38" s="7">
        <f t="shared" si="12"/>
        <v>5.0752195870513307E-2</v>
      </c>
      <c r="K38" s="6"/>
      <c r="M38" s="6" t="s">
        <v>38</v>
      </c>
      <c r="N38" s="23">
        <f t="shared" si="20"/>
        <v>526.45556073394528</v>
      </c>
      <c r="O38" s="23">
        <f t="shared" si="21"/>
        <v>555.74862612890934</v>
      </c>
      <c r="P38" s="7">
        <f t="shared" si="16"/>
        <v>5.5642047648097478E-2</v>
      </c>
      <c r="Q38" s="6"/>
      <c r="S38" s="6" t="s">
        <v>38</v>
      </c>
      <c r="T38" s="23">
        <f t="shared" si="22"/>
        <v>368.47570570625896</v>
      </c>
      <c r="U38" s="23">
        <f t="shared" si="23"/>
        <v>400.2577661148286</v>
      </c>
      <c r="V38" s="7">
        <f t="shared" si="17"/>
        <v>8.6252797447399748E-2</v>
      </c>
      <c r="W38" s="6"/>
    </row>
    <row r="39" spans="1:23" x14ac:dyDescent="0.35">
      <c r="A39" s="6" t="s">
        <v>39</v>
      </c>
      <c r="B39" s="23">
        <f t="shared" si="18"/>
        <v>565.81966052109692</v>
      </c>
      <c r="C39" s="23">
        <f t="shared" si="19"/>
        <v>534.82394369845963</v>
      </c>
      <c r="D39" s="7">
        <f t="shared" si="13"/>
        <v>-5.4780204692943146E-2</v>
      </c>
      <c r="E39" s="6"/>
      <c r="G39" s="12" t="s">
        <v>78</v>
      </c>
      <c r="H39" s="23">
        <f t="shared" si="14"/>
        <v>642.04833385610368</v>
      </c>
      <c r="I39" s="23">
        <f t="shared" si="15"/>
        <v>631.66669425916325</v>
      </c>
      <c r="J39" s="7">
        <f t="shared" si="12"/>
        <v>-1.616956084067523E-2</v>
      </c>
      <c r="K39" s="6"/>
      <c r="M39" s="6" t="s">
        <v>39</v>
      </c>
      <c r="N39" s="23">
        <f t="shared" si="20"/>
        <v>463.63102162732923</v>
      </c>
      <c r="O39" s="23">
        <f t="shared" si="21"/>
        <v>443.0563389926067</v>
      </c>
      <c r="P39" s="7">
        <f t="shared" si="16"/>
        <v>-4.4377277781167651E-2</v>
      </c>
      <c r="Q39" s="6"/>
      <c r="S39" s="6" t="s">
        <v>39</v>
      </c>
      <c r="T39" s="23">
        <f t="shared" si="22"/>
        <v>1133.1827428829922</v>
      </c>
      <c r="U39" s="23">
        <f t="shared" si="23"/>
        <v>999.69610066679525</v>
      </c>
      <c r="V39" s="7">
        <f t="shared" si="17"/>
        <v>-0.11779798364788568</v>
      </c>
      <c r="W39" s="6"/>
    </row>
    <row r="40" spans="1:23" x14ac:dyDescent="0.35">
      <c r="A40" s="12" t="s">
        <v>60</v>
      </c>
      <c r="B40" s="23">
        <f t="shared" si="18"/>
        <v>3064.9721550728932</v>
      </c>
      <c r="C40" s="23">
        <f t="shared" si="19"/>
        <v>3219.0086101617594</v>
      </c>
      <c r="D40" s="7">
        <f t="shared" si="13"/>
        <v>5.0257048774135699E-2</v>
      </c>
      <c r="E40" s="6"/>
      <c r="G40" s="12" t="s">
        <v>81</v>
      </c>
      <c r="H40" s="23">
        <f t="shared" si="14"/>
        <v>255.36204089558035</v>
      </c>
      <c r="I40" s="23">
        <f t="shared" si="15"/>
        <v>269.540530473008</v>
      </c>
      <c r="J40" s="7">
        <f t="shared" si="12"/>
        <v>5.5523089992945959E-2</v>
      </c>
      <c r="K40" s="46"/>
      <c r="M40" s="12" t="s">
        <v>60</v>
      </c>
      <c r="N40" s="23">
        <f t="shared" si="20"/>
        <v>2520.2712631630375</v>
      </c>
      <c r="O40" s="23">
        <f t="shared" si="21"/>
        <v>2697.0696741833849</v>
      </c>
      <c r="P40" s="7">
        <f t="shared" si="16"/>
        <v>7.0150548317746808E-2</v>
      </c>
      <c r="Q40" s="6"/>
      <c r="S40" s="12" t="s">
        <v>60</v>
      </c>
      <c r="T40" s="23">
        <f t="shared" si="22"/>
        <v>6089.2141876976875</v>
      </c>
      <c r="U40" s="23">
        <f t="shared" si="23"/>
        <v>5863.0231265235407</v>
      </c>
      <c r="V40" s="7">
        <f t="shared" si="17"/>
        <v>-3.7146182446846886E-2</v>
      </c>
      <c r="W40" s="6"/>
    </row>
    <row r="41" spans="1:23" x14ac:dyDescent="0.35">
      <c r="A41" s="12" t="s">
        <v>61</v>
      </c>
      <c r="B41" s="23">
        <f t="shared" si="18"/>
        <v>2472.1888231490166</v>
      </c>
      <c r="C41" s="23">
        <f t="shared" si="19"/>
        <v>2536.3959456623011</v>
      </c>
      <c r="D41" s="7">
        <f t="shared" si="13"/>
        <v>2.597177121426306E-2</v>
      </c>
      <c r="E41" s="46"/>
      <c r="G41" s="6" t="s">
        <v>84</v>
      </c>
      <c r="H41" s="23">
        <f t="shared" si="14"/>
        <v>314.26870397753584</v>
      </c>
      <c r="I41" s="23">
        <f t="shared" si="15"/>
        <v>319.84908792276423</v>
      </c>
      <c r="J41" s="7">
        <f t="shared" si="12"/>
        <v>1.7756728158421022E-2</v>
      </c>
      <c r="K41" s="6"/>
      <c r="M41" s="12" t="s">
        <v>61</v>
      </c>
      <c r="N41" s="23">
        <f t="shared" si="20"/>
        <v>1998.2451068690332</v>
      </c>
      <c r="O41" s="23">
        <f t="shared" si="21"/>
        <v>2058.9677441240201</v>
      </c>
      <c r="P41" s="7">
        <f t="shared" si="16"/>
        <v>3.0387982458333497E-2</v>
      </c>
      <c r="Q41" s="46"/>
      <c r="S41" s="12" t="s">
        <v>61</v>
      </c>
      <c r="T41" s="23">
        <f t="shared" si="22"/>
        <v>5103.5788743875073</v>
      </c>
      <c r="U41" s="23">
        <f t="shared" si="23"/>
        <v>4954.9300085052701</v>
      </c>
      <c r="V41" s="7">
        <f t="shared" si="17"/>
        <v>-2.9126397287252068E-2</v>
      </c>
      <c r="W41" s="46"/>
    </row>
    <row r="42" spans="1:23" x14ac:dyDescent="0.35">
      <c r="A42" s="12" t="s">
        <v>40</v>
      </c>
      <c r="B42" s="23">
        <f t="shared" si="18"/>
        <v>753.20699609031146</v>
      </c>
      <c r="C42" s="23">
        <f t="shared" si="19"/>
        <v>773.70534377331808</v>
      </c>
      <c r="D42" s="7">
        <f t="shared" si="13"/>
        <v>2.7214760071810073E-2</v>
      </c>
      <c r="E42" s="6"/>
      <c r="G42" s="12" t="s">
        <v>82</v>
      </c>
      <c r="H42" s="23">
        <f t="shared" si="14"/>
        <v>2193.2235472851148</v>
      </c>
      <c r="I42" s="23">
        <f t="shared" si="15"/>
        <v>2216.6950629762428</v>
      </c>
      <c r="J42" s="7">
        <f t="shared" si="12"/>
        <v>1.0701834621546986E-2</v>
      </c>
      <c r="K42" s="6"/>
      <c r="M42" s="12" t="s">
        <v>40</v>
      </c>
      <c r="N42" s="23">
        <f t="shared" si="20"/>
        <v>661.39683700700789</v>
      </c>
      <c r="O42" s="23">
        <f t="shared" si="21"/>
        <v>689.66258531583242</v>
      </c>
      <c r="P42" s="7">
        <f t="shared" si="16"/>
        <v>4.2736443126541644E-2</v>
      </c>
      <c r="Q42" s="6"/>
      <c r="S42" s="12" t="s">
        <v>40</v>
      </c>
      <c r="T42" s="23">
        <f t="shared" si="22"/>
        <v>1262.9475642545474</v>
      </c>
      <c r="U42" s="23">
        <f t="shared" si="23"/>
        <v>1199.4453260571574</v>
      </c>
      <c r="V42" s="7">
        <f t="shared" si="17"/>
        <v>-5.0280977607231089E-2</v>
      </c>
      <c r="W42" s="6"/>
    </row>
    <row r="43" spans="1:23" x14ac:dyDescent="0.35">
      <c r="A43" s="12" t="s">
        <v>48</v>
      </c>
      <c r="B43" s="23">
        <f t="shared" si="18"/>
        <v>80.366672909785692</v>
      </c>
      <c r="C43" s="23">
        <f t="shared" si="19"/>
        <v>367.95111977679954</v>
      </c>
      <c r="D43" s="7">
        <f t="shared" si="13"/>
        <v>3.5784042869341763</v>
      </c>
      <c r="E43" s="6"/>
      <c r="G43" s="63" t="s">
        <v>63</v>
      </c>
      <c r="H43" s="64">
        <f t="shared" si="14"/>
        <v>12156.785632136083</v>
      </c>
      <c r="I43" s="64">
        <f t="shared" si="15"/>
        <v>12497.708660268112</v>
      </c>
      <c r="J43" s="40">
        <f t="shared" si="12"/>
        <v>2.8043846329806901E-2</v>
      </c>
      <c r="K43" s="37"/>
      <c r="M43" s="12" t="s">
        <v>48</v>
      </c>
      <c r="N43" s="23">
        <f t="shared" si="20"/>
        <v>86.356129064195329</v>
      </c>
      <c r="O43" s="23">
        <f t="shared" si="21"/>
        <v>429.83199392508214</v>
      </c>
      <c r="P43" s="7">
        <f t="shared" si="16"/>
        <v>3.9774347065227307</v>
      </c>
      <c r="Q43" s="6"/>
      <c r="S43" s="12" t="s">
        <v>48</v>
      </c>
      <c r="T43" s="23">
        <f t="shared" si="22"/>
        <v>47.112523111685995</v>
      </c>
      <c r="U43" s="23">
        <f t="shared" si="23"/>
        <v>54.477802775603521</v>
      </c>
      <c r="V43" s="7">
        <f t="shared" si="17"/>
        <v>0.15633379784091017</v>
      </c>
      <c r="W43" s="6"/>
    </row>
    <row r="44" spans="1:23" x14ac:dyDescent="0.35">
      <c r="A44" s="12" t="s">
        <v>49</v>
      </c>
      <c r="B44" s="23">
        <f t="shared" si="18"/>
        <v>205.03385312349349</v>
      </c>
      <c r="C44" s="23">
        <f t="shared" si="19"/>
        <v>221.706168378776</v>
      </c>
      <c r="D44" s="7">
        <f t="shared" si="13"/>
        <v>8.1314938978592224E-2</v>
      </c>
      <c r="E44" s="6"/>
      <c r="G44" s="63" t="s">
        <v>56</v>
      </c>
      <c r="H44" s="64">
        <f t="shared" si="14"/>
        <v>0</v>
      </c>
      <c r="I44" s="64">
        <f t="shared" si="15"/>
        <v>0</v>
      </c>
      <c r="J44" s="40" t="str">
        <f t="shared" si="12"/>
        <v/>
      </c>
      <c r="K44" s="37"/>
      <c r="M44" s="12" t="s">
        <v>49</v>
      </c>
      <c r="N44" s="23">
        <f t="shared" si="20"/>
        <v>229.1695624101917</v>
      </c>
      <c r="O44" s="23">
        <f t="shared" si="21"/>
        <v>252.98079662282944</v>
      </c>
      <c r="P44" s="7">
        <f t="shared" si="16"/>
        <v>0.10390225456737531</v>
      </c>
      <c r="Q44" s="6"/>
      <c r="S44" s="12" t="s">
        <v>49</v>
      </c>
      <c r="T44" s="23">
        <f t="shared" si="22"/>
        <v>71.029617778630069</v>
      </c>
      <c r="U44" s="23">
        <f t="shared" si="23"/>
        <v>63.276579453603823</v>
      </c>
      <c r="V44" s="7">
        <f t="shared" si="17"/>
        <v>-0.10915218985394598</v>
      </c>
      <c r="W44" s="6"/>
    </row>
    <row r="45" spans="1:23" x14ac:dyDescent="0.35">
      <c r="A45" s="12" t="s">
        <v>50</v>
      </c>
      <c r="B45" s="23">
        <f t="shared" si="18"/>
        <v>16.287046795275334</v>
      </c>
      <c r="C45" s="23">
        <f t="shared" si="19"/>
        <v>19.443161170530569</v>
      </c>
      <c r="D45" s="7">
        <f t="shared" si="13"/>
        <v>0.19378064144635382</v>
      </c>
      <c r="E45" s="6"/>
      <c r="M45" s="12" t="s">
        <v>50</v>
      </c>
      <c r="N45" s="23">
        <f t="shared" si="20"/>
        <v>18.506735979680048</v>
      </c>
      <c r="O45" s="23">
        <f t="shared" si="21"/>
        <v>22.115184908635296</v>
      </c>
      <c r="P45" s="7">
        <f t="shared" si="16"/>
        <v>0.19498029976313697</v>
      </c>
      <c r="Q45" s="6"/>
      <c r="S45" s="12" t="s">
        <v>50</v>
      </c>
      <c r="T45" s="23">
        <f t="shared" si="22"/>
        <v>3.9630770156364812</v>
      </c>
      <c r="U45" s="23">
        <f t="shared" si="23"/>
        <v>5.9073448812761953</v>
      </c>
      <c r="V45" s="7">
        <f t="shared" si="17"/>
        <v>0.49059552917304566</v>
      </c>
      <c r="W45" s="6"/>
    </row>
    <row r="46" spans="1:23" x14ac:dyDescent="0.35">
      <c r="A46" s="12" t="s">
        <v>51</v>
      </c>
      <c r="B46" s="23">
        <f t="shared" si="18"/>
        <v>0</v>
      </c>
      <c r="C46" s="23">
        <f t="shared" si="19"/>
        <v>0</v>
      </c>
      <c r="D46" s="7" t="str">
        <f t="shared" si="13"/>
        <v/>
      </c>
      <c r="E46" s="6"/>
      <c r="M46" s="12" t="s">
        <v>51</v>
      </c>
      <c r="N46" s="23">
        <f t="shared" si="20"/>
        <v>0</v>
      </c>
      <c r="O46" s="23">
        <f t="shared" si="21"/>
        <v>0</v>
      </c>
      <c r="P46" s="7" t="str">
        <f t="shared" si="16"/>
        <v/>
      </c>
      <c r="Q46" s="6"/>
      <c r="S46" s="12" t="s">
        <v>51</v>
      </c>
      <c r="T46" s="23">
        <f t="shared" si="22"/>
        <v>0</v>
      </c>
      <c r="U46" s="23">
        <f t="shared" si="23"/>
        <v>0</v>
      </c>
      <c r="V46" s="7" t="str">
        <f t="shared" si="17"/>
        <v/>
      </c>
      <c r="W46" s="6"/>
    </row>
    <row r="47" spans="1:23" x14ac:dyDescent="0.35">
      <c r="A47" s="12" t="s">
        <v>52</v>
      </c>
      <c r="B47" s="23">
        <f t="shared" si="18"/>
        <v>-1.8358537261589756</v>
      </c>
      <c r="C47" s="23">
        <f t="shared" si="19"/>
        <v>-1.7621191395810605</v>
      </c>
      <c r="D47" s="7">
        <f t="shared" si="13"/>
        <v>-4.0163650037731848E-2</v>
      </c>
      <c r="E47" s="6"/>
      <c r="M47" s="12" t="s">
        <v>52</v>
      </c>
      <c r="N47" s="23">
        <f t="shared" si="20"/>
        <v>-1.5713885425271281</v>
      </c>
      <c r="O47" s="23">
        <f t="shared" si="21"/>
        <v>-1.4879406821571417</v>
      </c>
      <c r="P47" s="7">
        <f t="shared" si="16"/>
        <v>-5.3104536600339751E-2</v>
      </c>
      <c r="Q47" s="6"/>
      <c r="S47" s="12" t="s">
        <v>52</v>
      </c>
      <c r="T47" s="23">
        <f t="shared" si="22"/>
        <v>-3.3041948586674028</v>
      </c>
      <c r="U47" s="23">
        <f t="shared" si="23"/>
        <v>-3.1510398954998311</v>
      </c>
      <c r="V47" s="7">
        <f t="shared" si="17"/>
        <v>-4.6351674074494448E-2</v>
      </c>
      <c r="W47" s="6"/>
    </row>
    <row r="48" spans="1:23" x14ac:dyDescent="0.35">
      <c r="A48" s="12" t="s">
        <v>53</v>
      </c>
      <c r="B48" s="23">
        <f t="shared" si="18"/>
        <v>48.282835549366489</v>
      </c>
      <c r="C48" s="23">
        <f t="shared" si="19"/>
        <v>33.980673484417899</v>
      </c>
      <c r="D48" s="7">
        <f t="shared" si="13"/>
        <v>-0.29621628270620998</v>
      </c>
      <c r="E48" s="6"/>
      <c r="M48" s="12" t="s">
        <v>53</v>
      </c>
      <c r="N48" s="23">
        <f t="shared" si="20"/>
        <v>50.521778720744372</v>
      </c>
      <c r="O48" s="23">
        <f t="shared" si="21"/>
        <v>34.8271137685025</v>
      </c>
      <c r="P48" s="7">
        <f t="shared" si="16"/>
        <v>-0.31065147248660907</v>
      </c>
      <c r="Q48" s="6"/>
      <c r="S48" s="12" t="s">
        <v>53</v>
      </c>
      <c r="T48" s="23">
        <f t="shared" si="22"/>
        <v>35.851965418425316</v>
      </c>
      <c r="U48" s="23">
        <f t="shared" si="23"/>
        <v>29.692814801949741</v>
      </c>
      <c r="V48" s="7">
        <f t="shared" si="17"/>
        <v>-0.17179394615030555</v>
      </c>
      <c r="W48" s="6"/>
    </row>
    <row r="49" spans="1:23" x14ac:dyDescent="0.35">
      <c r="A49" s="37" t="s">
        <v>62</v>
      </c>
      <c r="B49" s="53">
        <f>B26/($B$8/12)</f>
        <v>12899.220652791659</v>
      </c>
      <c r="C49" s="53">
        <f>C26/($C$8/12)</f>
        <v>13169.601474752677</v>
      </c>
      <c r="D49" s="40">
        <f t="shared" si="13"/>
        <v>2.0961019990188495E-2</v>
      </c>
      <c r="E49" s="38"/>
      <c r="M49" s="37" t="s">
        <v>62</v>
      </c>
      <c r="N49" s="53">
        <f t="shared" si="20"/>
        <v>11745.801764758411</v>
      </c>
      <c r="O49" s="53">
        <f t="shared" si="21"/>
        <v>12060.775118724727</v>
      </c>
      <c r="P49" s="40">
        <f t="shared" si="16"/>
        <v>2.6815824093962486E-2</v>
      </c>
      <c r="Q49" s="38"/>
      <c r="S49" s="37" t="s">
        <v>62</v>
      </c>
      <c r="T49" s="53">
        <f>T26/($T$8/12)</f>
        <v>19303.135047319149</v>
      </c>
      <c r="U49" s="53">
        <f>U26/($U$8/12)</f>
        <v>18786.643583264598</v>
      </c>
      <c r="V49" s="40">
        <f t="shared" si="17"/>
        <v>-2.6756869430195562E-2</v>
      </c>
      <c r="W49" s="38"/>
    </row>
    <row r="50" spans="1:23" x14ac:dyDescent="0.35">
      <c r="A50" s="37" t="s">
        <v>63</v>
      </c>
      <c r="B50" s="53">
        <f t="shared" ref="B50" si="24">B27/($B$8/12)</f>
        <v>12306.437320867781</v>
      </c>
      <c r="C50" s="53">
        <f t="shared" ref="C50" si="25">C27/($C$8/12)</f>
        <v>12486.988810253219</v>
      </c>
      <c r="D50" s="40">
        <f t="shared" si="13"/>
        <v>1.4671304511442993E-2</v>
      </c>
      <c r="E50" s="38"/>
      <c r="M50" s="37" t="s">
        <v>63</v>
      </c>
      <c r="N50" s="53">
        <f t="shared" si="20"/>
        <v>11223.775608464406</v>
      </c>
      <c r="O50" s="53">
        <f t="shared" si="21"/>
        <v>11422.673188665363</v>
      </c>
      <c r="P50" s="40">
        <f t="shared" si="16"/>
        <v>1.7721093786921282E-2</v>
      </c>
      <c r="Q50" s="38"/>
      <c r="S50" s="37" t="s">
        <v>63</v>
      </c>
      <c r="T50" s="53">
        <f t="shared" ref="T50" si="26">T27/($T$8/12)</f>
        <v>18317.499734008969</v>
      </c>
      <c r="U50" s="53">
        <f t="shared" ref="U50" si="27">U27/($U$8/12)</f>
        <v>17878.550465246324</v>
      </c>
      <c r="V50" s="40">
        <f t="shared" si="17"/>
        <v>-2.3963383384014707E-2</v>
      </c>
      <c r="W50" s="38"/>
    </row>
    <row r="51" spans="1:23" x14ac:dyDescent="0.35">
      <c r="A51" s="37" t="s">
        <v>56</v>
      </c>
      <c r="B51" s="53">
        <f>B28/($B$8/12)</f>
        <v>348.13455465176202</v>
      </c>
      <c r="C51" s="53">
        <f>C28/($C$8/12)</f>
        <v>641.31900367094283</v>
      </c>
      <c r="D51" s="40">
        <f t="shared" si="13"/>
        <v>0.84215842725653123</v>
      </c>
      <c r="E51" s="38"/>
      <c r="M51" s="37" t="s">
        <v>56</v>
      </c>
      <c r="N51" s="53">
        <f>N28/($N$8/12)</f>
        <v>382.98281763228431</v>
      </c>
      <c r="O51" s="53">
        <f>O28/($O$8/12)</f>
        <v>738.26714854289219</v>
      </c>
      <c r="P51" s="40">
        <f t="shared" si="16"/>
        <v>0.92767694672853251</v>
      </c>
      <c r="Q51" s="38"/>
      <c r="S51" s="37" t="s">
        <v>56</v>
      </c>
      <c r="T51" s="53">
        <f>T28/($T$8/12)</f>
        <v>154.65298846571042</v>
      </c>
      <c r="U51" s="53">
        <f>U28/($U$8/12)</f>
        <v>150.20350201693344</v>
      </c>
      <c r="V51" s="40">
        <f t="shared" si="17"/>
        <v>-2.877077574070622E-2</v>
      </c>
      <c r="W51" s="38"/>
    </row>
    <row r="52" spans="1:23" s="77" customFormat="1" x14ac:dyDescent="0.35">
      <c r="A52" s="37" t="s">
        <v>201</v>
      </c>
      <c r="B52" s="53">
        <f>B49+B51</f>
        <v>13247.355207443421</v>
      </c>
      <c r="C52" s="53">
        <f>C49+C51</f>
        <v>13810.920478423619</v>
      </c>
      <c r="D52" s="40">
        <f t="shared" si="13"/>
        <v>4.2541719622913261E-2</v>
      </c>
      <c r="E52" s="38"/>
      <c r="M52" s="37" t="s">
        <v>201</v>
      </c>
      <c r="N52" s="53">
        <f>N49+N51</f>
        <v>12128.784582390696</v>
      </c>
      <c r="O52" s="53">
        <f>O49+O51</f>
        <v>12799.04226726762</v>
      </c>
      <c r="P52" s="40">
        <f t="shared" si="16"/>
        <v>5.5261735446274211E-2</v>
      </c>
      <c r="Q52" s="38"/>
      <c r="S52" s="37" t="s">
        <v>201</v>
      </c>
      <c r="T52" s="53">
        <f>T49+T51</f>
        <v>19457.788035784859</v>
      </c>
      <c r="U52" s="53">
        <f>U49+U51</f>
        <v>18936.847085281534</v>
      </c>
      <c r="V52" s="40">
        <f t="shared" si="17"/>
        <v>-2.6772876215182418E-2</v>
      </c>
      <c r="W52" s="38"/>
    </row>
    <row r="53" spans="1:23" s="77" customFormat="1" x14ac:dyDescent="0.35">
      <c r="A53" s="37" t="s">
        <v>202</v>
      </c>
      <c r="B53" s="53">
        <f>B49/B9+B51</f>
        <v>13363.258612659711</v>
      </c>
      <c r="C53" s="53">
        <f>C49/C9+C51</f>
        <v>13952.737191699127</v>
      </c>
      <c r="D53" s="40">
        <f t="shared" si="13"/>
        <v>4.4111888883222872E-2</v>
      </c>
      <c r="E53" s="38"/>
      <c r="M53" s="37" t="s">
        <v>202</v>
      </c>
      <c r="N53" s="53">
        <f>N49/N9+N51</f>
        <v>12469.557956346203</v>
      </c>
      <c r="O53" s="53">
        <f>O49/O9+O51</f>
        <v>13174.316114656454</v>
      </c>
      <c r="P53" s="40">
        <f t="shared" si="16"/>
        <v>5.6518295257738022E-2</v>
      </c>
      <c r="Q53" s="83" t="s">
        <v>135</v>
      </c>
      <c r="S53" s="37" t="s">
        <v>202</v>
      </c>
      <c r="T53" s="53">
        <f>T49/T9+T51</f>
        <v>17731.881264369473</v>
      </c>
      <c r="U53" s="53">
        <f>U49/U9+U51</f>
        <v>17413.490312684815</v>
      </c>
      <c r="V53" s="40">
        <f t="shared" si="17"/>
        <v>-1.7955847263901672E-2</v>
      </c>
      <c r="W53" s="38"/>
    </row>
    <row r="54" spans="1:23" x14ac:dyDescent="0.35">
      <c r="A54" s="37" t="s">
        <v>203</v>
      </c>
      <c r="B54" s="53">
        <f>B50+B51</f>
        <v>12654.571875519543</v>
      </c>
      <c r="C54" s="53">
        <f>C50+C51</f>
        <v>13128.307813924161</v>
      </c>
      <c r="D54" s="40">
        <f t="shared" si="13"/>
        <v>3.7435951454119661E-2</v>
      </c>
      <c r="E54" s="38"/>
      <c r="M54" s="37" t="s">
        <v>203</v>
      </c>
      <c r="N54" s="53">
        <f>N50+N51</f>
        <v>11606.758426096691</v>
      </c>
      <c r="O54" s="53">
        <f>O50+O51</f>
        <v>12160.940337208256</v>
      </c>
      <c r="P54" s="40">
        <f t="shared" si="16"/>
        <v>4.7746484484896344E-2</v>
      </c>
      <c r="Q54" s="38"/>
      <c r="S54" s="37" t="s">
        <v>203</v>
      </c>
      <c r="T54" s="53">
        <f>T50+T51</f>
        <v>18472.152722474679</v>
      </c>
      <c r="U54" s="53">
        <f>U50+U51</f>
        <v>18028.753967263259</v>
      </c>
      <c r="V54" s="40">
        <f t="shared" si="17"/>
        <v>-2.4003631946586581E-2</v>
      </c>
      <c r="W54" s="38"/>
    </row>
    <row r="55" spans="1:23" x14ac:dyDescent="0.35">
      <c r="A55" s="37" t="s">
        <v>204</v>
      </c>
      <c r="B55" s="53">
        <f>B50/B9+B51</f>
        <v>12765.148942922504</v>
      </c>
      <c r="C55" s="53">
        <f>C50/C9+C51</f>
        <v>13262.773819989192</v>
      </c>
      <c r="D55" s="40">
        <f t="shared" si="13"/>
        <v>3.898308427827555E-2</v>
      </c>
      <c r="E55" s="38"/>
      <c r="M55" s="37" t="s">
        <v>204</v>
      </c>
      <c r="N55" s="53">
        <f>N50/N9+N51</f>
        <v>11932.386591735549</v>
      </c>
      <c r="O55" s="53">
        <f>O50/O9+O51</f>
        <v>12516.359493338661</v>
      </c>
      <c r="P55" s="40">
        <f t="shared" si="16"/>
        <v>4.8940159381659319E-2</v>
      </c>
      <c r="Q55" s="83" t="s">
        <v>136</v>
      </c>
      <c r="S55" s="37" t="s">
        <v>204</v>
      </c>
      <c r="T55" s="53">
        <f>T50/T9+T51</f>
        <v>16834.372292050954</v>
      </c>
      <c r="U55" s="53">
        <f>U50/U9+U51</f>
        <v>16579.031944554165</v>
      </c>
      <c r="V55" s="40">
        <f t="shared" si="17"/>
        <v>-1.5167797353356535E-2</v>
      </c>
      <c r="W55" s="38"/>
    </row>
    <row r="56" spans="1:23" x14ac:dyDescent="0.35">
      <c r="A56" s="50"/>
      <c r="M56" s="50"/>
      <c r="S56" s="50"/>
    </row>
  </sheetData>
  <mergeCells count="24">
    <mergeCell ref="N31:O31"/>
    <mergeCell ref="Q31:Q32"/>
    <mergeCell ref="A6:A7"/>
    <mergeCell ref="B6:C6"/>
    <mergeCell ref="E6:E7"/>
    <mergeCell ref="A31:A32"/>
    <mergeCell ref="B31:C31"/>
    <mergeCell ref="E31:E32"/>
    <mergeCell ref="W6:W7"/>
    <mergeCell ref="W31:W32"/>
    <mergeCell ref="G6:G7"/>
    <mergeCell ref="H6:I6"/>
    <mergeCell ref="K6:K7"/>
    <mergeCell ref="G30:G31"/>
    <mergeCell ref="H30:I30"/>
    <mergeCell ref="K30:K31"/>
    <mergeCell ref="S6:S7"/>
    <mergeCell ref="T6:U6"/>
    <mergeCell ref="S31:S32"/>
    <mergeCell ref="T31:U31"/>
    <mergeCell ref="M6:M7"/>
    <mergeCell ref="N6:O6"/>
    <mergeCell ref="Q6:Q7"/>
    <mergeCell ref="M31:M3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E313-7037-4D05-A508-2F74136D8B1F}">
  <sheetPr>
    <tabColor theme="5"/>
  </sheetPr>
  <dimension ref="A1:W65"/>
  <sheetViews>
    <sheetView zoomScale="85" zoomScaleNormal="85" workbookViewId="0"/>
  </sheetViews>
  <sheetFormatPr defaultRowHeight="14.5" x14ac:dyDescent="0.35"/>
  <cols>
    <col min="1" max="1" width="38.26953125" style="19" customWidth="1"/>
    <col min="2" max="2" width="19.7265625" style="19" customWidth="1"/>
    <col min="3" max="3" width="20" style="19" bestFit="1" customWidth="1"/>
    <col min="4" max="4" width="16.453125" style="19" customWidth="1"/>
    <col min="5" max="5" width="17.7265625" style="19" customWidth="1"/>
    <col min="6" max="6" width="9.26953125" style="19"/>
    <col min="7" max="7" width="39.54296875" style="19" customWidth="1"/>
    <col min="8" max="9" width="19.7265625" style="19" customWidth="1"/>
    <col min="10" max="10" width="16.453125" style="19" customWidth="1"/>
    <col min="11" max="11" width="16.7265625" style="19" customWidth="1"/>
    <col min="12" max="12" width="9.26953125" style="19"/>
    <col min="13" max="13" width="38.453125" style="19" customWidth="1"/>
    <col min="14" max="15" width="19.7265625" style="19" customWidth="1"/>
    <col min="16" max="16" width="16.453125" style="19" customWidth="1"/>
    <col min="17" max="17" width="17.7265625" style="19" customWidth="1"/>
    <col min="19" max="19" width="38.7265625" style="19" customWidth="1"/>
    <col min="20" max="21" width="19.7265625" style="19" customWidth="1"/>
    <col min="22" max="22" width="16.453125" style="19" customWidth="1"/>
    <col min="23" max="23" width="17.7265625" style="19" customWidth="1"/>
  </cols>
  <sheetData>
    <row r="1" spans="1:23" s="19" customFormat="1" ht="18.5" x14ac:dyDescent="0.45">
      <c r="A1" s="1" t="s">
        <v>364</v>
      </c>
      <c r="B1" s="1"/>
      <c r="C1" s="1"/>
      <c r="D1" s="1"/>
    </row>
    <row r="2" spans="1:23" s="19" customFormat="1" ht="15.5" x14ac:dyDescent="0.35">
      <c r="A2" s="2" t="s">
        <v>141</v>
      </c>
      <c r="B2" s="3"/>
      <c r="C2" s="3"/>
      <c r="D2" s="3"/>
      <c r="G2" s="10"/>
      <c r="M2" s="10"/>
      <c r="S2" s="10"/>
    </row>
    <row r="3" spans="1:23" s="19" customFormat="1" ht="15.75" customHeight="1" x14ac:dyDescent="0.35">
      <c r="A3" s="4" t="s">
        <v>210</v>
      </c>
      <c r="B3" s="5"/>
      <c r="C3" s="5"/>
      <c r="D3" s="5"/>
      <c r="G3" s="10"/>
      <c r="M3" s="10"/>
      <c r="S3" s="10"/>
    </row>
    <row r="4" spans="1:23" s="19" customFormat="1" ht="15.75" customHeight="1" x14ac:dyDescent="0.35">
      <c r="A4" s="4"/>
      <c r="B4" s="5"/>
      <c r="C4" s="5"/>
      <c r="D4" s="5"/>
      <c r="G4" s="10"/>
      <c r="H4" s="11"/>
      <c r="I4" s="11"/>
      <c r="M4" s="10"/>
      <c r="S4" s="10"/>
    </row>
    <row r="5" spans="1:23" s="19" customFormat="1" x14ac:dyDescent="0.35">
      <c r="A5" s="33" t="s">
        <v>59</v>
      </c>
      <c r="G5" s="33" t="s">
        <v>27</v>
      </c>
      <c r="M5" s="33" t="s">
        <v>28</v>
      </c>
      <c r="S5" s="33" t="s">
        <v>113</v>
      </c>
    </row>
    <row r="6" spans="1:23" s="19" customFormat="1" x14ac:dyDescent="0.35">
      <c r="A6" s="132" t="s">
        <v>8</v>
      </c>
      <c r="B6" s="132" t="s">
        <v>2</v>
      </c>
      <c r="C6" s="132"/>
      <c r="D6" s="76" t="s">
        <v>3</v>
      </c>
      <c r="E6" s="135" t="s">
        <v>30</v>
      </c>
      <c r="G6" s="132" t="s">
        <v>8</v>
      </c>
      <c r="H6" s="132" t="s">
        <v>2</v>
      </c>
      <c r="I6" s="132"/>
      <c r="J6" s="76" t="s">
        <v>3</v>
      </c>
      <c r="K6" s="135" t="s">
        <v>30</v>
      </c>
      <c r="M6" s="132" t="s">
        <v>8</v>
      </c>
      <c r="N6" s="132" t="s">
        <v>2</v>
      </c>
      <c r="O6" s="132"/>
      <c r="P6" s="76" t="s">
        <v>3</v>
      </c>
      <c r="Q6" s="135" t="s">
        <v>30</v>
      </c>
      <c r="S6" s="132" t="s">
        <v>8</v>
      </c>
      <c r="T6" s="132" t="s">
        <v>2</v>
      </c>
      <c r="U6" s="132"/>
      <c r="V6" s="76" t="s">
        <v>3</v>
      </c>
      <c r="W6" s="135" t="s">
        <v>30</v>
      </c>
    </row>
    <row r="7" spans="1:23" s="19" customFormat="1" x14ac:dyDescent="0.35">
      <c r="A7" s="132"/>
      <c r="B7" s="75">
        <v>2021</v>
      </c>
      <c r="C7" s="75">
        <v>2022</v>
      </c>
      <c r="D7" s="75" t="s">
        <v>211</v>
      </c>
      <c r="E7" s="136"/>
      <c r="G7" s="132"/>
      <c r="H7" s="75">
        <v>2021</v>
      </c>
      <c r="I7" s="75">
        <v>2022</v>
      </c>
      <c r="J7" s="75" t="s">
        <v>211</v>
      </c>
      <c r="K7" s="136"/>
      <c r="M7" s="132"/>
      <c r="N7" s="75">
        <v>2021</v>
      </c>
      <c r="O7" s="75">
        <v>2022</v>
      </c>
      <c r="P7" s="75" t="s">
        <v>211</v>
      </c>
      <c r="Q7" s="136"/>
      <c r="S7" s="132"/>
      <c r="T7" s="75">
        <v>2021</v>
      </c>
      <c r="U7" s="75">
        <v>2022</v>
      </c>
      <c r="V7" s="75" t="s">
        <v>211</v>
      </c>
      <c r="W7" s="136"/>
    </row>
    <row r="8" spans="1:23" s="19" customFormat="1" x14ac:dyDescent="0.35">
      <c r="A8" s="37" t="s">
        <v>68</v>
      </c>
      <c r="B8" s="60">
        <f t="shared" ref="B8:B17" si="0">H8+N8+T8</f>
        <v>14680538</v>
      </c>
      <c r="C8" s="60">
        <f>I8+O8 + U8</f>
        <v>15792048</v>
      </c>
      <c r="D8" s="40">
        <f t="shared" ref="D8:D28" si="1">IFERROR((C8-B8)/B8, "")</f>
        <v>7.5713165280454978E-2</v>
      </c>
      <c r="E8" s="38"/>
      <c r="G8" s="37" t="s">
        <v>68</v>
      </c>
      <c r="H8" s="60">
        <v>12237539</v>
      </c>
      <c r="I8" s="60">
        <v>13260728</v>
      </c>
      <c r="J8" s="40">
        <f t="shared" ref="J8:J28" si="2">IFERROR((I8-H8)/H8, "")</f>
        <v>8.3610683487913701E-2</v>
      </c>
      <c r="K8" s="83" t="s">
        <v>114</v>
      </c>
      <c r="M8" s="37" t="s">
        <v>68</v>
      </c>
      <c r="N8" s="60">
        <v>1011108</v>
      </c>
      <c r="O8" s="60">
        <v>1013095</v>
      </c>
      <c r="P8" s="40">
        <f t="shared" ref="P8:P28" si="3">IFERROR((O8-N8)/N8, "")</f>
        <v>1.9651708818444716E-3</v>
      </c>
      <c r="Q8" s="83" t="s">
        <v>114</v>
      </c>
      <c r="S8" s="37" t="s">
        <v>68</v>
      </c>
      <c r="T8" s="60">
        <v>1431891</v>
      </c>
      <c r="U8" s="60">
        <v>1518225</v>
      </c>
      <c r="V8" s="40">
        <f t="shared" ref="V8:V28" si="4">IFERROR((U8-T8)/T8, "")</f>
        <v>6.0293695539674459E-2</v>
      </c>
      <c r="W8" s="83"/>
    </row>
    <row r="9" spans="1:23" s="77" customFormat="1" x14ac:dyDescent="0.35">
      <c r="A9" s="37" t="s">
        <v>134</v>
      </c>
      <c r="B9" s="81">
        <f>(H8*H9+N8*N9+T8*T9)/(H8+N8+T8)</f>
        <v>1.0589396286085795</v>
      </c>
      <c r="C9" s="81">
        <f>(I8*I9+O8*O9+U8*U9)/(I8+O8+U8)</f>
        <v>1.0663572337226201</v>
      </c>
      <c r="D9" s="40">
        <f t="shared" si="1"/>
        <v>7.0047478757473735E-3</v>
      </c>
      <c r="E9" s="38"/>
      <c r="G9" s="37" t="s">
        <v>134</v>
      </c>
      <c r="H9" s="81">
        <v>1.01502673814196</v>
      </c>
      <c r="I9" s="81">
        <v>1.03053677592683</v>
      </c>
      <c r="J9" s="40">
        <f t="shared" si="2"/>
        <v>1.5280422871678899E-2</v>
      </c>
      <c r="K9" s="83"/>
      <c r="M9" s="37" t="s">
        <v>134</v>
      </c>
      <c r="N9" s="81">
        <v>1.07084090586298</v>
      </c>
      <c r="O9" s="81">
        <v>1.0631549835666601</v>
      </c>
      <c r="P9" s="40">
        <f t="shared" si="3"/>
        <v>-7.1774642285689647E-3</v>
      </c>
      <c r="Q9" s="83"/>
      <c r="S9" s="37" t="s">
        <v>134</v>
      </c>
      <c r="T9" s="81">
        <v>1.4258336401261069</v>
      </c>
      <c r="U9" s="81">
        <v>1.3813629353065118</v>
      </c>
      <c r="V9" s="40">
        <f t="shared" si="4"/>
        <v>-3.1189266102363777E-2</v>
      </c>
      <c r="W9" s="83"/>
    </row>
    <row r="10" spans="1:23" s="19" customFormat="1" x14ac:dyDescent="0.35">
      <c r="A10" s="6" t="s">
        <v>33</v>
      </c>
      <c r="B10" s="23">
        <f t="shared" si="0"/>
        <v>1120625885.4964588</v>
      </c>
      <c r="C10" s="23">
        <f t="shared" ref="C10:C17" si="5">I10+O10+U10</f>
        <v>1136929047.7989738</v>
      </c>
      <c r="D10" s="7">
        <f t="shared" si="1"/>
        <v>1.4548264959355652E-2</v>
      </c>
      <c r="E10" s="6"/>
      <c r="G10" s="6" t="s">
        <v>33</v>
      </c>
      <c r="H10" s="23">
        <v>805149007.11245799</v>
      </c>
      <c r="I10" s="23">
        <v>845901510.37360501</v>
      </c>
      <c r="J10" s="7">
        <f t="shared" si="2"/>
        <v>5.0614858741861404E-2</v>
      </c>
      <c r="K10" s="6"/>
      <c r="M10" s="6" t="s">
        <v>33</v>
      </c>
      <c r="N10" s="23">
        <v>286116169.27999997</v>
      </c>
      <c r="O10" s="23">
        <v>270321200.92000002</v>
      </c>
      <c r="P10" s="7">
        <f t="shared" si="3"/>
        <v>-5.5204738689698551E-2</v>
      </c>
      <c r="Q10" s="6"/>
      <c r="S10" s="6" t="s">
        <v>33</v>
      </c>
      <c r="T10" s="23">
        <v>29360709.104000703</v>
      </c>
      <c r="U10" s="23">
        <v>20706336.505368799</v>
      </c>
      <c r="V10" s="7">
        <f t="shared" si="4"/>
        <v>-0.2947603400168784</v>
      </c>
      <c r="W10" s="6"/>
    </row>
    <row r="11" spans="1:23" s="19" customFormat="1" x14ac:dyDescent="0.35">
      <c r="A11" s="6" t="s">
        <v>34</v>
      </c>
      <c r="B11" s="23">
        <f t="shared" si="0"/>
        <v>894429963.0287112</v>
      </c>
      <c r="C11" s="23">
        <f t="shared" si="5"/>
        <v>963285015.28859782</v>
      </c>
      <c r="D11" s="7">
        <f t="shared" si="1"/>
        <v>7.6982050139208474E-2</v>
      </c>
      <c r="E11" s="6"/>
      <c r="G11" s="6" t="s">
        <v>34</v>
      </c>
      <c r="H11" s="23">
        <v>736684835.38856602</v>
      </c>
      <c r="I11" s="23">
        <v>810272075.03457606</v>
      </c>
      <c r="J11" s="7">
        <f t="shared" si="2"/>
        <v>9.9889716892565455E-2</v>
      </c>
      <c r="K11" s="6"/>
      <c r="M11" s="6" t="s">
        <v>34</v>
      </c>
      <c r="N11" s="23">
        <v>105299298.37</v>
      </c>
      <c r="O11" s="23">
        <v>109343180.31999999</v>
      </c>
      <c r="P11" s="7">
        <f t="shared" si="3"/>
        <v>3.8403693211616866E-2</v>
      </c>
      <c r="Q11" s="6"/>
      <c r="S11" s="6" t="s">
        <v>34</v>
      </c>
      <c r="T11" s="23">
        <v>52445829.2701452</v>
      </c>
      <c r="U11" s="23">
        <v>43669759.934021696</v>
      </c>
      <c r="V11" s="7">
        <f t="shared" si="4"/>
        <v>-0.16733588653767906</v>
      </c>
      <c r="W11" s="6"/>
    </row>
    <row r="12" spans="1:23" s="19" customFormat="1" x14ac:dyDescent="0.35">
      <c r="A12" s="6" t="s">
        <v>35</v>
      </c>
      <c r="B12" s="23">
        <f t="shared" si="0"/>
        <v>322179942.86695778</v>
      </c>
      <c r="C12" s="23">
        <f t="shared" si="5"/>
        <v>343799707.14742309</v>
      </c>
      <c r="D12" s="7">
        <f t="shared" si="1"/>
        <v>6.7104625098878531E-2</v>
      </c>
      <c r="E12" s="6"/>
      <c r="G12" s="6" t="s">
        <v>35</v>
      </c>
      <c r="H12" s="23">
        <v>267368311.51554999</v>
      </c>
      <c r="I12" s="23">
        <v>286627291.50774902</v>
      </c>
      <c r="J12" s="7">
        <f t="shared" si="2"/>
        <v>7.2031647591412271E-2</v>
      </c>
      <c r="K12" s="6"/>
      <c r="M12" s="6" t="s">
        <v>35</v>
      </c>
      <c r="N12" s="23">
        <v>45658928.829999998</v>
      </c>
      <c r="O12" s="23">
        <v>47787562.219999999</v>
      </c>
      <c r="P12" s="7">
        <f t="shared" si="3"/>
        <v>4.6620309423496403E-2</v>
      </c>
      <c r="Q12" s="6"/>
      <c r="S12" s="6" t="s">
        <v>35</v>
      </c>
      <c r="T12" s="23">
        <v>9152702.5214078091</v>
      </c>
      <c r="U12" s="23">
        <v>9384853.4196741097</v>
      </c>
      <c r="V12" s="7">
        <f t="shared" si="4"/>
        <v>2.5364191365698688E-2</v>
      </c>
      <c r="W12" s="6"/>
    </row>
    <row r="13" spans="1:23" s="19" customFormat="1" x14ac:dyDescent="0.35">
      <c r="A13" s="6" t="s">
        <v>36</v>
      </c>
      <c r="B13" s="23">
        <f t="shared" si="0"/>
        <v>475018696.7519753</v>
      </c>
      <c r="C13" s="23">
        <f t="shared" si="5"/>
        <v>494860399.69096154</v>
      </c>
      <c r="D13" s="7">
        <f t="shared" si="1"/>
        <v>4.1770362039762664E-2</v>
      </c>
      <c r="E13" s="6"/>
      <c r="G13" s="6" t="s">
        <v>36</v>
      </c>
      <c r="H13" s="52">
        <v>454584464.98457903</v>
      </c>
      <c r="I13" s="23">
        <v>475533345.59149402</v>
      </c>
      <c r="J13" s="7">
        <f t="shared" si="2"/>
        <v>4.6083582305492227E-2</v>
      </c>
      <c r="K13" s="6"/>
      <c r="M13" s="6" t="s">
        <v>36</v>
      </c>
      <c r="N13" s="23">
        <v>2207126.84</v>
      </c>
      <c r="O13" s="23">
        <v>2036441.26</v>
      </c>
      <c r="P13" s="7">
        <f t="shared" si="3"/>
        <v>-7.7333833700286958E-2</v>
      </c>
      <c r="Q13" s="6"/>
      <c r="S13" s="6" t="s">
        <v>36</v>
      </c>
      <c r="T13" s="23">
        <v>18227104.927396297</v>
      </c>
      <c r="U13" s="23">
        <v>17290612.839467499</v>
      </c>
      <c r="V13" s="7">
        <f t="shared" si="4"/>
        <v>-5.1379091285155283E-2</v>
      </c>
      <c r="W13" s="6"/>
    </row>
    <row r="14" spans="1:23" s="19" customFormat="1" x14ac:dyDescent="0.35">
      <c r="A14" s="6" t="s">
        <v>37</v>
      </c>
      <c r="B14" s="23">
        <f t="shared" si="0"/>
        <v>499010515.43447101</v>
      </c>
      <c r="C14" s="23">
        <f t="shared" si="5"/>
        <v>588000169.11701655</v>
      </c>
      <c r="D14" s="7">
        <f t="shared" si="1"/>
        <v>0.17833222132616858</v>
      </c>
      <c r="E14" s="6"/>
      <c r="G14" s="6" t="s">
        <v>37</v>
      </c>
      <c r="H14" s="24">
        <v>385114754.27241701</v>
      </c>
      <c r="I14" s="24">
        <v>468625394.912292</v>
      </c>
      <c r="J14" s="7">
        <f t="shared" si="2"/>
        <v>0.2168461210935648</v>
      </c>
      <c r="K14" s="6"/>
      <c r="M14" s="6" t="s">
        <v>37</v>
      </c>
      <c r="N14" s="24">
        <v>72344720.569999993</v>
      </c>
      <c r="O14" s="24">
        <v>80167485.569999993</v>
      </c>
      <c r="P14" s="7">
        <f t="shared" si="3"/>
        <v>0.10813180199418664</v>
      </c>
      <c r="Q14" s="6"/>
      <c r="S14" s="6" t="s">
        <v>37</v>
      </c>
      <c r="T14" s="24">
        <v>41551040.592054002</v>
      </c>
      <c r="U14" s="24">
        <v>39207288.634724602</v>
      </c>
      <c r="V14" s="7">
        <f t="shared" si="4"/>
        <v>-5.640657668096058E-2</v>
      </c>
      <c r="W14" s="6"/>
    </row>
    <row r="15" spans="1:23" s="19" customFormat="1" x14ac:dyDescent="0.35">
      <c r="A15" s="6" t="s">
        <v>38</v>
      </c>
      <c r="B15" s="23">
        <f t="shared" si="0"/>
        <v>373470173.1167717</v>
      </c>
      <c r="C15" s="23">
        <f t="shared" si="5"/>
        <v>395055996.96829182</v>
      </c>
      <c r="D15" s="7">
        <f t="shared" si="1"/>
        <v>5.7797986038287862E-2</v>
      </c>
      <c r="E15" s="6"/>
      <c r="G15" s="6" t="s">
        <v>38</v>
      </c>
      <c r="H15" s="25">
        <v>225057320.889382</v>
      </c>
      <c r="I15" s="25">
        <v>251969185.53204101</v>
      </c>
      <c r="J15" s="7">
        <f t="shared" si="2"/>
        <v>0.11957782371312625</v>
      </c>
      <c r="K15" s="6"/>
      <c r="M15" s="6" t="s">
        <v>38</v>
      </c>
      <c r="N15" s="25">
        <v>122400889.05</v>
      </c>
      <c r="O15" s="25">
        <v>119826665.54000001</v>
      </c>
      <c r="P15" s="7">
        <f t="shared" si="3"/>
        <v>-2.103108506792329E-2</v>
      </c>
      <c r="Q15" s="6"/>
      <c r="S15" s="6" t="s">
        <v>38</v>
      </c>
      <c r="T15" s="25">
        <v>26011963.1773897</v>
      </c>
      <c r="U15" s="25">
        <v>23260145.896250799</v>
      </c>
      <c r="V15" s="7">
        <f t="shared" si="4"/>
        <v>-0.10579044966244049</v>
      </c>
      <c r="W15" s="6"/>
    </row>
    <row r="16" spans="1:23" s="19" customFormat="1" x14ac:dyDescent="0.35">
      <c r="A16" s="6" t="s">
        <v>39</v>
      </c>
      <c r="B16" s="23">
        <f t="shared" si="0"/>
        <v>252550531.96209311</v>
      </c>
      <c r="C16" s="23">
        <f t="shared" si="5"/>
        <v>183655543.40848261</v>
      </c>
      <c r="D16" s="7">
        <f t="shared" si="1"/>
        <v>-0.27279684591577652</v>
      </c>
      <c r="E16" s="6"/>
      <c r="G16" s="6" t="s">
        <v>39</v>
      </c>
      <c r="H16" s="25">
        <v>31870293.249258399</v>
      </c>
      <c r="I16" s="25">
        <v>37398697.987403102</v>
      </c>
      <c r="J16" s="7">
        <f t="shared" si="2"/>
        <v>0.17346576308247008</v>
      </c>
      <c r="K16" s="6"/>
      <c r="M16" s="6" t="s">
        <v>39</v>
      </c>
      <c r="N16" s="25">
        <v>21625378.469999999</v>
      </c>
      <c r="O16" s="25">
        <v>20623183.93</v>
      </c>
      <c r="P16" s="7">
        <f t="shared" si="3"/>
        <v>-4.6343445105032612E-2</v>
      </c>
      <c r="Q16" s="6"/>
      <c r="S16" s="6" t="s">
        <v>39</v>
      </c>
      <c r="T16" s="25">
        <v>199054860.24283472</v>
      </c>
      <c r="U16" s="25">
        <v>125633661.49107949</v>
      </c>
      <c r="V16" s="7">
        <f t="shared" si="4"/>
        <v>-0.36884906332950557</v>
      </c>
      <c r="W16" s="6"/>
    </row>
    <row r="17" spans="1:23" s="19" customFormat="1" x14ac:dyDescent="0.35">
      <c r="A17" s="12" t="s">
        <v>60</v>
      </c>
      <c r="B17" s="23">
        <f t="shared" si="0"/>
        <v>924675880.52142739</v>
      </c>
      <c r="C17" s="23">
        <f t="shared" si="5"/>
        <v>1016049231.1605518</v>
      </c>
      <c r="D17" s="7">
        <f t="shared" si="1"/>
        <v>9.8816625980985576E-2</v>
      </c>
      <c r="E17" s="6"/>
      <c r="G17" s="12" t="s">
        <v>60</v>
      </c>
      <c r="H17" s="25">
        <v>770671316.77340603</v>
      </c>
      <c r="I17" s="25">
        <v>849247685.93863106</v>
      </c>
      <c r="J17" s="7">
        <f t="shared" si="2"/>
        <v>0.10195834132533076</v>
      </c>
      <c r="K17" s="6"/>
      <c r="M17" s="12" t="s">
        <v>60</v>
      </c>
      <c r="N17" s="25">
        <v>130265216.51000001</v>
      </c>
      <c r="O17" s="25">
        <v>146489885.47999999</v>
      </c>
      <c r="P17" s="7">
        <f t="shared" si="3"/>
        <v>0.12455104597131247</v>
      </c>
      <c r="Q17" s="6"/>
      <c r="S17" s="12" t="s">
        <v>60</v>
      </c>
      <c r="T17" s="25">
        <v>23739347.2380214</v>
      </c>
      <c r="U17" s="25">
        <v>20311659.741920698</v>
      </c>
      <c r="V17" s="7">
        <f t="shared" si="4"/>
        <v>-0.14438844765751818</v>
      </c>
      <c r="W17" s="6"/>
    </row>
    <row r="18" spans="1:23" s="19" customFormat="1" x14ac:dyDescent="0.35">
      <c r="A18" s="12" t="s">
        <v>61</v>
      </c>
      <c r="B18" s="23">
        <v>440222087.00121766</v>
      </c>
      <c r="C18" s="23">
        <v>487070815.87944323</v>
      </c>
      <c r="D18" s="7">
        <f t="shared" si="1"/>
        <v>0.10642066870692016</v>
      </c>
      <c r="E18" s="46" t="s">
        <v>64</v>
      </c>
      <c r="G18" s="12" t="s">
        <v>61</v>
      </c>
      <c r="H18" s="25">
        <v>770671316.77340603</v>
      </c>
      <c r="I18" s="25">
        <v>849247685.93863106</v>
      </c>
      <c r="J18" s="7">
        <f t="shared" si="2"/>
        <v>0.10195834132533076</v>
      </c>
      <c r="K18" s="46" t="s">
        <v>65</v>
      </c>
      <c r="M18" s="12" t="s">
        <v>61</v>
      </c>
      <c r="N18" s="25">
        <v>130265216.51000001</v>
      </c>
      <c r="O18" s="25">
        <v>146489885.47999999</v>
      </c>
      <c r="P18" s="7">
        <f t="shared" si="3"/>
        <v>0.12455104597131247</v>
      </c>
      <c r="Q18" s="46" t="s">
        <v>65</v>
      </c>
      <c r="S18" s="12" t="s">
        <v>61</v>
      </c>
      <c r="T18" s="25">
        <v>23739347.2380214</v>
      </c>
      <c r="U18" s="25">
        <v>20311659.741920698</v>
      </c>
      <c r="V18" s="7">
        <f t="shared" si="4"/>
        <v>-0.14438844765751818</v>
      </c>
      <c r="W18" s="46" t="s">
        <v>65</v>
      </c>
    </row>
    <row r="19" spans="1:23" s="19" customFormat="1" x14ac:dyDescent="0.35">
      <c r="A19" s="12" t="s">
        <v>40</v>
      </c>
      <c r="B19" s="23">
        <f t="shared" ref="B19:C25" si="6">H19+N19+T19</f>
        <v>389046926.20477617</v>
      </c>
      <c r="C19" s="23">
        <f t="shared" si="6"/>
        <v>415486738.10582316</v>
      </c>
      <c r="D19" s="7">
        <f t="shared" si="1"/>
        <v>6.7960469856354316E-2</v>
      </c>
      <c r="E19" s="6"/>
      <c r="G19" s="12" t="s">
        <v>40</v>
      </c>
      <c r="H19" s="25">
        <v>253047756.58073801</v>
      </c>
      <c r="I19" s="25">
        <v>283415076.67360598</v>
      </c>
      <c r="J19" s="7">
        <f t="shared" si="2"/>
        <v>0.1200062806452066</v>
      </c>
      <c r="K19" s="6"/>
      <c r="M19" s="12" t="s">
        <v>40</v>
      </c>
      <c r="N19" s="25">
        <v>28817173.210000001</v>
      </c>
      <c r="O19" s="25">
        <v>36380472.979999997</v>
      </c>
      <c r="P19" s="7">
        <f t="shared" si="3"/>
        <v>0.26245807369389773</v>
      </c>
      <c r="Q19" s="6"/>
      <c r="S19" s="12" t="s">
        <v>40</v>
      </c>
      <c r="T19" s="25">
        <v>107181996.41403821</v>
      </c>
      <c r="U19" s="25">
        <v>95691188.452217191</v>
      </c>
      <c r="V19" s="7">
        <f t="shared" si="4"/>
        <v>-0.10720837777113849</v>
      </c>
      <c r="W19" s="6"/>
    </row>
    <row r="20" spans="1:23" s="19" customFormat="1" x14ac:dyDescent="0.35">
      <c r="A20" s="12" t="s">
        <v>48</v>
      </c>
      <c r="B20" s="23">
        <f t="shared" si="6"/>
        <v>877022854.90727687</v>
      </c>
      <c r="C20" s="23">
        <f t="shared" si="6"/>
        <v>1028746298.0815563</v>
      </c>
      <c r="D20" s="7">
        <f t="shared" si="1"/>
        <v>0.1729982774397828</v>
      </c>
      <c r="E20" s="6"/>
      <c r="G20" s="12" t="s">
        <v>48</v>
      </c>
      <c r="H20" s="25">
        <v>790183958.43336403</v>
      </c>
      <c r="I20" s="25">
        <v>937262170.01178098</v>
      </c>
      <c r="J20" s="7">
        <f t="shared" si="2"/>
        <v>0.18613160898636491</v>
      </c>
      <c r="K20" s="6"/>
      <c r="M20" s="12" t="s">
        <v>48</v>
      </c>
      <c r="N20" s="25">
        <v>33979111.710000001</v>
      </c>
      <c r="O20" s="25">
        <v>33696974.640000001</v>
      </c>
      <c r="P20" s="7">
        <f t="shared" si="3"/>
        <v>-8.3032503147210824E-3</v>
      </c>
      <c r="Q20" s="6"/>
      <c r="S20" s="12" t="s">
        <v>48</v>
      </c>
      <c r="T20" s="25">
        <v>52859784.763912797</v>
      </c>
      <c r="U20" s="25">
        <v>57787153.429775298</v>
      </c>
      <c r="V20" s="7">
        <f t="shared" si="4"/>
        <v>9.3215829157639693E-2</v>
      </c>
      <c r="W20" s="6"/>
    </row>
    <row r="21" spans="1:23" s="19" customFormat="1" x14ac:dyDescent="0.35">
      <c r="A21" s="12" t="s">
        <v>49</v>
      </c>
      <c r="B21" s="23">
        <f t="shared" si="6"/>
        <v>232635845.2988598</v>
      </c>
      <c r="C21" s="23">
        <f t="shared" si="6"/>
        <v>296607034.97364128</v>
      </c>
      <c r="D21" s="7">
        <f t="shared" si="1"/>
        <v>0.27498423380369325</v>
      </c>
      <c r="E21" s="6"/>
      <c r="G21" s="12" t="s">
        <v>49</v>
      </c>
      <c r="H21" s="25">
        <v>219427400.84543499</v>
      </c>
      <c r="I21" s="25">
        <v>280036687.71178401</v>
      </c>
      <c r="J21" s="7">
        <f t="shared" si="2"/>
        <v>0.27621567148326331</v>
      </c>
      <c r="K21" s="6"/>
      <c r="M21" s="12" t="s">
        <v>49</v>
      </c>
      <c r="N21" s="25">
        <v>0</v>
      </c>
      <c r="O21" s="25">
        <v>0</v>
      </c>
      <c r="P21" s="7" t="str">
        <f t="shared" si="3"/>
        <v/>
      </c>
      <c r="Q21" s="6"/>
      <c r="S21" s="12" t="s">
        <v>49</v>
      </c>
      <c r="T21" s="25">
        <v>13208444.4534248</v>
      </c>
      <c r="U21" s="25">
        <v>16570347.261857299</v>
      </c>
      <c r="V21" s="7">
        <f t="shared" si="4"/>
        <v>0.25452677794778444</v>
      </c>
      <c r="W21" s="6"/>
    </row>
    <row r="22" spans="1:23" s="19" customFormat="1" x14ac:dyDescent="0.35">
      <c r="A22" s="12" t="s">
        <v>50</v>
      </c>
      <c r="B22" s="23">
        <f t="shared" si="6"/>
        <v>101725642.74004185</v>
      </c>
      <c r="C22" s="23">
        <f t="shared" si="6"/>
        <v>103728979.98191166</v>
      </c>
      <c r="D22" s="7">
        <f t="shared" si="1"/>
        <v>1.9693532406468067E-2</v>
      </c>
      <c r="E22" s="6"/>
      <c r="G22" s="12" t="s">
        <v>50</v>
      </c>
      <c r="H22" s="25">
        <v>94321830.255763203</v>
      </c>
      <c r="I22" s="25">
        <v>95701264.296562493</v>
      </c>
      <c r="J22" s="7">
        <f t="shared" si="2"/>
        <v>1.4624759051630092E-2</v>
      </c>
      <c r="K22" s="6"/>
      <c r="M22" s="12" t="s">
        <v>50</v>
      </c>
      <c r="N22" s="25">
        <v>0</v>
      </c>
      <c r="O22" s="25">
        <v>0</v>
      </c>
      <c r="P22" s="7" t="str">
        <f t="shared" si="3"/>
        <v/>
      </c>
      <c r="Q22" s="6"/>
      <c r="S22" s="12" t="s">
        <v>50</v>
      </c>
      <c r="T22" s="25">
        <v>7403812.48427865</v>
      </c>
      <c r="U22" s="25">
        <v>8027715.6853491599</v>
      </c>
      <c r="V22" s="7">
        <f t="shared" si="4"/>
        <v>8.4267828553912447E-2</v>
      </c>
      <c r="W22" s="6"/>
    </row>
    <row r="23" spans="1:23" s="19" customFormat="1" x14ac:dyDescent="0.35">
      <c r="A23" s="12" t="s">
        <v>51</v>
      </c>
      <c r="B23" s="23">
        <f t="shared" si="6"/>
        <v>22891929.820286859</v>
      </c>
      <c r="C23" s="23">
        <f t="shared" si="6"/>
        <v>22019893.916403748</v>
      </c>
      <c r="D23" s="7">
        <f t="shared" si="1"/>
        <v>-3.8093595023618816E-2</v>
      </c>
      <c r="E23" s="6"/>
      <c r="G23" s="12" t="s">
        <v>51</v>
      </c>
      <c r="H23" s="25">
        <v>21566915.847791899</v>
      </c>
      <c r="I23" s="25">
        <v>20628891.552868299</v>
      </c>
      <c r="J23" s="7">
        <f t="shared" si="2"/>
        <v>-4.3493668800105148E-2</v>
      </c>
      <c r="K23" s="6"/>
      <c r="M23" s="12" t="s">
        <v>51</v>
      </c>
      <c r="N23" s="25">
        <v>0</v>
      </c>
      <c r="O23" s="25">
        <v>0</v>
      </c>
      <c r="P23" s="7" t="str">
        <f t="shared" si="3"/>
        <v/>
      </c>
      <c r="Q23" s="6"/>
      <c r="S23" s="12" t="s">
        <v>51</v>
      </c>
      <c r="T23" s="25">
        <v>1325013.9724949601</v>
      </c>
      <c r="U23" s="25">
        <v>1391002.3635354501</v>
      </c>
      <c r="V23" s="7">
        <f t="shared" si="4"/>
        <v>4.9802034099486456E-2</v>
      </c>
      <c r="W23" s="6"/>
    </row>
    <row r="24" spans="1:23" s="19" customFormat="1" x14ac:dyDescent="0.35">
      <c r="A24" s="12" t="s">
        <v>52</v>
      </c>
      <c r="B24" s="23">
        <f t="shared" si="6"/>
        <v>-8979803.1901222803</v>
      </c>
      <c r="C24" s="23">
        <f t="shared" si="6"/>
        <v>-5782976.6523369933</v>
      </c>
      <c r="D24" s="7">
        <f t="shared" si="1"/>
        <v>-0.35600184882690677</v>
      </c>
      <c r="E24" s="6"/>
      <c r="G24" s="12" t="s">
        <v>52</v>
      </c>
      <c r="H24" s="25">
        <v>-7234009.5165047897</v>
      </c>
      <c r="I24" s="25">
        <v>-5025293.5398449497</v>
      </c>
      <c r="J24" s="7">
        <f t="shared" si="2"/>
        <v>-0.30532389702011498</v>
      </c>
      <c r="K24" s="6"/>
      <c r="M24" s="12" t="s">
        <v>52</v>
      </c>
      <c r="N24" s="25">
        <v>-1145990.6100000001</v>
      </c>
      <c r="O24" s="25">
        <v>-283181.27</v>
      </c>
      <c r="P24" s="7">
        <f t="shared" si="3"/>
        <v>-0.75289390023885105</v>
      </c>
      <c r="Q24" s="46"/>
      <c r="S24" s="12" t="s">
        <v>52</v>
      </c>
      <c r="T24" s="25">
        <v>-599803.06361749</v>
      </c>
      <c r="U24" s="25">
        <v>-474501.84249204298</v>
      </c>
      <c r="V24" s="7">
        <f t="shared" si="4"/>
        <v>-0.20890393651832839</v>
      </c>
      <c r="W24" s="46"/>
    </row>
    <row r="25" spans="1:23" s="19" customFormat="1" x14ac:dyDescent="0.35">
      <c r="A25" s="12" t="s">
        <v>53</v>
      </c>
      <c r="B25" s="23">
        <f t="shared" si="6"/>
        <v>8300976.4596206117</v>
      </c>
      <c r="C25" s="23">
        <f t="shared" si="6"/>
        <v>6268651.8384176735</v>
      </c>
      <c r="D25" s="7">
        <f t="shared" si="1"/>
        <v>-0.24482958493967633</v>
      </c>
      <c r="E25" s="6"/>
      <c r="G25" s="12" t="s">
        <v>53</v>
      </c>
      <c r="H25" s="25">
        <v>8262896.5717495503</v>
      </c>
      <c r="I25" s="25">
        <v>6180887.2835434098</v>
      </c>
      <c r="J25" s="7">
        <f t="shared" si="2"/>
        <v>-0.25197087608774277</v>
      </c>
      <c r="K25" s="6"/>
      <c r="M25" s="12" t="s">
        <v>53</v>
      </c>
      <c r="N25" s="25">
        <v>0</v>
      </c>
      <c r="O25" s="25">
        <v>0</v>
      </c>
      <c r="P25" s="7" t="str">
        <f t="shared" si="3"/>
        <v/>
      </c>
      <c r="Q25" s="6"/>
      <c r="S25" s="12" t="s">
        <v>53</v>
      </c>
      <c r="T25" s="25">
        <v>38079.887871061597</v>
      </c>
      <c r="U25" s="25">
        <v>87764.554874263704</v>
      </c>
      <c r="V25" s="7">
        <f t="shared" si="4"/>
        <v>1.3047482485094037</v>
      </c>
      <c r="W25" s="6"/>
    </row>
    <row r="26" spans="1:23" s="19" customFormat="1" x14ac:dyDescent="0.35">
      <c r="A26" s="37" t="s">
        <v>62</v>
      </c>
      <c r="B26" s="39">
        <f>SUM(B10:B16) + B17 +B19</f>
        <v>5251008515.3836422</v>
      </c>
      <c r="C26" s="39">
        <f t="shared" ref="C26" si="7">SUM(C10:C16) + C17 +C19</f>
        <v>5537121848.6861219</v>
      </c>
      <c r="D26" s="40">
        <f t="shared" si="1"/>
        <v>5.4487310859288547E-2</v>
      </c>
      <c r="E26" s="38"/>
      <c r="G26" s="37" t="s">
        <v>62</v>
      </c>
      <c r="H26" s="39">
        <f>SUM(H10:H16) + H17 +H19</f>
        <v>3929548060.7663546</v>
      </c>
      <c r="I26" s="39">
        <f>SUM(I10:I16) + I17 +I19</f>
        <v>4308990263.5513973</v>
      </c>
      <c r="J26" s="40">
        <f t="shared" si="2"/>
        <v>9.656128310873556E-2</v>
      </c>
      <c r="K26" s="38"/>
      <c r="M26" s="37" t="s">
        <v>62</v>
      </c>
      <c r="N26" s="39">
        <f>SUM(N10:N16) + N17 +N19</f>
        <v>814734901.13</v>
      </c>
      <c r="O26" s="39">
        <f t="shared" ref="O26" si="8">SUM(O10:O16) + O17 +O19</f>
        <v>832976078.22000003</v>
      </c>
      <c r="P26" s="40">
        <f t="shared" si="3"/>
        <v>2.238909498623461E-2</v>
      </c>
      <c r="Q26" s="38"/>
      <c r="S26" s="37" t="s">
        <v>62</v>
      </c>
      <c r="T26" s="39">
        <f>SUM(T10:T16) + T17 +T19</f>
        <v>506725553.487288</v>
      </c>
      <c r="U26" s="39">
        <f t="shared" ref="U26" si="9">SUM(U10:U16) + U17 +U19</f>
        <v>395155506.91472495</v>
      </c>
      <c r="V26" s="40">
        <f t="shared" si="4"/>
        <v>-0.22017844927049246</v>
      </c>
      <c r="W26" s="38"/>
    </row>
    <row r="27" spans="1:23" s="19" customFormat="1" x14ac:dyDescent="0.35">
      <c r="A27" s="37" t="s">
        <v>63</v>
      </c>
      <c r="B27" s="39">
        <f>SUM(B10:B16) + B18 +B19</f>
        <v>4766554721.8634329</v>
      </c>
      <c r="C27" s="39">
        <f t="shared" ref="C27" si="10">SUM(C10:C16) + C18 +C19</f>
        <v>5008143433.405014</v>
      </c>
      <c r="D27" s="40">
        <f t="shared" si="1"/>
        <v>5.0684136790342914E-2</v>
      </c>
      <c r="E27" s="38"/>
      <c r="G27" s="37" t="s">
        <v>63</v>
      </c>
      <c r="H27" s="39">
        <f>SUM(H10:H16) + H18 +H19</f>
        <v>3929548060.7663546</v>
      </c>
      <c r="I27" s="39">
        <f t="shared" ref="I27" si="11">SUM(I10:I16) + I18 +I19</f>
        <v>4308990263.5513973</v>
      </c>
      <c r="J27" s="40">
        <f t="shared" si="2"/>
        <v>9.656128310873556E-2</v>
      </c>
      <c r="K27" s="38"/>
      <c r="M27" s="37" t="s">
        <v>63</v>
      </c>
      <c r="N27" s="39">
        <f>SUM(N10:N16) + N18 +N19</f>
        <v>814734901.13</v>
      </c>
      <c r="O27" s="39">
        <f t="shared" ref="O27" si="12">SUM(O10:O16) + O18 +O19</f>
        <v>832976078.22000003</v>
      </c>
      <c r="P27" s="40">
        <f t="shared" si="3"/>
        <v>2.238909498623461E-2</v>
      </c>
      <c r="Q27" s="38"/>
      <c r="S27" s="37" t="s">
        <v>63</v>
      </c>
      <c r="T27" s="39">
        <f>SUM(T10:T16) + T18 +T19</f>
        <v>506725553.487288</v>
      </c>
      <c r="U27" s="39">
        <f t="shared" ref="U27" si="13">SUM(U10:U16) + U18 +U19</f>
        <v>395155506.91472495</v>
      </c>
      <c r="V27" s="40">
        <f t="shared" si="4"/>
        <v>-0.22017844927049246</v>
      </c>
      <c r="W27" s="38"/>
    </row>
    <row r="28" spans="1:23" x14ac:dyDescent="0.35">
      <c r="A28" s="37" t="s">
        <v>56</v>
      </c>
      <c r="B28" s="39">
        <f>SUM(B20:B25)</f>
        <v>1233597446.0359635</v>
      </c>
      <c r="C28" s="39">
        <f t="shared" ref="C28" si="14">SUM(C20:C25)</f>
        <v>1451587882.1395938</v>
      </c>
      <c r="D28" s="40">
        <f t="shared" si="1"/>
        <v>0.17671116035795939</v>
      </c>
      <c r="E28" s="38"/>
      <c r="G28" s="37" t="s">
        <v>56</v>
      </c>
      <c r="H28" s="39">
        <f>SUM(H20:H25)</f>
        <v>1126528992.4375989</v>
      </c>
      <c r="I28" s="39">
        <f t="shared" ref="I28" si="15">SUM(I20:I25)</f>
        <v>1334784607.3166943</v>
      </c>
      <c r="J28" s="40">
        <f t="shared" si="2"/>
        <v>0.1848648514837323</v>
      </c>
      <c r="K28" s="38"/>
      <c r="M28" s="37" t="s">
        <v>56</v>
      </c>
      <c r="N28" s="39">
        <f>SUM(N20:N25)</f>
        <v>32833121.100000001</v>
      </c>
      <c r="O28" s="39">
        <f t="shared" ref="O28" si="16">SUM(O20:O25)</f>
        <v>33413793.370000001</v>
      </c>
      <c r="P28" s="40">
        <f t="shared" si="3"/>
        <v>1.7685564166484299E-2</v>
      </c>
      <c r="Q28" s="38"/>
      <c r="S28" s="37" t="s">
        <v>56</v>
      </c>
      <c r="T28" s="39">
        <f>SUM(T20:T25)</f>
        <v>74235332.498364776</v>
      </c>
      <c r="U28" s="39">
        <f t="shared" ref="U28" si="17">SUM(U20:U25)</f>
        <v>83389481.452899426</v>
      </c>
      <c r="V28" s="40">
        <f t="shared" si="4"/>
        <v>0.12331256083127658</v>
      </c>
      <c r="W28" s="38"/>
    </row>
    <row r="29" spans="1:23" x14ac:dyDescent="0.35">
      <c r="H29" s="130"/>
    </row>
    <row r="31" spans="1:23" x14ac:dyDescent="0.35">
      <c r="A31" s="132" t="s">
        <v>8</v>
      </c>
      <c r="B31" s="132" t="s">
        <v>67</v>
      </c>
      <c r="C31" s="132"/>
      <c r="D31" s="76" t="s">
        <v>3</v>
      </c>
      <c r="E31" s="135" t="s">
        <v>30</v>
      </c>
      <c r="G31" s="132" t="s">
        <v>8</v>
      </c>
      <c r="H31" s="132" t="s">
        <v>67</v>
      </c>
      <c r="I31" s="132"/>
      <c r="J31" s="76" t="s">
        <v>3</v>
      </c>
      <c r="K31" s="135" t="s">
        <v>30</v>
      </c>
      <c r="M31" s="132" t="s">
        <v>8</v>
      </c>
      <c r="N31" s="132" t="s">
        <v>67</v>
      </c>
      <c r="O31" s="132"/>
      <c r="P31" s="76" t="s">
        <v>3</v>
      </c>
      <c r="Q31" s="135" t="s">
        <v>30</v>
      </c>
      <c r="S31" s="132" t="s">
        <v>8</v>
      </c>
      <c r="T31" s="132" t="s">
        <v>67</v>
      </c>
      <c r="U31" s="132"/>
      <c r="V31" s="76" t="s">
        <v>3</v>
      </c>
      <c r="W31" s="135" t="s">
        <v>30</v>
      </c>
    </row>
    <row r="32" spans="1:23" x14ac:dyDescent="0.35">
      <c r="A32" s="132"/>
      <c r="B32" s="75">
        <v>2021</v>
      </c>
      <c r="C32" s="75">
        <v>2022</v>
      </c>
      <c r="D32" s="75" t="s">
        <v>211</v>
      </c>
      <c r="E32" s="136"/>
      <c r="G32" s="132"/>
      <c r="H32" s="75">
        <v>2021</v>
      </c>
      <c r="I32" s="75">
        <v>2022</v>
      </c>
      <c r="J32" s="75" t="s">
        <v>211</v>
      </c>
      <c r="K32" s="136"/>
      <c r="M32" s="132"/>
      <c r="N32" s="75">
        <v>2021</v>
      </c>
      <c r="O32" s="75">
        <v>2022</v>
      </c>
      <c r="P32" s="75" t="s">
        <v>211</v>
      </c>
      <c r="Q32" s="136"/>
      <c r="S32" s="132"/>
      <c r="T32" s="75">
        <v>2021</v>
      </c>
      <c r="U32" s="75">
        <v>2022</v>
      </c>
      <c r="V32" s="75" t="s">
        <v>211</v>
      </c>
      <c r="W32" s="136"/>
    </row>
    <row r="33" spans="1:23" x14ac:dyDescent="0.35">
      <c r="A33" s="6" t="s">
        <v>33</v>
      </c>
      <c r="B33" s="23">
        <f>B10/($B$8/12)</f>
        <v>916.00938780019533</v>
      </c>
      <c r="C33" s="23">
        <f>C10/($C$8/12)</f>
        <v>863.92522195903189</v>
      </c>
      <c r="D33" s="7">
        <f t="shared" ref="D33:D55" si="18">IFERROR((C33-B33)/B33, "")</f>
        <v>-5.6859860318947193E-2</v>
      </c>
      <c r="E33" s="6"/>
      <c r="G33" s="6" t="s">
        <v>33</v>
      </c>
      <c r="H33" s="23">
        <f>H10/($H$8/12)</f>
        <v>789.52051432477526</v>
      </c>
      <c r="I33" s="23">
        <f>I10/($I$8/12)</f>
        <v>765.47970250828303</v>
      </c>
      <c r="J33" s="7">
        <f t="shared" ref="J33:J55" si="19">IFERROR((I33-H33)/H33, "")</f>
        <v>-3.0449888736650187E-2</v>
      </c>
      <c r="K33" s="6"/>
      <c r="M33" s="6" t="s">
        <v>33</v>
      </c>
      <c r="N33" s="23">
        <f>N10/($N$8/12)</f>
        <v>3395.6748748501641</v>
      </c>
      <c r="O33" s="23">
        <f>O10/($O$8/12)</f>
        <v>3201.925200538943</v>
      </c>
      <c r="P33" s="7">
        <f t="shared" ref="P33:P55" si="20">IFERROR((O33-N33)/N33, "")</f>
        <v>-5.7057781281186513E-2</v>
      </c>
      <c r="Q33" s="6"/>
      <c r="S33" s="6" t="s">
        <v>33</v>
      </c>
      <c r="T33" s="23">
        <f>T10/($T$8/12)</f>
        <v>246.05819105505128</v>
      </c>
      <c r="U33" s="23">
        <f>U10/($U$8/12)</f>
        <v>163.66219635721029</v>
      </c>
      <c r="V33" s="7">
        <f t="shared" ref="V33:V55" si="21">IFERROR((U33-T33)/T33, "")</f>
        <v>-0.33486385616565922</v>
      </c>
      <c r="W33" s="6"/>
    </row>
    <row r="34" spans="1:23" x14ac:dyDescent="0.35">
      <c r="A34" s="6" t="s">
        <v>34</v>
      </c>
      <c r="B34" s="23">
        <f t="shared" ref="B34:B51" si="22">B11/($B$8/12)</f>
        <v>731.11486488741309</v>
      </c>
      <c r="C34" s="23">
        <f t="shared" ref="C34:C51" si="23">C11/($C$8/12)</f>
        <v>731.97727004522619</v>
      </c>
      <c r="D34" s="7">
        <f t="shared" si="18"/>
        <v>1.1795754664978737E-3</v>
      </c>
      <c r="E34" s="6"/>
      <c r="G34" s="6" t="s">
        <v>34</v>
      </c>
      <c r="H34" s="23">
        <f t="shared" ref="H34:H51" si="24">H11/($H$8/12)</f>
        <v>722.38527898973746</v>
      </c>
      <c r="I34" s="23">
        <f t="shared" ref="I34:I51" si="25">I11/($I$8/12)</f>
        <v>733.23763977474778</v>
      </c>
      <c r="J34" s="7">
        <f t="shared" si="19"/>
        <v>1.5022953956353384E-2</v>
      </c>
      <c r="K34" s="6"/>
      <c r="M34" s="6" t="s">
        <v>34</v>
      </c>
      <c r="N34" s="23">
        <f t="shared" ref="N34:N51" si="26">N11/($N$8/12)</f>
        <v>1249.7098039378584</v>
      </c>
      <c r="O34" s="23">
        <f t="shared" ref="O34:O51" si="27">O11/($O$8/12)</f>
        <v>1295.1580689273958</v>
      </c>
      <c r="P34" s="7">
        <f t="shared" si="20"/>
        <v>3.6367054852517823E-2</v>
      </c>
      <c r="Q34" s="6"/>
      <c r="S34" s="6" t="s">
        <v>34</v>
      </c>
      <c r="T34" s="23">
        <f t="shared" ref="T34:T48" si="28">T11/($T$8/12)</f>
        <v>439.52364477585405</v>
      </c>
      <c r="U34" s="23">
        <f t="shared" ref="U34:U48" si="29">U11/($U$8/12)</f>
        <v>345.16433282830963</v>
      </c>
      <c r="V34" s="7">
        <f t="shared" si="21"/>
        <v>-0.21468540559556309</v>
      </c>
      <c r="W34" s="6"/>
    </row>
    <row r="35" spans="1:23" x14ac:dyDescent="0.35">
      <c r="A35" s="6" t="s">
        <v>35</v>
      </c>
      <c r="B35" s="23">
        <f t="shared" si="22"/>
        <v>263.3526996356328</v>
      </c>
      <c r="C35" s="23">
        <f t="shared" si="23"/>
        <v>261.24518401723935</v>
      </c>
      <c r="D35" s="7">
        <f t="shared" si="18"/>
        <v>-8.0026353301460261E-3</v>
      </c>
      <c r="E35" s="6"/>
      <c r="G35" s="6" t="s">
        <v>35</v>
      </c>
      <c r="H35" s="23">
        <f t="shared" si="24"/>
        <v>262.17850976300053</v>
      </c>
      <c r="I35" s="23">
        <f t="shared" si="25"/>
        <v>259.37697372972195</v>
      </c>
      <c r="J35" s="7">
        <f t="shared" si="19"/>
        <v>-1.068560514670353E-2</v>
      </c>
      <c r="K35" s="6"/>
      <c r="M35" s="6" t="s">
        <v>35</v>
      </c>
      <c r="N35" s="23">
        <f t="shared" si="26"/>
        <v>541.88785565933608</v>
      </c>
      <c r="O35" s="23">
        <f t="shared" si="27"/>
        <v>566.03847283818402</v>
      </c>
      <c r="P35" s="7">
        <f t="shared" si="20"/>
        <v>4.4567555678956747E-2</v>
      </c>
      <c r="Q35" s="6"/>
      <c r="S35" s="6" t="s">
        <v>35</v>
      </c>
      <c r="T35" s="23">
        <f t="shared" si="28"/>
        <v>76.70446301910809</v>
      </c>
      <c r="U35" s="23">
        <f t="shared" si="29"/>
        <v>74.177569883310653</v>
      </c>
      <c r="V35" s="7">
        <f t="shared" si="21"/>
        <v>-3.2943234804576553E-2</v>
      </c>
      <c r="W35" s="6"/>
    </row>
    <row r="36" spans="1:23" x14ac:dyDescent="0.35">
      <c r="A36" s="6" t="s">
        <v>36</v>
      </c>
      <c r="B36" s="23">
        <f t="shared" si="22"/>
        <v>388.28443215253441</v>
      </c>
      <c r="C36" s="23">
        <f t="shared" si="23"/>
        <v>376.032595410775</v>
      </c>
      <c r="D36" s="7">
        <f t="shared" si="18"/>
        <v>-3.1553767617822928E-2</v>
      </c>
      <c r="E36" s="6"/>
      <c r="G36" s="6" t="s">
        <v>36</v>
      </c>
      <c r="H36" s="23">
        <f t="shared" si="24"/>
        <v>445.76066967508325</v>
      </c>
      <c r="I36" s="23">
        <f t="shared" si="25"/>
        <v>430.32329349474088</v>
      </c>
      <c r="J36" s="7">
        <f t="shared" si="19"/>
        <v>-3.4631534880802145E-2</v>
      </c>
      <c r="K36" s="6"/>
      <c r="M36" s="6" t="s">
        <v>36</v>
      </c>
      <c r="N36" s="23">
        <f t="shared" si="26"/>
        <v>26.194552985437756</v>
      </c>
      <c r="O36" s="23">
        <f t="shared" si="27"/>
        <v>24.121425058854303</v>
      </c>
      <c r="P36" s="7">
        <f t="shared" si="20"/>
        <v>-7.9143474131280631E-2</v>
      </c>
      <c r="Q36" s="6"/>
      <c r="S36" s="6" t="s">
        <v>36</v>
      </c>
      <c r="T36" s="23">
        <f t="shared" si="28"/>
        <v>152.75272987172596</v>
      </c>
      <c r="U36" s="23">
        <f t="shared" si="29"/>
        <v>136.66442989254557</v>
      </c>
      <c r="V36" s="7">
        <f t="shared" si="21"/>
        <v>-0.10532250384455016</v>
      </c>
      <c r="W36" s="6"/>
    </row>
    <row r="37" spans="1:23" x14ac:dyDescent="0.35">
      <c r="A37" s="6" t="s">
        <v>37</v>
      </c>
      <c r="B37" s="23">
        <f t="shared" si="22"/>
        <v>407.89555431917086</v>
      </c>
      <c r="C37" s="23">
        <f t="shared" si="23"/>
        <v>446.80728106982696</v>
      </c>
      <c r="D37" s="7">
        <f t="shared" si="18"/>
        <v>9.5396300201419662E-2</v>
      </c>
      <c r="E37" s="6"/>
      <c r="G37" s="6" t="s">
        <v>37</v>
      </c>
      <c r="H37" s="23">
        <f t="shared" si="24"/>
        <v>377.63941355112365</v>
      </c>
      <c r="I37" s="23">
        <f t="shared" si="25"/>
        <v>424.07209762145061</v>
      </c>
      <c r="J37" s="7">
        <f t="shared" si="19"/>
        <v>0.12295507938034927</v>
      </c>
      <c r="K37" s="6"/>
      <c r="M37" s="6" t="s">
        <v>37</v>
      </c>
      <c r="N37" s="23">
        <f t="shared" si="26"/>
        <v>858.59932553199053</v>
      </c>
      <c r="O37" s="23">
        <f t="shared" si="27"/>
        <v>949.57514037676617</v>
      </c>
      <c r="P37" s="7">
        <f t="shared" si="20"/>
        <v>0.10595840474065918</v>
      </c>
      <c r="Q37" s="6"/>
      <c r="S37" s="6" t="s">
        <v>37</v>
      </c>
      <c r="T37" s="23">
        <f t="shared" si="28"/>
        <v>348.21958312793925</v>
      </c>
      <c r="U37" s="23">
        <f t="shared" si="29"/>
        <v>309.8931078178104</v>
      </c>
      <c r="V37" s="7">
        <f t="shared" si="21"/>
        <v>-0.11006410083503926</v>
      </c>
      <c r="W37" s="6"/>
    </row>
    <row r="38" spans="1:23" x14ac:dyDescent="0.35">
      <c r="A38" s="6" t="s">
        <v>38</v>
      </c>
      <c r="B38" s="23">
        <f t="shared" si="22"/>
        <v>305.27778187701705</v>
      </c>
      <c r="C38" s="23">
        <f t="shared" si="23"/>
        <v>300.1936141290542</v>
      </c>
      <c r="D38" s="7">
        <f t="shared" si="18"/>
        <v>-1.665423443757541E-2</v>
      </c>
      <c r="E38" s="6"/>
      <c r="G38" s="6" t="s">
        <v>38</v>
      </c>
      <c r="H38" s="23">
        <f t="shared" si="24"/>
        <v>220.68880439707561</v>
      </c>
      <c r="I38" s="23">
        <f t="shared" si="25"/>
        <v>228.01389383633327</v>
      </c>
      <c r="J38" s="7">
        <f t="shared" si="19"/>
        <v>3.3191939479077254E-2</v>
      </c>
      <c r="K38" s="6"/>
      <c r="M38" s="6" t="s">
        <v>38</v>
      </c>
      <c r="N38" s="23">
        <f t="shared" si="26"/>
        <v>1452.674361789245</v>
      </c>
      <c r="O38" s="23">
        <f t="shared" si="27"/>
        <v>1419.3338102349733</v>
      </c>
      <c r="P38" s="7">
        <f t="shared" si="20"/>
        <v>-2.2951153012163394E-2</v>
      </c>
      <c r="Q38" s="6"/>
      <c r="S38" s="6" t="s">
        <v>38</v>
      </c>
      <c r="T38" s="23">
        <f t="shared" si="28"/>
        <v>217.99393817593406</v>
      </c>
      <c r="U38" s="23">
        <f t="shared" si="29"/>
        <v>183.84742100479809</v>
      </c>
      <c r="V38" s="7">
        <f t="shared" si="21"/>
        <v>-0.15663975547603393</v>
      </c>
      <c r="W38" s="6"/>
    </row>
    <row r="39" spans="1:23" x14ac:dyDescent="0.35">
      <c r="A39" s="6" t="s">
        <v>39</v>
      </c>
      <c r="B39" s="23">
        <f t="shared" si="22"/>
        <v>206.43701092869466</v>
      </c>
      <c r="C39" s="23">
        <f t="shared" si="23"/>
        <v>139.55545986826985</v>
      </c>
      <c r="D39" s="7">
        <f t="shared" si="18"/>
        <v>-0.3239804275383853</v>
      </c>
      <c r="E39" s="6"/>
      <c r="G39" s="6" t="s">
        <v>39</v>
      </c>
      <c r="H39" s="23">
        <f t="shared" si="24"/>
        <v>31.251669064433692</v>
      </c>
      <c r="I39" s="23">
        <f t="shared" si="25"/>
        <v>33.843117500701105</v>
      </c>
      <c r="J39" s="7">
        <f t="shared" si="19"/>
        <v>8.2921921095620452E-2</v>
      </c>
      <c r="K39" s="6"/>
      <c r="M39" s="6" t="s">
        <v>39</v>
      </c>
      <c r="N39" s="23">
        <f t="shared" si="26"/>
        <v>256.65363308370615</v>
      </c>
      <c r="O39" s="23">
        <f t="shared" si="27"/>
        <v>244.27936882523358</v>
      </c>
      <c r="P39" s="7">
        <f t="shared" si="20"/>
        <v>-4.8213867498368049E-2</v>
      </c>
      <c r="Q39" s="6"/>
      <c r="S39" s="6" t="s">
        <v>39</v>
      </c>
      <c r="T39" s="23">
        <f t="shared" si="28"/>
        <v>1668.1844657966399</v>
      </c>
      <c r="U39" s="23">
        <f t="shared" si="29"/>
        <v>993.00428980747517</v>
      </c>
      <c r="V39" s="7">
        <f t="shared" si="21"/>
        <v>-0.4047395176208724</v>
      </c>
      <c r="W39" s="6"/>
    </row>
    <row r="40" spans="1:23" x14ac:dyDescent="0.35">
      <c r="A40" s="12" t="s">
        <v>60</v>
      </c>
      <c r="B40" s="23">
        <f t="shared" si="22"/>
        <v>755.83814205290901</v>
      </c>
      <c r="C40" s="23">
        <f t="shared" si="23"/>
        <v>772.0715371386043</v>
      </c>
      <c r="D40" s="7">
        <f t="shared" si="18"/>
        <v>2.1477343074542733E-2</v>
      </c>
      <c r="E40" s="6"/>
      <c r="G40" s="12" t="s">
        <v>60</v>
      </c>
      <c r="H40" s="23">
        <f t="shared" si="24"/>
        <v>755.71205953099502</v>
      </c>
      <c r="I40" s="23">
        <f t="shared" si="25"/>
        <v>768.50774944358807</v>
      </c>
      <c r="J40" s="7">
        <f t="shared" si="19"/>
        <v>1.693196469636097E-2</v>
      </c>
      <c r="K40" s="6"/>
      <c r="M40" s="12" t="s">
        <v>60</v>
      </c>
      <c r="N40" s="23">
        <f t="shared" si="26"/>
        <v>1546.0095243238111</v>
      </c>
      <c r="O40" s="23">
        <f t="shared" si="27"/>
        <v>1735.1567481430666</v>
      </c>
      <c r="P40" s="7">
        <f t="shared" si="20"/>
        <v>0.12234544538267585</v>
      </c>
      <c r="Q40" s="6"/>
      <c r="S40" s="12" t="s">
        <v>60</v>
      </c>
      <c r="T40" s="23">
        <f t="shared" si="28"/>
        <v>198.94822081866343</v>
      </c>
      <c r="U40" s="23">
        <f t="shared" si="29"/>
        <v>160.54268432086704</v>
      </c>
      <c r="V40" s="7">
        <f t="shared" si="21"/>
        <v>-0.19304287487346833</v>
      </c>
      <c r="W40" s="6"/>
    </row>
    <row r="41" spans="1:23" x14ac:dyDescent="0.35">
      <c r="A41" s="12" t="s">
        <v>61</v>
      </c>
      <c r="B41" s="23">
        <f t="shared" si="22"/>
        <v>359.84137938368548</v>
      </c>
      <c r="C41" s="23">
        <f t="shared" si="23"/>
        <v>370.11347676712472</v>
      </c>
      <c r="D41" s="7">
        <f t="shared" si="18"/>
        <v>2.8546181656575104E-2</v>
      </c>
      <c r="E41" s="46" t="s">
        <v>64</v>
      </c>
      <c r="G41" s="12" t="s">
        <v>61</v>
      </c>
      <c r="H41" s="23">
        <f t="shared" si="24"/>
        <v>755.71205953099502</v>
      </c>
      <c r="I41" s="23">
        <f t="shared" si="25"/>
        <v>768.50774944358807</v>
      </c>
      <c r="J41" s="7">
        <f t="shared" si="19"/>
        <v>1.693196469636097E-2</v>
      </c>
      <c r="K41" s="46" t="s">
        <v>65</v>
      </c>
      <c r="M41" s="12" t="s">
        <v>61</v>
      </c>
      <c r="N41" s="23">
        <f t="shared" si="26"/>
        <v>1546.0095243238111</v>
      </c>
      <c r="O41" s="23">
        <f t="shared" si="27"/>
        <v>1735.1567481430666</v>
      </c>
      <c r="P41" s="7">
        <f t="shared" si="20"/>
        <v>0.12234544538267585</v>
      </c>
      <c r="Q41" s="46" t="s">
        <v>65</v>
      </c>
      <c r="S41" s="12" t="s">
        <v>61</v>
      </c>
      <c r="T41" s="23">
        <f t="shared" si="28"/>
        <v>198.94822081866343</v>
      </c>
      <c r="U41" s="23">
        <f t="shared" si="29"/>
        <v>160.54268432086704</v>
      </c>
      <c r="V41" s="7">
        <f t="shared" si="21"/>
        <v>-0.19304287487346833</v>
      </c>
      <c r="W41" s="46" t="s">
        <v>65</v>
      </c>
    </row>
    <row r="42" spans="1:23" x14ac:dyDescent="0.35">
      <c r="A42" s="12" t="s">
        <v>40</v>
      </c>
      <c r="B42" s="23">
        <f t="shared" si="22"/>
        <v>318.01035591865326</v>
      </c>
      <c r="C42" s="23">
        <f t="shared" si="23"/>
        <v>315.71844622495308</v>
      </c>
      <c r="D42" s="7">
        <f t="shared" si="18"/>
        <v>-7.2070284852184027E-3</v>
      </c>
      <c r="E42" s="6"/>
      <c r="G42" s="12" t="s">
        <v>40</v>
      </c>
      <c r="H42" s="23">
        <f t="shared" si="24"/>
        <v>248.1359265918463</v>
      </c>
      <c r="I42" s="23">
        <f t="shared" si="25"/>
        <v>256.47015156960248</v>
      </c>
      <c r="J42" s="7">
        <f t="shared" si="19"/>
        <v>3.3587336957719045E-2</v>
      </c>
      <c r="K42" s="6"/>
      <c r="M42" s="12" t="s">
        <v>40</v>
      </c>
      <c r="N42" s="23">
        <f t="shared" si="26"/>
        <v>342.0070640525048</v>
      </c>
      <c r="O42" s="23">
        <f t="shared" si="27"/>
        <v>430.92274244764803</v>
      </c>
      <c r="P42" s="7">
        <f t="shared" si="20"/>
        <v>0.25998199376809633</v>
      </c>
      <c r="Q42" s="6"/>
      <c r="S42" s="12" t="s">
        <v>40</v>
      </c>
      <c r="T42" s="23">
        <f t="shared" si="28"/>
        <v>898.2415260438529</v>
      </c>
      <c r="U42" s="23">
        <f t="shared" si="29"/>
        <v>756.3399768984217</v>
      </c>
      <c r="V42" s="7">
        <f t="shared" si="21"/>
        <v>-0.15797705297639897</v>
      </c>
      <c r="W42" s="6"/>
    </row>
    <row r="43" spans="1:23" x14ac:dyDescent="0.35">
      <c r="A43" s="12" t="s">
        <v>48</v>
      </c>
      <c r="B43" s="23">
        <f t="shared" si="22"/>
        <v>716.88614265276397</v>
      </c>
      <c r="C43" s="23">
        <f t="shared" si="23"/>
        <v>781.71973495639554</v>
      </c>
      <c r="D43" s="7">
        <f t="shared" si="18"/>
        <v>9.043778146376423E-2</v>
      </c>
      <c r="E43" s="6"/>
      <c r="G43" s="12" t="s">
        <v>48</v>
      </c>
      <c r="H43" s="23">
        <f t="shared" si="24"/>
        <v>774.84594747361939</v>
      </c>
      <c r="I43" s="23">
        <f t="shared" si="25"/>
        <v>848.15449348945026</v>
      </c>
      <c r="J43" s="7">
        <f t="shared" si="19"/>
        <v>9.4610478708513537E-2</v>
      </c>
      <c r="K43" s="6"/>
      <c r="M43" s="12" t="s">
        <v>48</v>
      </c>
      <c r="N43" s="23">
        <f t="shared" si="26"/>
        <v>403.26981936647718</v>
      </c>
      <c r="O43" s="23">
        <f t="shared" si="27"/>
        <v>399.13699670810735</v>
      </c>
      <c r="P43" s="7">
        <f t="shared" si="20"/>
        <v>-1.0248281572031235E-2</v>
      </c>
      <c r="Q43" s="6"/>
      <c r="S43" s="12" t="s">
        <v>48</v>
      </c>
      <c r="T43" s="23">
        <f t="shared" si="28"/>
        <v>442.99280962514155</v>
      </c>
      <c r="U43" s="23">
        <f t="shared" si="29"/>
        <v>456.74774236842603</v>
      </c>
      <c r="V43" s="7">
        <f t="shared" si="21"/>
        <v>3.1050013554224154E-2</v>
      </c>
      <c r="W43" s="6"/>
    </row>
    <row r="44" spans="1:23" x14ac:dyDescent="0.35">
      <c r="A44" s="12" t="s">
        <v>49</v>
      </c>
      <c r="B44" s="23">
        <f t="shared" si="22"/>
        <v>190.15857208954586</v>
      </c>
      <c r="C44" s="23">
        <f t="shared" si="23"/>
        <v>225.38459987480377</v>
      </c>
      <c r="D44" s="7">
        <f t="shared" si="18"/>
        <v>0.18524554217135131</v>
      </c>
      <c r="E44" s="6"/>
      <c r="G44" s="12" t="s">
        <v>49</v>
      </c>
      <c r="H44" s="23">
        <f t="shared" si="24"/>
        <v>215.16816495091211</v>
      </c>
      <c r="I44" s="23">
        <f t="shared" si="25"/>
        <v>253.41295383944288</v>
      </c>
      <c r="J44" s="7">
        <f t="shared" si="19"/>
        <v>0.17774371453721244</v>
      </c>
      <c r="K44" s="6"/>
      <c r="M44" s="12" t="s">
        <v>49</v>
      </c>
      <c r="N44" s="23">
        <f t="shared" si="26"/>
        <v>0</v>
      </c>
      <c r="O44" s="23">
        <f t="shared" si="27"/>
        <v>0</v>
      </c>
      <c r="P44" s="7" t="str">
        <f t="shared" si="20"/>
        <v/>
      </c>
      <c r="Q44" s="6"/>
      <c r="S44" s="12" t="s">
        <v>49</v>
      </c>
      <c r="T44" s="23">
        <f t="shared" si="28"/>
        <v>110.69371442455997</v>
      </c>
      <c r="U44" s="23">
        <f t="shared" si="29"/>
        <v>130.97147467752646</v>
      </c>
      <c r="V44" s="7">
        <f t="shared" si="21"/>
        <v>0.18318800085786438</v>
      </c>
      <c r="W44" s="6"/>
    </row>
    <row r="45" spans="1:23" x14ac:dyDescent="0.35">
      <c r="A45" s="12" t="s">
        <v>50</v>
      </c>
      <c r="B45" s="23">
        <f t="shared" si="22"/>
        <v>83.151428978999419</v>
      </c>
      <c r="C45" s="23">
        <f t="shared" si="23"/>
        <v>78.821173782079427</v>
      </c>
      <c r="D45" s="7">
        <f t="shared" si="18"/>
        <v>-5.2076738188271354E-2</v>
      </c>
      <c r="E45" s="6"/>
      <c r="G45" s="12" t="s">
        <v>50</v>
      </c>
      <c r="H45" s="23">
        <f t="shared" si="24"/>
        <v>92.490979033379048</v>
      </c>
      <c r="I45" s="23">
        <f t="shared" si="25"/>
        <v>86.602724342038371</v>
      </c>
      <c r="J45" s="7">
        <f t="shared" si="19"/>
        <v>-6.3663016143614026E-2</v>
      </c>
      <c r="K45" s="6"/>
      <c r="M45" s="12" t="s">
        <v>50</v>
      </c>
      <c r="N45" s="23">
        <f t="shared" si="26"/>
        <v>0</v>
      </c>
      <c r="O45" s="23">
        <f t="shared" si="27"/>
        <v>0</v>
      </c>
      <c r="P45" s="7" t="str">
        <f t="shared" si="20"/>
        <v/>
      </c>
      <c r="Q45" s="6"/>
      <c r="S45" s="12" t="s">
        <v>50</v>
      </c>
      <c r="T45" s="23">
        <f t="shared" si="28"/>
        <v>62.04784429215897</v>
      </c>
      <c r="U45" s="23">
        <f t="shared" si="29"/>
        <v>63.450798283646968</v>
      </c>
      <c r="V45" s="7">
        <f t="shared" si="21"/>
        <v>2.2610841802690795E-2</v>
      </c>
      <c r="W45" s="6"/>
    </row>
    <row r="46" spans="1:23" x14ac:dyDescent="0.35">
      <c r="A46" s="12" t="s">
        <v>51</v>
      </c>
      <c r="B46" s="23">
        <f t="shared" si="22"/>
        <v>18.712063402815502</v>
      </c>
      <c r="C46" s="23">
        <f t="shared" si="23"/>
        <v>16.732391327384832</v>
      </c>
      <c r="D46" s="7">
        <f t="shared" si="18"/>
        <v>-0.10579656731671826</v>
      </c>
      <c r="E46" s="6"/>
      <c r="G46" s="12" t="s">
        <v>51</v>
      </c>
      <c r="H46" s="23">
        <f t="shared" si="24"/>
        <v>21.148287263762985</v>
      </c>
      <c r="I46" s="23">
        <f t="shared" si="25"/>
        <v>18.667655247466019</v>
      </c>
      <c r="J46" s="7">
        <f t="shared" si="19"/>
        <v>-0.1172970645498778</v>
      </c>
      <c r="K46" s="6"/>
      <c r="M46" s="12" t="s">
        <v>51</v>
      </c>
      <c r="N46" s="23">
        <f t="shared" si="26"/>
        <v>0</v>
      </c>
      <c r="O46" s="23">
        <f t="shared" si="27"/>
        <v>0</v>
      </c>
      <c r="P46" s="7" t="str">
        <f t="shared" si="20"/>
        <v/>
      </c>
      <c r="Q46" s="6"/>
      <c r="S46" s="12" t="s">
        <v>51</v>
      </c>
      <c r="T46" s="23">
        <f t="shared" si="28"/>
        <v>11.104314273879451</v>
      </c>
      <c r="U46" s="23">
        <f t="shared" si="29"/>
        <v>10.994436504750878</v>
      </c>
      <c r="V46" s="7">
        <f t="shared" si="21"/>
        <v>-9.8950521768856516E-3</v>
      </c>
      <c r="W46" s="6"/>
    </row>
    <row r="47" spans="1:23" x14ac:dyDescent="0.35">
      <c r="A47" s="12" t="s">
        <v>52</v>
      </c>
      <c r="B47" s="23">
        <f t="shared" si="22"/>
        <v>-7.3401695688173936</v>
      </c>
      <c r="C47" s="23">
        <f t="shared" si="23"/>
        <v>-4.3943458016366161</v>
      </c>
      <c r="D47" s="7">
        <f t="shared" si="18"/>
        <v>-0.40132911638652946</v>
      </c>
      <c r="E47" s="6"/>
      <c r="G47" s="12" t="s">
        <v>52</v>
      </c>
      <c r="H47" s="23">
        <f t="shared" si="24"/>
        <v>-7.0935924451850552</v>
      </c>
      <c r="I47" s="23">
        <f t="shared" si="25"/>
        <v>-4.5475272909707067</v>
      </c>
      <c r="J47" s="7">
        <f t="shared" si="19"/>
        <v>-0.35892464557116627</v>
      </c>
      <c r="K47" s="6"/>
      <c r="M47" s="12" t="s">
        <v>52</v>
      </c>
      <c r="N47" s="23">
        <f t="shared" si="26"/>
        <v>-13.60080952776558</v>
      </c>
      <c r="O47" s="23">
        <f t="shared" si="27"/>
        <v>-3.3542513189779837</v>
      </c>
      <c r="P47" s="7">
        <f t="shared" si="20"/>
        <v>-0.75337855352430338</v>
      </c>
      <c r="Q47" s="6"/>
      <c r="S47" s="12" t="s">
        <v>52</v>
      </c>
      <c r="T47" s="23">
        <f t="shared" si="28"/>
        <v>-5.0266652722936875</v>
      </c>
      <c r="U47" s="23">
        <f t="shared" si="29"/>
        <v>-3.7504468111805007</v>
      </c>
      <c r="V47" s="7">
        <f t="shared" si="21"/>
        <v>-0.25388968470758017</v>
      </c>
      <c r="W47" s="6"/>
    </row>
    <row r="48" spans="1:23" x14ac:dyDescent="0.35">
      <c r="A48" s="12" t="s">
        <v>53</v>
      </c>
      <c r="B48" s="23">
        <f t="shared" si="22"/>
        <v>6.7852906695549802</v>
      </c>
      <c r="C48" s="23">
        <f t="shared" si="23"/>
        <v>4.763398772661537</v>
      </c>
      <c r="D48" s="7">
        <f t="shared" si="18"/>
        <v>-0.29798161867486378</v>
      </c>
      <c r="E48" s="6"/>
      <c r="G48" s="12" t="s">
        <v>53</v>
      </c>
      <c r="H48" s="23">
        <f t="shared" si="24"/>
        <v>8.1025080991361591</v>
      </c>
      <c r="I48" s="23">
        <f t="shared" si="25"/>
        <v>5.5932560718024611</v>
      </c>
      <c r="J48" s="7">
        <f t="shared" si="19"/>
        <v>-0.30968830843886713</v>
      </c>
      <c r="K48" s="6"/>
      <c r="M48" s="12" t="s">
        <v>53</v>
      </c>
      <c r="N48" s="23">
        <f t="shared" si="26"/>
        <v>0</v>
      </c>
      <c r="O48" s="23">
        <f t="shared" si="27"/>
        <v>0</v>
      </c>
      <c r="P48" s="7" t="str">
        <f t="shared" si="20"/>
        <v/>
      </c>
      <c r="Q48" s="6"/>
      <c r="S48" s="12" t="s">
        <v>53</v>
      </c>
      <c r="T48" s="23">
        <f t="shared" si="28"/>
        <v>0.31912949690495934</v>
      </c>
      <c r="U48" s="23">
        <f t="shared" si="29"/>
        <v>0.69368812823604176</v>
      </c>
      <c r="V48" s="7">
        <f t="shared" si="21"/>
        <v>1.1736885338512928</v>
      </c>
      <c r="W48" s="6"/>
    </row>
    <row r="49" spans="1:23" x14ac:dyDescent="0.35">
      <c r="A49" s="37" t="s">
        <v>62</v>
      </c>
      <c r="B49" s="53">
        <f>B26/($B$8/12)</f>
        <v>4292.22022957222</v>
      </c>
      <c r="C49" s="53">
        <f t="shared" si="23"/>
        <v>4207.5266098629809</v>
      </c>
      <c r="D49" s="40">
        <f t="shared" si="18"/>
        <v>-1.9731890532019604E-2</v>
      </c>
      <c r="E49" s="38"/>
      <c r="G49" s="37" t="s">
        <v>62</v>
      </c>
      <c r="H49" s="53">
        <f t="shared" si="24"/>
        <v>3853.2728458880711</v>
      </c>
      <c r="I49" s="53">
        <f t="shared" si="25"/>
        <v>3899.3246194791691</v>
      </c>
      <c r="J49" s="40">
        <f t="shared" si="19"/>
        <v>1.1951339921397231E-2</v>
      </c>
      <c r="K49" s="38"/>
      <c r="M49" s="37" t="s">
        <v>62</v>
      </c>
      <c r="N49" s="53">
        <f t="shared" si="26"/>
        <v>9669.4109962140537</v>
      </c>
      <c r="O49" s="53">
        <f t="shared" si="27"/>
        <v>9866.5109773910644</v>
      </c>
      <c r="P49" s="40">
        <f t="shared" si="20"/>
        <v>2.0383866323831195E-2</v>
      </c>
      <c r="Q49" s="38"/>
      <c r="S49" s="37" t="s">
        <v>62</v>
      </c>
      <c r="T49" s="53">
        <f>T26/($T$8/12)</f>
        <v>4246.6267626847684</v>
      </c>
      <c r="U49" s="53">
        <f>U26/($U$8/12)</f>
        <v>3123.2960088107488</v>
      </c>
      <c r="V49" s="40">
        <f t="shared" si="21"/>
        <v>-0.2645230712867821</v>
      </c>
      <c r="W49" s="38"/>
    </row>
    <row r="50" spans="1:23" x14ac:dyDescent="0.35">
      <c r="A50" s="37" t="s">
        <v>63</v>
      </c>
      <c r="B50" s="53">
        <f>B27/($B$8/12)</f>
        <v>3896.2234669029972</v>
      </c>
      <c r="C50" s="53">
        <f t="shared" si="23"/>
        <v>3805.5685494915015</v>
      </c>
      <c r="D50" s="40">
        <f t="shared" si="18"/>
        <v>-2.3267381396774672E-2</v>
      </c>
      <c r="E50" s="38"/>
      <c r="G50" s="37" t="s">
        <v>63</v>
      </c>
      <c r="H50" s="53">
        <f t="shared" si="24"/>
        <v>3853.2728458880711</v>
      </c>
      <c r="I50" s="53">
        <f t="shared" si="25"/>
        <v>3899.3246194791691</v>
      </c>
      <c r="J50" s="40">
        <f t="shared" si="19"/>
        <v>1.1951339921397231E-2</v>
      </c>
      <c r="K50" s="38"/>
      <c r="M50" s="37" t="s">
        <v>63</v>
      </c>
      <c r="N50" s="53">
        <f t="shared" si="26"/>
        <v>9669.4109962140537</v>
      </c>
      <c r="O50" s="53">
        <f t="shared" si="27"/>
        <v>9866.5109773910644</v>
      </c>
      <c r="P50" s="40">
        <f t="shared" si="20"/>
        <v>2.0383866323831195E-2</v>
      </c>
      <c r="Q50" s="38"/>
      <c r="S50" s="37" t="s">
        <v>63</v>
      </c>
      <c r="T50" s="53">
        <f>T27/($T$8/12)</f>
        <v>4246.6267626847684</v>
      </c>
      <c r="U50" s="53">
        <f>U27/($U$8/12)</f>
        <v>3123.2960088107488</v>
      </c>
      <c r="V50" s="40">
        <f t="shared" si="21"/>
        <v>-0.2645230712867821</v>
      </c>
      <c r="W50" s="38"/>
    </row>
    <row r="51" spans="1:23" x14ac:dyDescent="0.35">
      <c r="A51" s="37" t="s">
        <v>56</v>
      </c>
      <c r="B51" s="53">
        <f t="shared" si="22"/>
        <v>1008.3533282248621</v>
      </c>
      <c r="C51" s="53">
        <f t="shared" si="23"/>
        <v>1103.0269529116886</v>
      </c>
      <c r="D51" s="40">
        <f t="shared" si="18"/>
        <v>9.3889336244362825E-2</v>
      </c>
      <c r="E51" s="38"/>
      <c r="G51" s="37" t="s">
        <v>56</v>
      </c>
      <c r="H51" s="53">
        <f t="shared" si="24"/>
        <v>1104.6622943756247</v>
      </c>
      <c r="I51" s="53">
        <f t="shared" si="25"/>
        <v>1207.8835556992294</v>
      </c>
      <c r="J51" s="40">
        <f t="shared" si="19"/>
        <v>9.3441463376775488E-2</v>
      </c>
      <c r="K51" s="38"/>
      <c r="M51" s="37" t="s">
        <v>56</v>
      </c>
      <c r="N51" s="53">
        <f t="shared" si="26"/>
        <v>389.66900983871159</v>
      </c>
      <c r="O51" s="53">
        <f t="shared" si="27"/>
        <v>395.78274538912939</v>
      </c>
      <c r="P51" s="40">
        <f t="shared" si="20"/>
        <v>1.5689560616966549E-2</v>
      </c>
      <c r="Q51" s="38"/>
      <c r="S51" s="37" t="s">
        <v>56</v>
      </c>
      <c r="T51" s="53">
        <f>T28/($T$8/12)</f>
        <v>622.13114684035122</v>
      </c>
      <c r="U51" s="53">
        <f>U28/($U$8/12)</f>
        <v>659.10769315140578</v>
      </c>
      <c r="V51" s="40">
        <f t="shared" si="21"/>
        <v>5.9435291897615497E-2</v>
      </c>
      <c r="W51" s="38"/>
    </row>
    <row r="52" spans="1:23" x14ac:dyDescent="0.35">
      <c r="A52" s="37" t="s">
        <v>201</v>
      </c>
      <c r="B52" s="53">
        <f>B49+B51</f>
        <v>5300.5735577970818</v>
      </c>
      <c r="C52" s="53">
        <f>C49+C51</f>
        <v>5310.5535627746694</v>
      </c>
      <c r="D52" s="40">
        <f t="shared" si="18"/>
        <v>1.882816051652976E-3</v>
      </c>
      <c r="E52" s="38"/>
      <c r="G52" s="37" t="s">
        <v>201</v>
      </c>
      <c r="H52" s="53">
        <f>H49+H51</f>
        <v>4957.9351402636958</v>
      </c>
      <c r="I52" s="53">
        <f>I49+I51</f>
        <v>5107.208175178399</v>
      </c>
      <c r="J52" s="40">
        <f t="shared" si="19"/>
        <v>3.0107903934129297E-2</v>
      </c>
      <c r="K52" s="38"/>
      <c r="M52" s="37" t="s">
        <v>201</v>
      </c>
      <c r="N52" s="53">
        <f>N49+N51</f>
        <v>10059.080006052765</v>
      </c>
      <c r="O52" s="53">
        <f>O49+O51</f>
        <v>10262.293722780194</v>
      </c>
      <c r="P52" s="40">
        <f t="shared" si="20"/>
        <v>2.0202018137359536E-2</v>
      </c>
      <c r="Q52" s="38"/>
      <c r="S52" s="37" t="s">
        <v>201</v>
      </c>
      <c r="T52" s="53">
        <f>T49+T51</f>
        <v>4868.7579095251194</v>
      </c>
      <c r="U52" s="53">
        <f>U49+U51</f>
        <v>3782.4037019621546</v>
      </c>
      <c r="V52" s="40">
        <f t="shared" si="21"/>
        <v>-0.22312758772368776</v>
      </c>
      <c r="W52" s="38"/>
    </row>
    <row r="53" spans="1:23" x14ac:dyDescent="0.35">
      <c r="A53" s="37" t="s">
        <v>202</v>
      </c>
      <c r="B53" s="53">
        <f>B49/B9+B51</f>
        <v>5061.6724350110453</v>
      </c>
      <c r="C53" s="53">
        <f>C49/C9+C51</f>
        <v>5048.7277713650274</v>
      </c>
      <c r="D53" s="40">
        <f t="shared" si="18"/>
        <v>-2.5573886521144855E-3</v>
      </c>
      <c r="E53" s="38"/>
      <c r="G53" s="37" t="s">
        <v>202</v>
      </c>
      <c r="H53" s="53">
        <f>H49/H9+H51</f>
        <v>4900.8902173381412</v>
      </c>
      <c r="I53" s="53">
        <f>I49/I9+I51</f>
        <v>4991.6637279034167</v>
      </c>
      <c r="J53" s="40">
        <f t="shared" si="19"/>
        <v>1.8521841245115266E-2</v>
      </c>
      <c r="K53" s="38"/>
      <c r="M53" s="37" t="s">
        <v>202</v>
      </c>
      <c r="N53" s="53">
        <f>N49/N9+N51</f>
        <v>9419.4053070541904</v>
      </c>
      <c r="O53" s="53">
        <f>O49/O9+O51</f>
        <v>9676.1897696698306</v>
      </c>
      <c r="P53" s="40">
        <f t="shared" si="20"/>
        <v>2.7261218117807757E-2</v>
      </c>
      <c r="Q53" s="38"/>
      <c r="S53" s="37" t="s">
        <v>202</v>
      </c>
      <c r="T53" s="53">
        <f>T49/T9+T51</f>
        <v>3600.4777387395143</v>
      </c>
      <c r="U53" s="53">
        <f>U49/U9+U51</f>
        <v>2920.1326048395986</v>
      </c>
      <c r="V53" s="40">
        <f t="shared" si="21"/>
        <v>-0.18895968348303041</v>
      </c>
      <c r="W53" s="38"/>
    </row>
    <row r="54" spans="1:23" x14ac:dyDescent="0.35">
      <c r="A54" s="37" t="s">
        <v>203</v>
      </c>
      <c r="B54" s="53">
        <f>B50+B51</f>
        <v>4904.5767951278594</v>
      </c>
      <c r="C54" s="53">
        <f>C50+C51</f>
        <v>4908.59550240319</v>
      </c>
      <c r="D54" s="40">
        <f t="shared" si="18"/>
        <v>8.1937900928021523E-4</v>
      </c>
      <c r="E54" s="38"/>
      <c r="G54" s="37" t="s">
        <v>203</v>
      </c>
      <c r="H54" s="53">
        <f>H50+H51</f>
        <v>4957.9351402636958</v>
      </c>
      <c r="I54" s="53">
        <f>I50+I51</f>
        <v>5107.208175178399</v>
      </c>
      <c r="J54" s="40">
        <f t="shared" si="19"/>
        <v>3.0107903934129297E-2</v>
      </c>
      <c r="K54" s="38"/>
      <c r="M54" s="37" t="s">
        <v>203</v>
      </c>
      <c r="N54" s="53">
        <f>N50+N51</f>
        <v>10059.080006052765</v>
      </c>
      <c r="O54" s="53">
        <f>O50+O51</f>
        <v>10262.293722780194</v>
      </c>
      <c r="P54" s="40">
        <f t="shared" si="20"/>
        <v>2.0202018137359536E-2</v>
      </c>
      <c r="Q54" s="38"/>
      <c r="S54" s="37" t="s">
        <v>203</v>
      </c>
      <c r="T54" s="53">
        <f>T50+T51</f>
        <v>4868.7579095251194</v>
      </c>
      <c r="U54" s="53">
        <f>U50+U51</f>
        <v>3782.4037019621546</v>
      </c>
      <c r="V54" s="40">
        <f t="shared" si="21"/>
        <v>-0.22312758772368776</v>
      </c>
      <c r="W54" s="38"/>
    </row>
    <row r="55" spans="1:23" x14ac:dyDescent="0.35">
      <c r="A55" s="37" t="s">
        <v>204</v>
      </c>
      <c r="B55" s="53">
        <f>B50/B9+B51</f>
        <v>4687.7164964751037</v>
      </c>
      <c r="C55" s="53">
        <f>C50/C9+C51</f>
        <v>4671.7827405067892</v>
      </c>
      <c r="D55" s="40">
        <f t="shared" si="18"/>
        <v>-3.3990442852710376E-3</v>
      </c>
      <c r="E55" s="38"/>
      <c r="G55" s="37" t="s">
        <v>204</v>
      </c>
      <c r="H55" s="53">
        <f>H50/H9+H51</f>
        <v>4900.8902173381412</v>
      </c>
      <c r="I55" s="53">
        <f>I50/I9+I51</f>
        <v>4991.6637279034167</v>
      </c>
      <c r="J55" s="40">
        <f t="shared" si="19"/>
        <v>1.8521841245115266E-2</v>
      </c>
      <c r="K55" s="38"/>
      <c r="M55" s="37" t="s">
        <v>204</v>
      </c>
      <c r="N55" s="53">
        <f>N50/N9+N51</f>
        <v>9419.4053070541904</v>
      </c>
      <c r="O55" s="53">
        <f>O50/O9+O51</f>
        <v>9676.1897696698306</v>
      </c>
      <c r="P55" s="40">
        <f t="shared" si="20"/>
        <v>2.7261218117807757E-2</v>
      </c>
      <c r="Q55" s="38"/>
      <c r="S55" s="37" t="s">
        <v>204</v>
      </c>
      <c r="T55" s="53">
        <f>T50/T9+T51</f>
        <v>3600.4777387395143</v>
      </c>
      <c r="U55" s="53">
        <f>U50/U9+U51</f>
        <v>2920.1326048395986</v>
      </c>
      <c r="V55" s="40">
        <f t="shared" si="21"/>
        <v>-0.18895968348303041</v>
      </c>
      <c r="W55" s="38"/>
    </row>
    <row r="58" spans="1:23" x14ac:dyDescent="0.35">
      <c r="A58" s="84" t="s">
        <v>137</v>
      </c>
      <c r="H58" s="49"/>
      <c r="I58" s="49"/>
    </row>
    <row r="59" spans="1:23" x14ac:dyDescent="0.35">
      <c r="H59" s="49"/>
      <c r="I59" s="49"/>
    </row>
    <row r="60" spans="1:23" x14ac:dyDescent="0.35">
      <c r="H60" s="49"/>
      <c r="I60" s="49"/>
    </row>
    <row r="61" spans="1:23" x14ac:dyDescent="0.35">
      <c r="H61" s="49"/>
      <c r="I61" s="49"/>
    </row>
    <row r="62" spans="1:23" x14ac:dyDescent="0.35">
      <c r="H62" s="49"/>
      <c r="I62" s="49"/>
    </row>
    <row r="63" spans="1:23" x14ac:dyDescent="0.35">
      <c r="H63" s="49"/>
      <c r="I63" s="49"/>
    </row>
    <row r="64" spans="1:23" x14ac:dyDescent="0.35">
      <c r="H64" s="49"/>
      <c r="I64" s="49"/>
    </row>
    <row r="65" spans="8:9" x14ac:dyDescent="0.35">
      <c r="H65" s="49"/>
      <c r="I65" s="49"/>
    </row>
  </sheetData>
  <mergeCells count="24">
    <mergeCell ref="S6:S7"/>
    <mergeCell ref="T6:U6"/>
    <mergeCell ref="W6:W7"/>
    <mergeCell ref="S31:S32"/>
    <mergeCell ref="T31:U31"/>
    <mergeCell ref="W31:W32"/>
    <mergeCell ref="A31:A32"/>
    <mergeCell ref="B31:C31"/>
    <mergeCell ref="E31:E32"/>
    <mergeCell ref="G31:G32"/>
    <mergeCell ref="Q31:Q32"/>
    <mergeCell ref="H31:I31"/>
    <mergeCell ref="K31:K32"/>
    <mergeCell ref="M31:M32"/>
    <mergeCell ref="N31:O31"/>
    <mergeCell ref="Q6:Q7"/>
    <mergeCell ref="A6:A7"/>
    <mergeCell ref="B6:C6"/>
    <mergeCell ref="E6:E7"/>
    <mergeCell ref="G6:G7"/>
    <mergeCell ref="H6:I6"/>
    <mergeCell ref="K6:K7"/>
    <mergeCell ref="M6:M7"/>
    <mergeCell ref="N6:O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DEE33-8BBF-42C0-8BE2-53D7A04F205F}">
  <sheetPr>
    <tabColor theme="5" tint="0.79998168889431442"/>
  </sheetPr>
  <dimension ref="A1:P182"/>
  <sheetViews>
    <sheetView zoomScaleNormal="100" workbookViewId="0"/>
  </sheetViews>
  <sheetFormatPr defaultRowHeight="14.5" x14ac:dyDescent="0.35"/>
  <cols>
    <col min="1" max="1" width="22" style="77" bestFit="1" customWidth="1"/>
    <col min="2" max="2" width="38.81640625" style="77" bestFit="1" customWidth="1"/>
    <col min="3" max="4" width="23" style="77" bestFit="1" customWidth="1"/>
    <col min="5" max="5" width="28" style="77" bestFit="1" customWidth="1"/>
    <col min="6" max="6" width="12.54296875" style="77" bestFit="1" customWidth="1"/>
    <col min="7" max="7" width="12.7265625" style="77" bestFit="1" customWidth="1"/>
    <col min="8" max="8" width="7.453125" style="77" customWidth="1"/>
    <col min="9" max="9" width="11.453125" style="77" customWidth="1"/>
    <col min="10" max="10" width="52.26953125" style="77" customWidth="1"/>
    <col min="11" max="11" width="17" style="77" bestFit="1" customWidth="1"/>
    <col min="12" max="13" width="23" style="77" bestFit="1" customWidth="1"/>
    <col min="14" max="14" width="28" style="77" bestFit="1" customWidth="1"/>
  </cols>
  <sheetData>
    <row r="1" spans="1:14" ht="18.5" x14ac:dyDescent="0.45">
      <c r="A1" s="27" t="s">
        <v>364</v>
      </c>
      <c r="B1" s="27"/>
      <c r="C1" s="27"/>
      <c r="D1" s="27"/>
    </row>
    <row r="2" spans="1:14" ht="15.5" x14ac:dyDescent="0.35">
      <c r="A2" s="102" t="s">
        <v>144</v>
      </c>
      <c r="B2" s="29"/>
      <c r="C2" s="29"/>
      <c r="D2" s="29"/>
      <c r="G2" s="10"/>
      <c r="M2" s="10"/>
    </row>
    <row r="3" spans="1:14" ht="15.5" x14ac:dyDescent="0.35">
      <c r="A3" s="103" t="s">
        <v>145</v>
      </c>
      <c r="B3" s="5"/>
      <c r="C3" s="104" t="s">
        <v>146</v>
      </c>
      <c r="D3" s="5"/>
      <c r="G3" s="10"/>
      <c r="I3" s="22"/>
      <c r="M3" s="10"/>
    </row>
    <row r="4" spans="1:14" ht="15.5" x14ac:dyDescent="0.35">
      <c r="A4" s="30"/>
      <c r="B4" s="5"/>
      <c r="C4" s="28"/>
      <c r="D4" s="5"/>
      <c r="G4" s="10"/>
      <c r="M4" s="10"/>
    </row>
    <row r="5" spans="1:14" x14ac:dyDescent="0.35">
      <c r="A5" s="105" t="s">
        <v>147</v>
      </c>
      <c r="B5" s="105" t="s">
        <v>13</v>
      </c>
      <c r="C5" s="106" t="s">
        <v>148</v>
      </c>
      <c r="D5" s="106" t="s">
        <v>219</v>
      </c>
      <c r="E5" s="107" t="s">
        <v>149</v>
      </c>
      <c r="F5" s="107" t="s">
        <v>150</v>
      </c>
      <c r="G5" s="107" t="s">
        <v>151</v>
      </c>
      <c r="I5" s="108" t="s">
        <v>152</v>
      </c>
      <c r="J5" s="105" t="s">
        <v>147</v>
      </c>
      <c r="K5" s="108" t="s">
        <v>153</v>
      </c>
      <c r="L5" s="106" t="s">
        <v>148</v>
      </c>
      <c r="M5" s="106" t="s">
        <v>219</v>
      </c>
      <c r="N5" s="107" t="s">
        <v>149</v>
      </c>
    </row>
    <row r="6" spans="1:14" x14ac:dyDescent="0.35">
      <c r="A6" s="6" t="s">
        <v>12</v>
      </c>
      <c r="B6" s="6" t="s">
        <v>222</v>
      </c>
      <c r="C6" s="109">
        <v>144058</v>
      </c>
      <c r="D6" s="109">
        <v>188031</v>
      </c>
      <c r="E6" s="110">
        <v>2.1947399959855E-2</v>
      </c>
      <c r="F6" s="110">
        <v>-1E-3</v>
      </c>
      <c r="G6" s="110">
        <v>4.5999999999999999E-2</v>
      </c>
      <c r="I6" s="6" t="s">
        <v>155</v>
      </c>
      <c r="J6" s="6" t="s">
        <v>339</v>
      </c>
      <c r="K6" s="6">
        <v>40</v>
      </c>
      <c r="L6" s="112">
        <v>33492030</v>
      </c>
      <c r="M6" s="112">
        <v>34655824</v>
      </c>
      <c r="N6" s="65">
        <v>1.9262034287500299E-2</v>
      </c>
    </row>
    <row r="7" spans="1:14" x14ac:dyDescent="0.35">
      <c r="A7" s="6" t="s">
        <v>12</v>
      </c>
      <c r="B7" s="6" t="s">
        <v>213</v>
      </c>
      <c r="C7" s="109">
        <v>153701</v>
      </c>
      <c r="D7" s="109">
        <v>177645</v>
      </c>
      <c r="E7" s="110">
        <v>-9.3390715412095704E-2</v>
      </c>
      <c r="F7" s="110">
        <v>-0.106</v>
      </c>
      <c r="G7" s="110">
        <v>-8.1000000000000003E-2</v>
      </c>
      <c r="I7" s="6" t="s">
        <v>155</v>
      </c>
      <c r="J7" s="6" t="s">
        <v>12</v>
      </c>
      <c r="K7" s="6">
        <v>13</v>
      </c>
      <c r="L7" s="112">
        <v>4285611</v>
      </c>
      <c r="M7" s="112">
        <v>4469885</v>
      </c>
      <c r="N7" s="65">
        <v>4.9272305766116499E-2</v>
      </c>
    </row>
    <row r="8" spans="1:14" x14ac:dyDescent="0.35">
      <c r="A8" s="6" t="s">
        <v>12</v>
      </c>
      <c r="B8" s="6" t="s">
        <v>223</v>
      </c>
      <c r="C8" s="109">
        <v>192496</v>
      </c>
      <c r="D8" s="109">
        <v>190515</v>
      </c>
      <c r="E8" s="110">
        <v>4.2158525275244399E-2</v>
      </c>
      <c r="F8" s="110">
        <v>2.7E-2</v>
      </c>
      <c r="G8" s="110">
        <v>5.7000000000000002E-2</v>
      </c>
      <c r="I8" s="6" t="s">
        <v>155</v>
      </c>
      <c r="J8" s="6" t="s">
        <v>44</v>
      </c>
      <c r="K8" s="6">
        <v>17</v>
      </c>
      <c r="L8" s="112">
        <v>13248647</v>
      </c>
      <c r="M8" s="112">
        <v>14273823</v>
      </c>
      <c r="N8" s="65">
        <v>1.3004697764558501E-2</v>
      </c>
    </row>
    <row r="9" spans="1:14" x14ac:dyDescent="0.35">
      <c r="A9" s="6" t="s">
        <v>12</v>
      </c>
      <c r="B9" s="6" t="s">
        <v>230</v>
      </c>
      <c r="C9" s="109">
        <v>180731</v>
      </c>
      <c r="D9" s="109">
        <v>159314</v>
      </c>
      <c r="E9" s="110">
        <v>8.7918837728168803E-4</v>
      </c>
      <c r="F9" s="110">
        <v>-1.6E-2</v>
      </c>
      <c r="G9" s="110">
        <v>1.7999999999999999E-2</v>
      </c>
      <c r="I9" s="6" t="s">
        <v>155</v>
      </c>
      <c r="J9" s="6" t="s">
        <v>4</v>
      </c>
      <c r="K9" s="6">
        <v>10</v>
      </c>
      <c r="L9" s="112">
        <v>15957772</v>
      </c>
      <c r="M9" s="112">
        <v>15912116</v>
      </c>
      <c r="N9" s="65">
        <v>1.57491109860343E-2</v>
      </c>
    </row>
    <row r="10" spans="1:14" x14ac:dyDescent="0.35">
      <c r="A10" s="6" t="s">
        <v>12</v>
      </c>
      <c r="B10" s="6" t="s">
        <v>224</v>
      </c>
      <c r="C10" s="109">
        <v>801765</v>
      </c>
      <c r="D10" s="109">
        <v>810675</v>
      </c>
      <c r="E10" s="110">
        <v>7.7760830731053596E-2</v>
      </c>
      <c r="F10" s="110">
        <v>7.0000000000000007E-2</v>
      </c>
      <c r="G10" s="110">
        <v>8.5999999999999993E-2</v>
      </c>
      <c r="I10" s="6" t="s">
        <v>158</v>
      </c>
      <c r="J10" s="6" t="s">
        <v>339</v>
      </c>
      <c r="K10" s="6">
        <v>36</v>
      </c>
      <c r="L10" s="112">
        <v>33377970</v>
      </c>
      <c r="M10" s="112">
        <v>34543221</v>
      </c>
      <c r="N10" s="65">
        <v>1.90733235188426E-2</v>
      </c>
    </row>
    <row r="11" spans="1:14" x14ac:dyDescent="0.35">
      <c r="A11" s="6" t="s">
        <v>12</v>
      </c>
      <c r="B11" s="6" t="s">
        <v>225</v>
      </c>
      <c r="C11" s="109">
        <v>74847</v>
      </c>
      <c r="D11" s="109">
        <v>72805</v>
      </c>
      <c r="E11" s="110">
        <v>0.115801511762352</v>
      </c>
      <c r="F11" s="110">
        <v>9.1999999999999998E-2</v>
      </c>
      <c r="G11" s="110">
        <v>0.14000000000000001</v>
      </c>
      <c r="I11" s="6" t="s">
        <v>158</v>
      </c>
      <c r="J11" s="6" t="s">
        <v>12</v>
      </c>
      <c r="K11" s="12">
        <v>10</v>
      </c>
      <c r="L11" s="99">
        <v>4198827</v>
      </c>
      <c r="M11" s="99">
        <v>4375852</v>
      </c>
      <c r="N11" s="129">
        <v>4.90105380716373E-2</v>
      </c>
    </row>
    <row r="12" spans="1:14" x14ac:dyDescent="0.35">
      <c r="A12" s="6" t="s">
        <v>12</v>
      </c>
      <c r="B12" s="6" t="s">
        <v>231</v>
      </c>
      <c r="C12" s="109">
        <v>191408</v>
      </c>
      <c r="D12" s="109">
        <v>203339</v>
      </c>
      <c r="E12" s="110">
        <v>-2.5081435324558199E-3</v>
      </c>
      <c r="F12" s="110">
        <v>-1.6E-2</v>
      </c>
      <c r="G12" s="110">
        <v>1.0999999999999999E-2</v>
      </c>
      <c r="I12" s="6" t="s">
        <v>158</v>
      </c>
      <c r="J12" s="6" t="s">
        <v>44</v>
      </c>
      <c r="K12" s="12">
        <v>17</v>
      </c>
      <c r="L12" s="99">
        <v>13248647</v>
      </c>
      <c r="M12" s="99">
        <v>14273823</v>
      </c>
      <c r="N12" s="129">
        <v>1.3004697764558501E-2</v>
      </c>
    </row>
    <row r="13" spans="1:14" x14ac:dyDescent="0.35">
      <c r="A13" s="6" t="s">
        <v>12</v>
      </c>
      <c r="B13" s="6" t="s">
        <v>232</v>
      </c>
      <c r="C13" s="109">
        <v>698492</v>
      </c>
      <c r="D13" s="109">
        <v>701615</v>
      </c>
      <c r="E13" s="110">
        <v>3.6863582974642997E-2</v>
      </c>
      <c r="F13" s="110">
        <v>2.5000000000000001E-2</v>
      </c>
      <c r="G13" s="110">
        <v>4.9000000000000002E-2</v>
      </c>
      <c r="I13" s="6" t="s">
        <v>158</v>
      </c>
      <c r="J13" s="6" t="s">
        <v>4</v>
      </c>
      <c r="K13" s="12">
        <v>9</v>
      </c>
      <c r="L13" s="99">
        <v>15930496</v>
      </c>
      <c r="M13" s="99">
        <v>15893546</v>
      </c>
      <c r="N13" s="129">
        <v>1.5964890028050301E-2</v>
      </c>
    </row>
    <row r="14" spans="1:14" x14ac:dyDescent="0.35">
      <c r="A14" s="6" t="s">
        <v>12</v>
      </c>
      <c r="B14" s="6" t="s">
        <v>233</v>
      </c>
      <c r="C14" s="109">
        <v>655384</v>
      </c>
      <c r="D14" s="109">
        <v>713739</v>
      </c>
      <c r="E14" s="110">
        <v>6.76365658101441E-2</v>
      </c>
      <c r="F14" s="110">
        <v>0.06</v>
      </c>
      <c r="G14" s="110">
        <v>7.4999999999999997E-2</v>
      </c>
    </row>
    <row r="15" spans="1:14" x14ac:dyDescent="0.35">
      <c r="A15" s="6" t="s">
        <v>12</v>
      </c>
      <c r="B15" s="6" t="s">
        <v>229</v>
      </c>
      <c r="C15" s="109">
        <v>1105945</v>
      </c>
      <c r="D15" s="109">
        <v>1158174</v>
      </c>
      <c r="E15" s="110">
        <v>6.3913572734315499E-2</v>
      </c>
      <c r="F15" s="110">
        <v>5.7000000000000002E-2</v>
      </c>
      <c r="G15" s="110">
        <v>7.0999999999999994E-2</v>
      </c>
    </row>
    <row r="16" spans="1:14" x14ac:dyDescent="0.35">
      <c r="A16" s="6" t="s">
        <v>44</v>
      </c>
      <c r="B16" s="6" t="s">
        <v>87</v>
      </c>
      <c r="C16" s="109">
        <v>271421</v>
      </c>
      <c r="D16" s="109">
        <v>287899</v>
      </c>
      <c r="E16" s="110">
        <v>0.11779933038662101</v>
      </c>
      <c r="F16" s="110">
        <v>7.9000000000000001E-2</v>
      </c>
      <c r="G16" s="110">
        <v>0.156</v>
      </c>
    </row>
    <row r="17" spans="1:16" x14ac:dyDescent="0.35">
      <c r="A17" s="6" t="s">
        <v>44</v>
      </c>
      <c r="B17" s="6" t="s">
        <v>91</v>
      </c>
      <c r="C17" s="109">
        <v>606999</v>
      </c>
      <c r="D17" s="109">
        <v>652681</v>
      </c>
      <c r="E17" s="110">
        <v>-2.2256548866140501E-2</v>
      </c>
      <c r="F17" s="110">
        <v>-4.1000000000000002E-2</v>
      </c>
      <c r="G17" s="110">
        <v>-3.0000000000000001E-3</v>
      </c>
    </row>
    <row r="18" spans="1:16" x14ac:dyDescent="0.35">
      <c r="A18" s="6" t="s">
        <v>44</v>
      </c>
      <c r="B18" s="6" t="s">
        <v>234</v>
      </c>
      <c r="C18" s="109">
        <v>259185</v>
      </c>
      <c r="D18" s="109">
        <v>278514</v>
      </c>
      <c r="E18" s="110">
        <v>4.7481893911213303E-2</v>
      </c>
      <c r="F18" s="110">
        <v>4.3999999999999997E-2</v>
      </c>
      <c r="G18" s="110">
        <v>5.0999999999999997E-2</v>
      </c>
    </row>
    <row r="19" spans="1:16" x14ac:dyDescent="0.35">
      <c r="A19" s="6" t="s">
        <v>44</v>
      </c>
      <c r="B19" s="6" t="s">
        <v>235</v>
      </c>
      <c r="C19" s="109">
        <v>333357</v>
      </c>
      <c r="D19" s="109">
        <v>350896</v>
      </c>
      <c r="E19" s="110">
        <v>2.3024496679660701E-2</v>
      </c>
      <c r="F19" s="110">
        <v>-2.4E-2</v>
      </c>
      <c r="G19" s="110">
        <v>7.3999999999999996E-2</v>
      </c>
      <c r="L19" s="78"/>
      <c r="M19" s="78"/>
      <c r="N19" s="125"/>
      <c r="O19" s="51"/>
      <c r="P19" s="51"/>
    </row>
    <row r="20" spans="1:16" x14ac:dyDescent="0.35">
      <c r="A20" s="6" t="s">
        <v>44</v>
      </c>
      <c r="B20" s="6" t="s">
        <v>236</v>
      </c>
      <c r="C20" s="109">
        <v>660035</v>
      </c>
      <c r="D20" s="109">
        <v>722684</v>
      </c>
      <c r="E20" s="110">
        <v>2.5633921616846501E-2</v>
      </c>
      <c r="F20" s="110">
        <v>0.01</v>
      </c>
      <c r="G20" s="110">
        <v>4.1000000000000002E-2</v>
      </c>
      <c r="L20" s="78"/>
      <c r="M20" s="78"/>
      <c r="N20" s="125"/>
      <c r="O20" s="51"/>
      <c r="P20" s="51"/>
    </row>
    <row r="21" spans="1:16" x14ac:dyDescent="0.35">
      <c r="A21" s="6" t="s">
        <v>44</v>
      </c>
      <c r="B21" s="6" t="s">
        <v>237</v>
      </c>
      <c r="C21" s="109">
        <v>4210821</v>
      </c>
      <c r="D21" s="109">
        <v>4458941</v>
      </c>
      <c r="E21" s="110">
        <v>7.0663569674904295E-2</v>
      </c>
      <c r="F21" s="110">
        <v>5.1999999999999998E-2</v>
      </c>
      <c r="G21" s="110">
        <v>0.09</v>
      </c>
      <c r="L21" s="78"/>
      <c r="M21" s="78"/>
      <c r="N21" s="125"/>
      <c r="O21" s="51"/>
      <c r="P21" s="51"/>
    </row>
    <row r="22" spans="1:16" x14ac:dyDescent="0.35">
      <c r="A22" s="6" t="s">
        <v>44</v>
      </c>
      <c r="B22" s="6" t="s">
        <v>238</v>
      </c>
      <c r="C22" s="109">
        <v>836250</v>
      </c>
      <c r="D22" s="109">
        <v>917509</v>
      </c>
      <c r="E22" s="110">
        <v>-4.0874263876160702E-3</v>
      </c>
      <c r="F22" s="110">
        <v>-1.6E-2</v>
      </c>
      <c r="G22" s="110">
        <v>8.0000000000000002E-3</v>
      </c>
      <c r="L22" s="78"/>
      <c r="M22" s="78"/>
      <c r="N22" s="125"/>
      <c r="O22" s="51"/>
      <c r="P22" s="51"/>
    </row>
    <row r="23" spans="1:16" x14ac:dyDescent="0.35">
      <c r="A23" s="6" t="s">
        <v>44</v>
      </c>
      <c r="B23" s="6" t="s">
        <v>239</v>
      </c>
      <c r="C23" s="109">
        <v>622952</v>
      </c>
      <c r="D23" s="109">
        <v>650114</v>
      </c>
      <c r="E23" s="110">
        <v>4.4784823569880196E-3</v>
      </c>
      <c r="F23" s="110">
        <v>-2.5000000000000001E-2</v>
      </c>
      <c r="G23" s="110">
        <v>3.5000000000000003E-2</v>
      </c>
      <c r="L23" s="78"/>
      <c r="M23" s="78"/>
      <c r="N23" s="125"/>
      <c r="O23" s="51"/>
      <c r="P23" s="51"/>
    </row>
    <row r="24" spans="1:16" x14ac:dyDescent="0.35">
      <c r="A24" s="6" t="s">
        <v>44</v>
      </c>
      <c r="B24" s="6" t="s">
        <v>240</v>
      </c>
      <c r="C24" s="109">
        <v>1011108</v>
      </c>
      <c r="D24" s="109">
        <v>1013095</v>
      </c>
      <c r="E24" s="110">
        <v>2.7261224288249401E-2</v>
      </c>
      <c r="F24" s="110">
        <v>2.5000000000000001E-2</v>
      </c>
      <c r="G24" s="110">
        <v>2.9000000000000001E-2</v>
      </c>
      <c r="L24" s="78"/>
      <c r="M24" s="78"/>
      <c r="N24" s="125"/>
      <c r="O24" s="51"/>
      <c r="P24" s="51"/>
    </row>
    <row r="25" spans="1:16" x14ac:dyDescent="0.35">
      <c r="A25" s="6" t="s">
        <v>44</v>
      </c>
      <c r="B25" s="6" t="s">
        <v>241</v>
      </c>
      <c r="C25" s="109">
        <v>731759</v>
      </c>
      <c r="D25" s="109">
        <v>796090</v>
      </c>
      <c r="E25" s="110">
        <v>-6.7274602534763001E-3</v>
      </c>
      <c r="F25" s="110">
        <v>-1.4E-2</v>
      </c>
      <c r="G25" s="110">
        <v>1E-3</v>
      </c>
      <c r="L25" s="78"/>
      <c r="M25" s="78"/>
      <c r="N25" s="125"/>
      <c r="O25" s="51"/>
      <c r="P25" s="51"/>
    </row>
    <row r="26" spans="1:16" x14ac:dyDescent="0.35">
      <c r="A26" s="6" t="s">
        <v>44</v>
      </c>
      <c r="B26" s="6" t="s">
        <v>242</v>
      </c>
      <c r="C26" s="109">
        <v>168102</v>
      </c>
      <c r="D26" s="109">
        <v>182010</v>
      </c>
      <c r="E26" s="110">
        <v>2.57508640356022E-2</v>
      </c>
      <c r="F26" s="110">
        <v>-2E-3</v>
      </c>
      <c r="G26" s="110">
        <v>5.3999999999999999E-2</v>
      </c>
      <c r="L26" s="78"/>
      <c r="M26" s="78"/>
      <c r="N26" s="125"/>
      <c r="O26" s="51"/>
      <c r="P26" s="51"/>
    </row>
    <row r="27" spans="1:16" x14ac:dyDescent="0.35">
      <c r="A27" s="6" t="s">
        <v>44</v>
      </c>
      <c r="B27" s="6" t="s">
        <v>243</v>
      </c>
      <c r="C27" s="109">
        <v>857080</v>
      </c>
      <c r="D27" s="109">
        <v>954224</v>
      </c>
      <c r="E27" s="110">
        <v>-4.8526147189699401E-2</v>
      </c>
      <c r="F27" s="110">
        <v>-6.3E-2</v>
      </c>
      <c r="G27" s="110">
        <v>-3.4000000000000002E-2</v>
      </c>
    </row>
    <row r="28" spans="1:16" x14ac:dyDescent="0.35">
      <c r="A28" s="6" t="s">
        <v>44</v>
      </c>
      <c r="B28" s="6" t="s">
        <v>244</v>
      </c>
      <c r="C28" s="109">
        <v>1390745</v>
      </c>
      <c r="D28" s="109">
        <v>1520562</v>
      </c>
      <c r="E28" s="110">
        <v>-2.9059251064752802E-2</v>
      </c>
      <c r="F28" s="110">
        <v>-0.04</v>
      </c>
      <c r="G28" s="110">
        <v>-1.7999999999999999E-2</v>
      </c>
    </row>
    <row r="29" spans="1:16" s="77" customFormat="1" x14ac:dyDescent="0.35">
      <c r="A29" s="6" t="s">
        <v>44</v>
      </c>
      <c r="B29" s="6" t="s">
        <v>245</v>
      </c>
      <c r="C29" s="109">
        <v>197623</v>
      </c>
      <c r="D29" s="109">
        <v>346219</v>
      </c>
      <c r="E29" s="110">
        <v>2.42743340365128E-3</v>
      </c>
      <c r="F29" s="110">
        <v>-2.4E-2</v>
      </c>
      <c r="G29" s="110">
        <v>0.03</v>
      </c>
    </row>
    <row r="30" spans="1:16" x14ac:dyDescent="0.35">
      <c r="A30" s="6" t="s">
        <v>44</v>
      </c>
      <c r="B30" s="6" t="s">
        <v>246</v>
      </c>
      <c r="C30" s="109">
        <v>376053</v>
      </c>
      <c r="D30" s="109">
        <v>379811</v>
      </c>
      <c r="E30" s="110">
        <v>-1.5925590712017799E-2</v>
      </c>
      <c r="F30" s="110">
        <v>-3.3000000000000002E-2</v>
      </c>
      <c r="G30" s="110">
        <v>2E-3</v>
      </c>
    </row>
    <row r="31" spans="1:16" x14ac:dyDescent="0.35">
      <c r="A31" s="6" t="s">
        <v>44</v>
      </c>
      <c r="B31" s="6" t="s">
        <v>247</v>
      </c>
      <c r="C31" s="109">
        <v>363426</v>
      </c>
      <c r="D31" s="109">
        <v>388637</v>
      </c>
      <c r="E31" s="110">
        <v>4.4583359145535802E-2</v>
      </c>
      <c r="F31" s="110">
        <v>0.02</v>
      </c>
      <c r="G31" s="110">
        <v>7.0000000000000007E-2</v>
      </c>
    </row>
    <row r="32" spans="1:16" x14ac:dyDescent="0.35">
      <c r="A32" s="6" t="s">
        <v>44</v>
      </c>
      <c r="B32" s="6" t="s">
        <v>160</v>
      </c>
      <c r="C32" s="109">
        <v>351731</v>
      </c>
      <c r="D32" s="109">
        <v>373937</v>
      </c>
      <c r="E32" s="110">
        <v>4.9334078966366901E-3</v>
      </c>
      <c r="F32" s="110">
        <v>-1.4999999999999999E-2</v>
      </c>
      <c r="G32" s="110">
        <v>2.5000000000000001E-2</v>
      </c>
    </row>
    <row r="33" spans="1:14" x14ac:dyDescent="0.35">
      <c r="A33" s="6" t="s">
        <v>25</v>
      </c>
      <c r="B33" s="6" t="s">
        <v>222</v>
      </c>
      <c r="C33" s="109">
        <v>435876</v>
      </c>
      <c r="D33" s="109">
        <v>457795</v>
      </c>
      <c r="E33" s="110">
        <v>-2.19959820616248E-2</v>
      </c>
      <c r="F33" s="110">
        <v>-4.7E-2</v>
      </c>
      <c r="G33" s="110">
        <v>4.0000000000000001E-3</v>
      </c>
    </row>
    <row r="34" spans="1:14" x14ac:dyDescent="0.35">
      <c r="A34" s="6" t="s">
        <v>25</v>
      </c>
      <c r="B34" s="6" t="s">
        <v>17</v>
      </c>
      <c r="C34" s="109">
        <v>659222</v>
      </c>
      <c r="D34" s="109">
        <v>699707</v>
      </c>
      <c r="E34" s="110">
        <v>3.9248520048277896E-3</v>
      </c>
      <c r="F34" s="110">
        <v>-2.4E-2</v>
      </c>
      <c r="G34" s="110">
        <v>3.2000000000000001E-2</v>
      </c>
    </row>
    <row r="35" spans="1:14" x14ac:dyDescent="0.35">
      <c r="A35" s="6" t="s">
        <v>25</v>
      </c>
      <c r="B35" s="6" t="s">
        <v>223</v>
      </c>
      <c r="C35" s="109">
        <v>133782</v>
      </c>
      <c r="D35" s="109">
        <v>103257</v>
      </c>
      <c r="E35" s="110">
        <v>-1.0729599268694301E-2</v>
      </c>
      <c r="F35" s="110">
        <v>-4.8000000000000001E-2</v>
      </c>
      <c r="G35" s="110">
        <v>2.8000000000000001E-2</v>
      </c>
    </row>
    <row r="36" spans="1:14" x14ac:dyDescent="0.35">
      <c r="A36" s="6" t="s">
        <v>25</v>
      </c>
      <c r="B36" s="6" t="s">
        <v>224</v>
      </c>
      <c r="C36" s="109">
        <v>4244416</v>
      </c>
      <c r="D36" s="109">
        <v>4209603</v>
      </c>
      <c r="E36" s="110">
        <v>3.20748255870791E-3</v>
      </c>
      <c r="F36" s="110">
        <v>-5.0000000000000001E-3</v>
      </c>
      <c r="G36" s="110">
        <v>1.2E-2</v>
      </c>
    </row>
    <row r="37" spans="1:14" x14ac:dyDescent="0.35">
      <c r="A37" s="6" t="s">
        <v>25</v>
      </c>
      <c r="B37" s="6" t="s">
        <v>225</v>
      </c>
      <c r="C37" s="109">
        <v>2048744</v>
      </c>
      <c r="D37" s="109">
        <v>2045707</v>
      </c>
      <c r="E37" s="110">
        <v>-8.2402609411457199E-4</v>
      </c>
      <c r="F37" s="110">
        <v>-0.01</v>
      </c>
      <c r="G37" s="110">
        <v>8.0000000000000002E-3</v>
      </c>
    </row>
    <row r="38" spans="1:14" x14ac:dyDescent="0.35">
      <c r="A38" s="6" t="s">
        <v>25</v>
      </c>
      <c r="B38" s="6" t="s">
        <v>226</v>
      </c>
      <c r="C38" s="109">
        <v>1699187</v>
      </c>
      <c r="D38" s="109">
        <v>1674243</v>
      </c>
      <c r="E38" s="110">
        <v>2.8167888662125599E-2</v>
      </c>
      <c r="F38" s="110">
        <v>1.7999999999999999E-2</v>
      </c>
      <c r="G38" s="110">
        <v>3.9E-2</v>
      </c>
    </row>
    <row r="39" spans="1:14" x14ac:dyDescent="0.35">
      <c r="A39" s="6" t="s">
        <v>25</v>
      </c>
      <c r="B39" s="6" t="s">
        <v>227</v>
      </c>
      <c r="C39" s="109">
        <v>3860309</v>
      </c>
      <c r="D39" s="109">
        <v>3779635</v>
      </c>
      <c r="E39" s="110">
        <v>9.6425117258406908E-3</v>
      </c>
      <c r="F39" s="110">
        <v>-1.2999999999999999E-2</v>
      </c>
      <c r="G39" s="110">
        <v>3.3000000000000002E-2</v>
      </c>
    </row>
    <row r="40" spans="1:14" x14ac:dyDescent="0.35">
      <c r="A40" s="6" t="s">
        <v>25</v>
      </c>
      <c r="B40" s="6" t="s">
        <v>228</v>
      </c>
      <c r="C40" s="109">
        <v>2209180</v>
      </c>
      <c r="D40" s="109">
        <v>2243682</v>
      </c>
      <c r="E40" s="110">
        <v>7.2870559780319505E-2</v>
      </c>
      <c r="F40" s="110">
        <v>0.06</v>
      </c>
      <c r="G40" s="110">
        <v>8.5999999999999993E-2</v>
      </c>
    </row>
    <row r="41" spans="1:14" x14ac:dyDescent="0.35">
      <c r="A41" s="6" t="s">
        <v>25</v>
      </c>
      <c r="B41" s="6" t="s">
        <v>229</v>
      </c>
      <c r="C41" s="109">
        <v>639780</v>
      </c>
      <c r="D41" s="109">
        <v>679917</v>
      </c>
      <c r="E41" s="110">
        <v>-8.7917025561485493E-3</v>
      </c>
      <c r="F41" s="110">
        <v>-0.04</v>
      </c>
      <c r="G41" s="110">
        <v>2.4E-2</v>
      </c>
    </row>
    <row r="42" spans="1:14" x14ac:dyDescent="0.35">
      <c r="N42" s="111"/>
    </row>
    <row r="44" spans="1:14" x14ac:dyDescent="0.35">
      <c r="B44" s="124"/>
      <c r="C44" s="124"/>
      <c r="D44" s="111"/>
      <c r="E44" s="111"/>
      <c r="F44" s="111"/>
      <c r="N44"/>
    </row>
    <row r="45" spans="1:14" x14ac:dyDescent="0.35">
      <c r="C45" s="124"/>
      <c r="D45" s="124"/>
      <c r="E45" s="111"/>
      <c r="F45" s="111"/>
      <c r="G45" s="111"/>
      <c r="N45"/>
    </row>
    <row r="46" spans="1:14" x14ac:dyDescent="0.35">
      <c r="C46" s="124"/>
      <c r="D46" s="124"/>
      <c r="E46" s="111"/>
      <c r="F46" s="111"/>
      <c r="G46" s="111"/>
      <c r="M46" s="111"/>
      <c r="N46"/>
    </row>
    <row r="47" spans="1:14" x14ac:dyDescent="0.35">
      <c r="C47" s="124"/>
      <c r="D47" s="124"/>
      <c r="E47" s="111"/>
      <c r="F47" s="111"/>
      <c r="G47" s="111"/>
      <c r="M47" s="111"/>
      <c r="N47"/>
    </row>
    <row r="48" spans="1:14" x14ac:dyDescent="0.35">
      <c r="B48" s="124"/>
      <c r="C48" s="124"/>
      <c r="D48" s="111"/>
      <c r="E48" s="111"/>
      <c r="F48" s="111"/>
      <c r="M48"/>
      <c r="N48"/>
    </row>
    <row r="49" spans="2:14" x14ac:dyDescent="0.35">
      <c r="B49" s="124"/>
      <c r="C49" s="124"/>
      <c r="D49" s="111"/>
      <c r="E49" s="111"/>
      <c r="F49" s="111"/>
      <c r="M49"/>
      <c r="N49"/>
    </row>
    <row r="50" spans="2:14" x14ac:dyDescent="0.35">
      <c r="B50" s="124"/>
      <c r="C50" s="124"/>
      <c r="D50" s="111"/>
      <c r="E50" s="111"/>
      <c r="F50" s="111"/>
      <c r="L50" s="111"/>
      <c r="M50"/>
      <c r="N50"/>
    </row>
    <row r="51" spans="2:14" x14ac:dyDescent="0.35">
      <c r="B51" s="124"/>
      <c r="C51" s="124"/>
      <c r="D51" s="111"/>
      <c r="E51" s="111"/>
      <c r="F51" s="111"/>
      <c r="M51"/>
      <c r="N51"/>
    </row>
    <row r="52" spans="2:14" x14ac:dyDescent="0.35">
      <c r="B52" s="124"/>
      <c r="C52" s="124"/>
      <c r="D52" s="111"/>
      <c r="E52" s="111"/>
      <c r="F52" s="111"/>
      <c r="M52"/>
      <c r="N52"/>
    </row>
    <row r="53" spans="2:14" x14ac:dyDescent="0.35">
      <c r="B53" s="124"/>
      <c r="C53" s="124"/>
      <c r="D53" s="111"/>
      <c r="E53" s="111"/>
      <c r="F53" s="111"/>
      <c r="N53"/>
    </row>
    <row r="54" spans="2:14" x14ac:dyDescent="0.35">
      <c r="B54" s="124"/>
      <c r="C54" s="124"/>
      <c r="D54" s="111"/>
      <c r="E54" s="111"/>
      <c r="F54" s="111"/>
      <c r="N54"/>
    </row>
    <row r="55" spans="2:14" x14ac:dyDescent="0.35">
      <c r="B55" s="124"/>
      <c r="C55" s="124"/>
      <c r="D55" s="111"/>
      <c r="E55" s="111"/>
      <c r="F55" s="111"/>
      <c r="M55" s="111"/>
      <c r="N55"/>
    </row>
    <row r="56" spans="2:14" x14ac:dyDescent="0.35">
      <c r="B56" s="124"/>
      <c r="C56" s="124"/>
      <c r="D56" s="111"/>
      <c r="E56" s="111"/>
      <c r="F56" s="111"/>
      <c r="N56"/>
    </row>
    <row r="57" spans="2:14" x14ac:dyDescent="0.35">
      <c r="B57" s="124"/>
      <c r="C57" s="124"/>
      <c r="D57" s="111"/>
      <c r="E57" s="111"/>
      <c r="F57" s="111"/>
      <c r="M57" s="111"/>
      <c r="N57"/>
    </row>
    <row r="58" spans="2:14" x14ac:dyDescent="0.35">
      <c r="B58" s="124"/>
      <c r="C58" s="124"/>
      <c r="D58" s="111"/>
      <c r="E58" s="111"/>
      <c r="F58" s="111"/>
      <c r="N58"/>
    </row>
    <row r="59" spans="2:14" x14ac:dyDescent="0.35">
      <c r="B59" s="124"/>
      <c r="C59" s="124"/>
      <c r="D59" s="111"/>
      <c r="E59" s="111"/>
      <c r="F59" s="111"/>
      <c r="M59" s="111"/>
      <c r="N59"/>
    </row>
    <row r="60" spans="2:14" x14ac:dyDescent="0.35">
      <c r="B60" s="124"/>
      <c r="C60" s="124"/>
      <c r="D60" s="111"/>
      <c r="E60" s="111"/>
      <c r="F60" s="111"/>
      <c r="N60"/>
    </row>
    <row r="61" spans="2:14" x14ac:dyDescent="0.35">
      <c r="B61" s="124"/>
      <c r="C61" s="124"/>
      <c r="D61" s="111"/>
      <c r="E61" s="111"/>
      <c r="F61" s="111"/>
      <c r="N61"/>
    </row>
    <row r="62" spans="2:14" x14ac:dyDescent="0.35">
      <c r="B62" s="124"/>
      <c r="C62" s="124"/>
      <c r="D62" s="111"/>
      <c r="E62" s="111"/>
      <c r="F62" s="111"/>
      <c r="M62" s="111"/>
      <c r="N62"/>
    </row>
    <row r="63" spans="2:14" x14ac:dyDescent="0.35">
      <c r="B63" s="124"/>
      <c r="C63" s="124"/>
      <c r="D63" s="111"/>
      <c r="E63" s="111"/>
      <c r="F63" s="111"/>
      <c r="N63"/>
    </row>
    <row r="64" spans="2:14" x14ac:dyDescent="0.35">
      <c r="B64" s="124"/>
      <c r="C64" s="124"/>
      <c r="D64" s="111"/>
      <c r="E64" s="111"/>
      <c r="F64" s="111"/>
      <c r="N64"/>
    </row>
    <row r="66" spans="14:14" x14ac:dyDescent="0.35">
      <c r="N66" s="111"/>
    </row>
    <row r="67" spans="14:14" x14ac:dyDescent="0.35">
      <c r="N67" s="111"/>
    </row>
    <row r="70" spans="14:14" x14ac:dyDescent="0.35">
      <c r="N70" s="111"/>
    </row>
    <row r="71" spans="14:14" x14ac:dyDescent="0.35">
      <c r="N71" s="111"/>
    </row>
    <row r="74" spans="14:14" x14ac:dyDescent="0.35">
      <c r="N74" s="111"/>
    </row>
    <row r="75" spans="14:14" x14ac:dyDescent="0.35">
      <c r="N75" s="111"/>
    </row>
    <row r="78" spans="14:14" x14ac:dyDescent="0.35">
      <c r="N78" s="111"/>
    </row>
    <row r="82" spans="14:14" x14ac:dyDescent="0.35">
      <c r="N82" s="111"/>
    </row>
    <row r="86" spans="14:14" x14ac:dyDescent="0.35">
      <c r="N86" s="111"/>
    </row>
    <row r="91" spans="14:14" x14ac:dyDescent="0.35">
      <c r="N91" s="111"/>
    </row>
    <row r="94" spans="14:14" x14ac:dyDescent="0.35">
      <c r="N94" s="111"/>
    </row>
    <row r="98" spans="14:14" x14ac:dyDescent="0.35">
      <c r="N98" s="111"/>
    </row>
    <row r="102" spans="14:14" x14ac:dyDescent="0.35">
      <c r="N102" s="111"/>
    </row>
    <row r="106" spans="14:14" x14ac:dyDescent="0.35">
      <c r="N106" s="111"/>
    </row>
    <row r="110" spans="14:14" x14ac:dyDescent="0.35">
      <c r="N110" s="111"/>
    </row>
    <row r="111" spans="14:14" x14ac:dyDescent="0.35">
      <c r="N111" s="111"/>
    </row>
    <row r="114" spans="14:14" x14ac:dyDescent="0.35">
      <c r="N114" s="111"/>
    </row>
    <row r="118" spans="14:14" x14ac:dyDescent="0.35">
      <c r="N118" s="111"/>
    </row>
    <row r="122" spans="14:14" x14ac:dyDescent="0.35">
      <c r="N122" s="111"/>
    </row>
    <row r="126" spans="14:14" x14ac:dyDescent="0.35">
      <c r="N126" s="111"/>
    </row>
    <row r="130" spans="14:14" x14ac:dyDescent="0.35">
      <c r="N130" s="111"/>
    </row>
    <row r="134" spans="14:14" x14ac:dyDescent="0.35">
      <c r="N134" s="111"/>
    </row>
    <row r="138" spans="14:14" x14ac:dyDescent="0.35">
      <c r="N138" s="111"/>
    </row>
    <row r="142" spans="14:14" x14ac:dyDescent="0.35">
      <c r="N142" s="111"/>
    </row>
    <row r="146" spans="14:14" x14ac:dyDescent="0.35">
      <c r="N146" s="111"/>
    </row>
    <row r="150" spans="14:14" x14ac:dyDescent="0.35">
      <c r="N150" s="111"/>
    </row>
    <row r="154" spans="14:14" x14ac:dyDescent="0.35">
      <c r="N154" s="111"/>
    </row>
    <row r="159" spans="14:14" x14ac:dyDescent="0.35">
      <c r="N159" s="111"/>
    </row>
    <row r="162" spans="14:14" x14ac:dyDescent="0.35">
      <c r="N162" s="111"/>
    </row>
    <row r="166" spans="14:14" x14ac:dyDescent="0.35">
      <c r="N166" s="111"/>
    </row>
    <row r="170" spans="14:14" x14ac:dyDescent="0.35">
      <c r="N170" s="111"/>
    </row>
    <row r="174" spans="14:14" x14ac:dyDescent="0.35">
      <c r="N174" s="111"/>
    </row>
    <row r="178" spans="14:14" x14ac:dyDescent="0.35">
      <c r="N178" s="111"/>
    </row>
    <row r="182" spans="14:14" x14ac:dyDescent="0.35">
      <c r="N182" s="111"/>
    </row>
  </sheetData>
  <conditionalFormatting sqref="B45">
    <cfRule type="expression" dxfId="4" priority="29">
      <formula>AND(E45&gt;=0.0345, F45&gt;=0.0345)</formula>
    </cfRule>
  </conditionalFormatting>
  <conditionalFormatting sqref="B6">
    <cfRule type="expression" dxfId="3" priority="4">
      <formula>AND(E6&gt;=0.0345, F6&gt;=0.0345)</formula>
    </cfRule>
  </conditionalFormatting>
  <conditionalFormatting sqref="A61">
    <cfRule type="expression" dxfId="2" priority="3">
      <formula>AND(D61&gt;=0.0345, E61&gt;=0.0345)</formula>
    </cfRule>
  </conditionalFormatting>
  <conditionalFormatting sqref="B29">
    <cfRule type="expression" dxfId="1" priority="1">
      <formula>AND(E29&gt;=0.0345, F29&gt;=0.0345)</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54AFE-5D13-4013-9300-4C377CEE9AA0}">
  <sheetPr>
    <tabColor theme="5" tint="0.79998168889431442"/>
  </sheetPr>
  <dimension ref="A1:S89"/>
  <sheetViews>
    <sheetView workbookViewId="0"/>
  </sheetViews>
  <sheetFormatPr defaultColWidth="9.1796875" defaultRowHeight="14.5" x14ac:dyDescent="0.35"/>
  <cols>
    <col min="1" max="1" width="22" style="77" bestFit="1" customWidth="1"/>
    <col min="2" max="2" width="40.81640625" style="77" customWidth="1"/>
    <col min="3" max="3" width="40.1796875" style="77" bestFit="1" customWidth="1"/>
    <col min="4" max="5" width="23" style="77" bestFit="1" customWidth="1"/>
    <col min="6" max="6" width="28" style="77" bestFit="1" customWidth="1"/>
    <col min="7" max="7" width="12.54296875" style="77" bestFit="1" customWidth="1"/>
    <col min="8" max="8" width="12.7265625" style="77" bestFit="1" customWidth="1"/>
    <col min="9" max="9" width="9.1796875" style="77"/>
    <col min="10" max="10" width="10.453125" style="77" bestFit="1" customWidth="1"/>
    <col min="11" max="11" width="37.81640625" style="77" customWidth="1"/>
    <col min="12" max="12" width="42" style="77" customWidth="1"/>
    <col min="13" max="13" width="31.81640625" style="77" bestFit="1" customWidth="1"/>
    <col min="14" max="15" width="23" style="77" bestFit="1" customWidth="1"/>
    <col min="16" max="16" width="28" style="77" bestFit="1" customWidth="1"/>
    <col min="17" max="16384" width="9.1796875" style="77"/>
  </cols>
  <sheetData>
    <row r="1" spans="1:16" ht="18.5" x14ac:dyDescent="0.45">
      <c r="A1" s="27" t="s">
        <v>364</v>
      </c>
    </row>
    <row r="2" spans="1:16" ht="15.5" x14ac:dyDescent="0.35">
      <c r="A2" s="102" t="s">
        <v>161</v>
      </c>
    </row>
    <row r="3" spans="1:16" ht="15.5" x14ac:dyDescent="0.35">
      <c r="A3" s="103" t="s">
        <v>162</v>
      </c>
      <c r="J3" s="22"/>
    </row>
    <row r="4" spans="1:16" x14ac:dyDescent="0.35">
      <c r="B4" s="22"/>
    </row>
    <row r="5" spans="1:16" x14ac:dyDescent="0.35">
      <c r="A5" s="105" t="s">
        <v>147</v>
      </c>
      <c r="B5" s="108" t="s">
        <v>163</v>
      </c>
      <c r="C5" s="108" t="s">
        <v>164</v>
      </c>
      <c r="D5" s="106" t="s">
        <v>148</v>
      </c>
      <c r="E5" s="106" t="s">
        <v>219</v>
      </c>
      <c r="F5" s="107" t="s">
        <v>149</v>
      </c>
      <c r="G5" s="107" t="s">
        <v>150</v>
      </c>
      <c r="H5" s="107" t="s">
        <v>151</v>
      </c>
      <c r="J5" s="108" t="s">
        <v>152</v>
      </c>
      <c r="K5" s="105" t="s">
        <v>147</v>
      </c>
      <c r="L5" s="105" t="s">
        <v>163</v>
      </c>
      <c r="M5" s="108" t="s">
        <v>200</v>
      </c>
      <c r="N5" s="106" t="s">
        <v>148</v>
      </c>
      <c r="O5" s="106" t="s">
        <v>219</v>
      </c>
      <c r="P5" s="107" t="s">
        <v>149</v>
      </c>
    </row>
    <row r="6" spans="1:16" x14ac:dyDescent="0.35">
      <c r="A6" s="6" t="s">
        <v>25</v>
      </c>
      <c r="B6" s="6" t="s">
        <v>165</v>
      </c>
      <c r="C6" s="6" t="s">
        <v>224</v>
      </c>
      <c r="D6" s="112">
        <v>4246510</v>
      </c>
      <c r="E6" s="112">
        <v>4212069</v>
      </c>
      <c r="F6" s="65">
        <v>4.0000000000000001E-3</v>
      </c>
      <c r="G6" s="65">
        <v>-5.0000000000000001E-3</v>
      </c>
      <c r="H6" s="65">
        <v>1.2E-2</v>
      </c>
      <c r="J6" s="6" t="s">
        <v>155</v>
      </c>
      <c r="K6" s="6" t="s">
        <v>248</v>
      </c>
      <c r="L6" s="6" t="s">
        <v>155</v>
      </c>
      <c r="M6" s="6"/>
      <c r="N6" s="112">
        <v>33492030</v>
      </c>
      <c r="O6" s="112">
        <v>34655824</v>
      </c>
      <c r="P6" s="65">
        <v>2.5709977927035301E-2</v>
      </c>
    </row>
    <row r="7" spans="1:16" x14ac:dyDescent="0.35">
      <c r="A7" s="6" t="s">
        <v>25</v>
      </c>
      <c r="B7" s="6" t="s">
        <v>165</v>
      </c>
      <c r="C7" s="6" t="s">
        <v>167</v>
      </c>
      <c r="D7" s="112">
        <v>355983</v>
      </c>
      <c r="E7" s="112">
        <v>378885</v>
      </c>
      <c r="F7" s="65">
        <v>1.5273214466136E-2</v>
      </c>
      <c r="G7" s="65">
        <v>-5.0000000000000001E-3</v>
      </c>
      <c r="H7" s="65">
        <v>3.5999999999999997E-2</v>
      </c>
      <c r="J7" s="6" t="s">
        <v>155</v>
      </c>
      <c r="K7" s="6" t="s">
        <v>12</v>
      </c>
      <c r="L7" s="6" t="s">
        <v>155</v>
      </c>
      <c r="M7" s="6"/>
      <c r="N7" s="112">
        <v>4285611</v>
      </c>
      <c r="O7" s="112">
        <v>4469885</v>
      </c>
      <c r="P7" s="65">
        <v>5.6518295257737897E-2</v>
      </c>
    </row>
    <row r="8" spans="1:16" x14ac:dyDescent="0.35">
      <c r="A8" s="6" t="s">
        <v>25</v>
      </c>
      <c r="B8" s="6" t="s">
        <v>165</v>
      </c>
      <c r="C8" s="6" t="s">
        <v>166</v>
      </c>
      <c r="D8" s="112">
        <v>320224</v>
      </c>
      <c r="E8" s="112">
        <v>310048</v>
      </c>
      <c r="F8" s="65">
        <v>6.8000000000000005E-2</v>
      </c>
      <c r="G8" s="65">
        <v>3.9E-2</v>
      </c>
      <c r="H8" s="65">
        <v>9.8000000000000004E-2</v>
      </c>
      <c r="J8" s="6" t="s">
        <v>155</v>
      </c>
      <c r="K8" s="6" t="s">
        <v>44</v>
      </c>
      <c r="L8" s="6" t="s">
        <v>155</v>
      </c>
      <c r="M8" s="6"/>
      <c r="N8" s="112">
        <v>13248647</v>
      </c>
      <c r="O8" s="112">
        <v>14273823</v>
      </c>
      <c r="P8" s="65">
        <v>1.3228827221033501E-2</v>
      </c>
    </row>
    <row r="9" spans="1:16" x14ac:dyDescent="0.35">
      <c r="A9" s="6" t="s">
        <v>25</v>
      </c>
      <c r="B9" s="6" t="s">
        <v>165</v>
      </c>
      <c r="C9" s="6" t="s">
        <v>169</v>
      </c>
      <c r="D9" s="112">
        <v>286283</v>
      </c>
      <c r="E9" s="112">
        <v>290782</v>
      </c>
      <c r="F9" s="65">
        <v>4.5999999999999999E-2</v>
      </c>
      <c r="G9" s="65">
        <v>0.02</v>
      </c>
      <c r="H9" s="65">
        <v>7.1999999999999995E-2</v>
      </c>
      <c r="J9" s="6" t="s">
        <v>155</v>
      </c>
      <c r="K9" s="6" t="s">
        <v>25</v>
      </c>
      <c r="L9" s="6" t="s">
        <v>155</v>
      </c>
      <c r="M9" s="6"/>
      <c r="N9" s="112">
        <v>15957772</v>
      </c>
      <c r="O9" s="112">
        <v>15912116</v>
      </c>
      <c r="P9" s="65">
        <v>2.7032565092400099E-2</v>
      </c>
    </row>
    <row r="10" spans="1:16" x14ac:dyDescent="0.35">
      <c r="A10" s="6" t="s">
        <v>25</v>
      </c>
      <c r="B10" s="6" t="s">
        <v>165</v>
      </c>
      <c r="C10" s="6" t="s">
        <v>168</v>
      </c>
      <c r="D10" s="112">
        <v>284119</v>
      </c>
      <c r="E10" s="112">
        <v>314211</v>
      </c>
      <c r="F10" s="65">
        <v>5.2999999999999999E-2</v>
      </c>
      <c r="G10" s="65">
        <v>2.7E-2</v>
      </c>
      <c r="H10" s="65">
        <v>8.1000000000000003E-2</v>
      </c>
      <c r="J10" s="6" t="s">
        <v>158</v>
      </c>
      <c r="K10" s="6" t="s">
        <v>248</v>
      </c>
      <c r="L10" s="6" t="s">
        <v>155</v>
      </c>
      <c r="M10" s="6">
        <v>84</v>
      </c>
      <c r="N10" s="112">
        <v>20311778</v>
      </c>
      <c r="O10" s="112">
        <v>21241289</v>
      </c>
      <c r="P10" s="65">
        <v>1.8665050043315701E-2</v>
      </c>
    </row>
    <row r="11" spans="1:16" x14ac:dyDescent="0.35">
      <c r="A11" s="6" t="s">
        <v>25</v>
      </c>
      <c r="B11" s="6" t="s">
        <v>165</v>
      </c>
      <c r="C11" s="6" t="s">
        <v>227</v>
      </c>
      <c r="D11" s="112">
        <v>1209574</v>
      </c>
      <c r="E11" s="112">
        <v>1226236</v>
      </c>
      <c r="F11" s="65">
        <v>5.3999999999999999E-2</v>
      </c>
      <c r="G11" s="65">
        <v>3.5000000000000003E-2</v>
      </c>
      <c r="H11" s="65">
        <v>7.3999999999999996E-2</v>
      </c>
      <c r="J11" s="6" t="s">
        <v>158</v>
      </c>
      <c r="K11" s="6" t="s">
        <v>12</v>
      </c>
      <c r="L11" s="6" t="s">
        <v>155</v>
      </c>
      <c r="M11" s="6">
        <v>13</v>
      </c>
      <c r="N11" s="112">
        <v>2759657</v>
      </c>
      <c r="O11" s="112">
        <v>2828283</v>
      </c>
      <c r="P11" s="65">
        <v>4.6294969377493202E-2</v>
      </c>
    </row>
    <row r="12" spans="1:16" x14ac:dyDescent="0.35">
      <c r="A12" s="6" t="s">
        <v>25</v>
      </c>
      <c r="B12" s="6" t="s">
        <v>165</v>
      </c>
      <c r="C12" s="6" t="s">
        <v>170</v>
      </c>
      <c r="D12" s="112">
        <v>247156</v>
      </c>
      <c r="E12" s="112">
        <v>243129</v>
      </c>
      <c r="F12" s="65">
        <v>2.3E-2</v>
      </c>
      <c r="G12" s="65">
        <v>-3.0000000000000001E-3</v>
      </c>
      <c r="H12" s="65">
        <v>4.9000000000000002E-2</v>
      </c>
      <c r="J12" s="6" t="s">
        <v>158</v>
      </c>
      <c r="K12" s="6" t="s">
        <v>44</v>
      </c>
      <c r="L12" s="6" t="s">
        <v>155</v>
      </c>
      <c r="M12" s="6">
        <v>50</v>
      </c>
      <c r="N12" s="112">
        <v>8953794</v>
      </c>
      <c r="O12" s="112">
        <v>9749149</v>
      </c>
      <c r="P12" s="65">
        <v>9.2970416314382895E-3</v>
      </c>
    </row>
    <row r="13" spans="1:16" x14ac:dyDescent="0.35">
      <c r="A13" s="6" t="s">
        <v>25</v>
      </c>
      <c r="B13" s="6" t="s">
        <v>171</v>
      </c>
      <c r="C13" s="6" t="s">
        <v>249</v>
      </c>
      <c r="D13" s="112">
        <v>193082</v>
      </c>
      <c r="E13" s="112">
        <v>196603</v>
      </c>
      <c r="F13" s="65">
        <v>-1.7999999999999999E-2</v>
      </c>
      <c r="G13" s="65">
        <v>-6.2E-2</v>
      </c>
      <c r="H13" s="65">
        <v>2.8000000000000001E-2</v>
      </c>
      <c r="J13" s="6" t="s">
        <v>158</v>
      </c>
      <c r="K13" s="6" t="s">
        <v>25</v>
      </c>
      <c r="L13" s="6" t="s">
        <v>155</v>
      </c>
      <c r="M13" s="6">
        <v>21</v>
      </c>
      <c r="N13" s="112">
        <v>8598327</v>
      </c>
      <c r="O13" s="112">
        <v>8663857</v>
      </c>
      <c r="P13" s="65">
        <v>2.76138794150168E-2</v>
      </c>
    </row>
    <row r="14" spans="1:16" x14ac:dyDescent="0.35">
      <c r="A14" s="6" t="s">
        <v>25</v>
      </c>
      <c r="B14" s="6" t="s">
        <v>171</v>
      </c>
      <c r="C14" s="6" t="s">
        <v>173</v>
      </c>
      <c r="D14" s="112">
        <v>141777</v>
      </c>
      <c r="E14" s="112">
        <v>136656</v>
      </c>
      <c r="F14" s="65">
        <v>8.5999999999999993E-2</v>
      </c>
      <c r="G14" s="65">
        <v>5.1999999999999998E-2</v>
      </c>
      <c r="H14" s="65">
        <v>0.12</v>
      </c>
      <c r="J14" s="6" t="s">
        <v>158</v>
      </c>
      <c r="K14" s="6" t="s">
        <v>12</v>
      </c>
      <c r="L14" s="6" t="s">
        <v>12</v>
      </c>
      <c r="M14" s="6">
        <v>13</v>
      </c>
      <c r="N14" s="112">
        <v>2759657</v>
      </c>
      <c r="O14" s="112">
        <v>2828283</v>
      </c>
      <c r="P14" s="65">
        <v>4.6294969377493202E-2</v>
      </c>
    </row>
    <row r="15" spans="1:16" x14ac:dyDescent="0.35">
      <c r="A15" s="6" t="s">
        <v>25</v>
      </c>
      <c r="B15" s="6" t="s">
        <v>171</v>
      </c>
      <c r="C15" s="6" t="s">
        <v>250</v>
      </c>
      <c r="D15" s="112">
        <v>253809</v>
      </c>
      <c r="E15" s="112">
        <v>239065</v>
      </c>
      <c r="F15" s="65">
        <v>3.5000000000000003E-2</v>
      </c>
      <c r="G15" s="65">
        <v>1.0999999999999999E-2</v>
      </c>
      <c r="H15" s="65">
        <v>5.8999999999999997E-2</v>
      </c>
      <c r="J15" s="6" t="s">
        <v>158</v>
      </c>
      <c r="K15" s="6" t="s">
        <v>44</v>
      </c>
      <c r="L15" s="6" t="s">
        <v>165</v>
      </c>
      <c r="M15" s="6">
        <v>5</v>
      </c>
      <c r="N15" s="112">
        <v>2730177</v>
      </c>
      <c r="O15" s="112">
        <v>3024139</v>
      </c>
      <c r="P15" s="65">
        <v>4.2741860826056698E-3</v>
      </c>
    </row>
    <row r="16" spans="1:16" x14ac:dyDescent="0.35">
      <c r="A16" s="6" t="s">
        <v>25</v>
      </c>
      <c r="B16" s="6" t="s">
        <v>171</v>
      </c>
      <c r="C16" s="6" t="s">
        <v>172</v>
      </c>
      <c r="D16" s="112">
        <v>180699</v>
      </c>
      <c r="E16" s="112">
        <v>184752</v>
      </c>
      <c r="F16" s="65">
        <v>0.01</v>
      </c>
      <c r="G16" s="65">
        <v>-2.5999999999999999E-2</v>
      </c>
      <c r="H16" s="65">
        <v>4.7E-2</v>
      </c>
      <c r="J16" s="6" t="s">
        <v>158</v>
      </c>
      <c r="K16" s="6" t="s">
        <v>44</v>
      </c>
      <c r="L16" s="6" t="s">
        <v>171</v>
      </c>
      <c r="M16" s="6">
        <v>9</v>
      </c>
      <c r="N16" s="112">
        <v>1384063</v>
      </c>
      <c r="O16" s="112">
        <v>1495703</v>
      </c>
      <c r="P16" s="65">
        <v>-1.82545472901152E-3</v>
      </c>
    </row>
    <row r="17" spans="1:18" x14ac:dyDescent="0.35">
      <c r="A17" s="6" t="s">
        <v>25</v>
      </c>
      <c r="B17" s="6" t="s">
        <v>171</v>
      </c>
      <c r="C17" s="6" t="s">
        <v>251</v>
      </c>
      <c r="D17" s="112">
        <v>106328</v>
      </c>
      <c r="E17" s="112">
        <v>136861</v>
      </c>
      <c r="F17" s="65">
        <v>4.1000000000000002E-2</v>
      </c>
      <c r="G17" s="65">
        <v>-1E-3</v>
      </c>
      <c r="H17" s="65">
        <v>8.5999999999999993E-2</v>
      </c>
      <c r="J17" s="6" t="s">
        <v>158</v>
      </c>
      <c r="K17" s="6" t="s">
        <v>44</v>
      </c>
      <c r="L17" s="6" t="s">
        <v>174</v>
      </c>
      <c r="M17" s="6">
        <v>12</v>
      </c>
      <c r="N17" s="112">
        <v>910161</v>
      </c>
      <c r="O17" s="112">
        <v>1014573</v>
      </c>
      <c r="P17" s="65">
        <v>-2.5951199044924598E-4</v>
      </c>
    </row>
    <row r="18" spans="1:18" x14ac:dyDescent="0.35">
      <c r="A18" s="6" t="s">
        <v>25</v>
      </c>
      <c r="B18" s="6" t="s">
        <v>171</v>
      </c>
      <c r="C18" s="6" t="s">
        <v>177</v>
      </c>
      <c r="D18" s="112">
        <v>123345</v>
      </c>
      <c r="E18" s="112">
        <v>131796</v>
      </c>
      <c r="F18" s="65">
        <v>3.1E-2</v>
      </c>
      <c r="G18" s="65">
        <v>-8.9999999999999993E-3</v>
      </c>
      <c r="H18" s="65">
        <v>7.1999999999999995E-2</v>
      </c>
      <c r="J18" s="6" t="s">
        <v>158</v>
      </c>
      <c r="K18" s="6" t="s">
        <v>44</v>
      </c>
      <c r="L18" s="6" t="s">
        <v>176</v>
      </c>
      <c r="M18" s="6">
        <v>9</v>
      </c>
      <c r="N18" s="112">
        <v>891569</v>
      </c>
      <c r="O18" s="112">
        <v>914928</v>
      </c>
      <c r="P18" s="65">
        <v>7.8131149994404001E-2</v>
      </c>
    </row>
    <row r="19" spans="1:18" x14ac:dyDescent="0.35">
      <c r="A19" s="6" t="s">
        <v>25</v>
      </c>
      <c r="B19" s="6" t="s">
        <v>174</v>
      </c>
      <c r="C19" s="6" t="s">
        <v>181</v>
      </c>
      <c r="D19" s="112">
        <v>68939</v>
      </c>
      <c r="E19" s="112">
        <v>69353</v>
      </c>
      <c r="F19" s="65">
        <v>-2.1000000000000001E-2</v>
      </c>
      <c r="G19" s="65">
        <v>-6.2E-2</v>
      </c>
      <c r="H19" s="65">
        <v>2.3E-2</v>
      </c>
      <c r="J19" s="6" t="s">
        <v>158</v>
      </c>
      <c r="K19" s="6" t="s">
        <v>44</v>
      </c>
      <c r="L19" s="6" t="s">
        <v>178</v>
      </c>
      <c r="M19" s="6">
        <v>15</v>
      </c>
      <c r="N19" s="112">
        <v>3037824</v>
      </c>
      <c r="O19" s="112">
        <v>3299806</v>
      </c>
      <c r="P19" s="65">
        <v>1.4754337785601901E-2</v>
      </c>
    </row>
    <row r="20" spans="1:18" x14ac:dyDescent="0.35">
      <c r="A20" s="6" t="s">
        <v>25</v>
      </c>
      <c r="B20" s="6" t="s">
        <v>174</v>
      </c>
      <c r="C20" s="6" t="s">
        <v>180</v>
      </c>
      <c r="D20" s="112">
        <v>97026</v>
      </c>
      <c r="E20" s="112">
        <v>101295</v>
      </c>
      <c r="F20" s="65">
        <v>4.5999999999999999E-2</v>
      </c>
      <c r="G20" s="65">
        <v>5.0000000000000001E-3</v>
      </c>
      <c r="H20" s="65">
        <v>8.6999999999999994E-2</v>
      </c>
      <c r="J20" s="6" t="s">
        <v>158</v>
      </c>
      <c r="K20" s="6" t="s">
        <v>25</v>
      </c>
      <c r="L20" s="6" t="s">
        <v>165</v>
      </c>
      <c r="M20" s="6">
        <v>7</v>
      </c>
      <c r="N20" s="112">
        <v>6949849</v>
      </c>
      <c r="O20" s="112">
        <v>6975360</v>
      </c>
      <c r="P20" s="65">
        <v>2.7994903269299799E-2</v>
      </c>
    </row>
    <row r="21" spans="1:18" x14ac:dyDescent="0.35">
      <c r="A21" s="6" t="s">
        <v>25</v>
      </c>
      <c r="B21" s="6" t="s">
        <v>174</v>
      </c>
      <c r="C21" s="6" t="s">
        <v>175</v>
      </c>
      <c r="D21" s="112">
        <v>116664</v>
      </c>
      <c r="E21" s="112">
        <v>115220</v>
      </c>
      <c r="F21" s="65">
        <v>0.10100000000000001</v>
      </c>
      <c r="G21" s="65">
        <v>6.5000000000000002E-2</v>
      </c>
      <c r="H21" s="65">
        <v>0.13700000000000001</v>
      </c>
      <c r="J21" s="6" t="s">
        <v>158</v>
      </c>
      <c r="K21" s="6" t="s">
        <v>25</v>
      </c>
      <c r="L21" s="6" t="s">
        <v>171</v>
      </c>
      <c r="M21" s="6">
        <v>6</v>
      </c>
      <c r="N21" s="112">
        <v>999040</v>
      </c>
      <c r="O21" s="112">
        <v>1025733</v>
      </c>
      <c r="P21" s="65">
        <v>2.45772050431462E-2</v>
      </c>
    </row>
    <row r="22" spans="1:18" x14ac:dyDescent="0.35">
      <c r="A22" s="6" t="s">
        <v>25</v>
      </c>
      <c r="B22" s="6" t="s">
        <v>174</v>
      </c>
      <c r="C22" s="6" t="s">
        <v>179</v>
      </c>
      <c r="D22" s="112">
        <v>88257</v>
      </c>
      <c r="E22" s="112">
        <v>87611</v>
      </c>
      <c r="F22" s="65">
        <v>3.7999999999999999E-2</v>
      </c>
      <c r="G22" s="65">
        <v>-3.0000000000000001E-3</v>
      </c>
      <c r="H22" s="65">
        <v>0.08</v>
      </c>
      <c r="J22" s="6" t="s">
        <v>158</v>
      </c>
      <c r="K22" s="6" t="s">
        <v>25</v>
      </c>
      <c r="L22" s="6" t="s">
        <v>174</v>
      </c>
      <c r="M22" s="6">
        <v>4</v>
      </c>
      <c r="N22" s="112">
        <v>370886</v>
      </c>
      <c r="O22" s="112">
        <v>373479</v>
      </c>
      <c r="P22" s="65">
        <v>4.7631776337683097E-2</v>
      </c>
    </row>
    <row r="23" spans="1:18" x14ac:dyDescent="0.35">
      <c r="A23" s="6" t="s">
        <v>25</v>
      </c>
      <c r="B23" s="6" t="s">
        <v>176</v>
      </c>
      <c r="C23" s="6" t="s">
        <v>252</v>
      </c>
      <c r="D23" s="112">
        <v>62064</v>
      </c>
      <c r="E23" s="112">
        <v>66267</v>
      </c>
      <c r="F23" s="65">
        <v>-0.13</v>
      </c>
      <c r="G23" s="65">
        <v>-0.22900000000000001</v>
      </c>
      <c r="H23" s="65">
        <v>-4.0000000000000001E-3</v>
      </c>
      <c r="J23" s="6" t="s">
        <v>158</v>
      </c>
      <c r="K23" s="6" t="s">
        <v>25</v>
      </c>
      <c r="L23" s="6" t="s">
        <v>176</v>
      </c>
      <c r="M23" s="6">
        <v>4</v>
      </c>
      <c r="N23" s="112">
        <v>278552</v>
      </c>
      <c r="O23" s="112">
        <v>289285</v>
      </c>
      <c r="P23" s="65">
        <v>-3.65501598446306E-2</v>
      </c>
    </row>
    <row r="24" spans="1:18" x14ac:dyDescent="0.35">
      <c r="A24" s="6" t="s">
        <v>25</v>
      </c>
      <c r="B24" s="6" t="s">
        <v>176</v>
      </c>
      <c r="C24" s="6" t="s">
        <v>182</v>
      </c>
      <c r="D24" s="112">
        <v>75201</v>
      </c>
      <c r="E24" s="112">
        <v>73600</v>
      </c>
      <c r="F24" s="65">
        <v>-0.14199999999999999</v>
      </c>
      <c r="G24" s="65">
        <v>-0.33</v>
      </c>
      <c r="H24" s="65">
        <v>8.5999999999999993E-2</v>
      </c>
    </row>
    <row r="25" spans="1:18" x14ac:dyDescent="0.35">
      <c r="A25" s="6" t="s">
        <v>25</v>
      </c>
      <c r="B25" s="6" t="s">
        <v>176</v>
      </c>
      <c r="C25" s="6" t="s">
        <v>253</v>
      </c>
      <c r="D25" s="112">
        <v>74742</v>
      </c>
      <c r="E25" s="112">
        <v>75812</v>
      </c>
      <c r="F25" s="65">
        <v>0.27700000000000002</v>
      </c>
      <c r="G25" s="65">
        <v>0.154</v>
      </c>
      <c r="H25" s="65">
        <v>0.41199999999999998</v>
      </c>
    </row>
    <row r="26" spans="1:18" x14ac:dyDescent="0.35">
      <c r="A26" s="6" t="s">
        <v>25</v>
      </c>
      <c r="B26" s="6" t="s">
        <v>176</v>
      </c>
      <c r="C26" s="6" t="s">
        <v>183</v>
      </c>
      <c r="D26" s="112">
        <v>66545</v>
      </c>
      <c r="E26" s="112">
        <v>73606</v>
      </c>
      <c r="F26" s="65">
        <v>-0.124</v>
      </c>
      <c r="G26" s="65">
        <v>-0.22600000000000001</v>
      </c>
      <c r="H26" s="65">
        <v>2E-3</v>
      </c>
    </row>
    <row r="27" spans="1:18" x14ac:dyDescent="0.35">
      <c r="A27" s="6" t="s">
        <v>44</v>
      </c>
      <c r="B27" s="6" t="s">
        <v>165</v>
      </c>
      <c r="C27" s="6" t="s">
        <v>224</v>
      </c>
      <c r="D27" s="112">
        <v>698996</v>
      </c>
      <c r="E27" s="112">
        <v>794366</v>
      </c>
      <c r="F27" s="65">
        <v>-3.5000000000000003E-2</v>
      </c>
      <c r="G27" s="65">
        <v>-4.5999999999999999E-2</v>
      </c>
      <c r="H27" s="65">
        <v>-2.4E-2</v>
      </c>
    </row>
    <row r="28" spans="1:18" x14ac:dyDescent="0.35">
      <c r="A28" s="6" t="s">
        <v>44</v>
      </c>
      <c r="B28" s="6" t="s">
        <v>165</v>
      </c>
      <c r="C28" s="6" t="s">
        <v>167</v>
      </c>
      <c r="D28" s="112">
        <v>324039</v>
      </c>
      <c r="E28" s="112">
        <v>349724</v>
      </c>
      <c r="F28" s="65">
        <v>4.2999999999999997E-2</v>
      </c>
      <c r="G28" s="65">
        <v>2.1000000000000001E-2</v>
      </c>
      <c r="H28" s="65">
        <v>6.6000000000000003E-2</v>
      </c>
    </row>
    <row r="29" spans="1:18" x14ac:dyDescent="0.35">
      <c r="A29" s="6" t="s">
        <v>44</v>
      </c>
      <c r="B29" s="6" t="s">
        <v>165</v>
      </c>
      <c r="C29" s="6" t="s">
        <v>249</v>
      </c>
      <c r="D29" s="112">
        <v>501544</v>
      </c>
      <c r="E29" s="112">
        <v>573989</v>
      </c>
      <c r="F29" s="65">
        <v>2.5000000000000001E-2</v>
      </c>
      <c r="G29" s="65">
        <v>1.2E-2</v>
      </c>
      <c r="H29" s="65">
        <v>3.7999999999999999E-2</v>
      </c>
    </row>
    <row r="30" spans="1:18" x14ac:dyDescent="0.35">
      <c r="A30" s="6" t="s">
        <v>44</v>
      </c>
      <c r="B30" s="6" t="s">
        <v>165</v>
      </c>
      <c r="C30" s="6" t="s">
        <v>227</v>
      </c>
      <c r="D30" s="112">
        <v>624763</v>
      </c>
      <c r="E30" s="112">
        <v>664275</v>
      </c>
      <c r="F30" s="65">
        <v>3.1E-2</v>
      </c>
      <c r="G30" s="65">
        <v>-1.9E-2</v>
      </c>
      <c r="H30" s="65">
        <v>8.5000000000000006E-2</v>
      </c>
    </row>
    <row r="31" spans="1:18" x14ac:dyDescent="0.35">
      <c r="A31" s="6" t="s">
        <v>44</v>
      </c>
      <c r="B31" s="6" t="s">
        <v>165</v>
      </c>
      <c r="C31" s="6" t="s">
        <v>250</v>
      </c>
      <c r="D31" s="112">
        <v>580835</v>
      </c>
      <c r="E31" s="112">
        <v>641785</v>
      </c>
      <c r="F31" s="65">
        <v>-1.2999999999999999E-2</v>
      </c>
      <c r="G31" s="65">
        <v>-2.7E-2</v>
      </c>
      <c r="H31" s="65">
        <v>1E-3</v>
      </c>
      <c r="N31" s="78"/>
      <c r="O31" s="78"/>
      <c r="P31" s="125"/>
      <c r="Q31" s="51"/>
      <c r="R31" s="51"/>
    </row>
    <row r="32" spans="1:18" x14ac:dyDescent="0.35">
      <c r="A32" s="6" t="s">
        <v>44</v>
      </c>
      <c r="B32" s="6" t="s">
        <v>171</v>
      </c>
      <c r="C32" s="126" t="s">
        <v>181</v>
      </c>
      <c r="D32" s="112">
        <v>128581</v>
      </c>
      <c r="E32" s="112">
        <v>138359</v>
      </c>
      <c r="F32" s="65">
        <v>0.108</v>
      </c>
      <c r="G32" s="65">
        <v>0.05</v>
      </c>
      <c r="H32" s="65">
        <v>0.16600000000000001</v>
      </c>
      <c r="N32" s="78"/>
      <c r="O32" s="78"/>
      <c r="P32" s="125"/>
      <c r="Q32" s="51"/>
      <c r="R32" s="51"/>
    </row>
    <row r="33" spans="1:19" x14ac:dyDescent="0.35">
      <c r="A33" s="6" t="s">
        <v>44</v>
      </c>
      <c r="B33" s="6" t="s">
        <v>171</v>
      </c>
      <c r="C33" s="6" t="s">
        <v>185</v>
      </c>
      <c r="D33" s="112">
        <v>148239</v>
      </c>
      <c r="E33" s="112">
        <v>157105</v>
      </c>
      <c r="F33" s="65">
        <v>-1.4999999999999999E-2</v>
      </c>
      <c r="G33" s="65">
        <v>-3.7999999999999999E-2</v>
      </c>
      <c r="H33" s="65">
        <v>8.9999999999999993E-3</v>
      </c>
      <c r="N33" s="78"/>
      <c r="O33" s="78"/>
      <c r="P33" s="125"/>
      <c r="Q33" s="51"/>
      <c r="R33" s="51"/>
    </row>
    <row r="34" spans="1:19" x14ac:dyDescent="0.35">
      <c r="A34" s="6" t="s">
        <v>44</v>
      </c>
      <c r="B34" s="6" t="s">
        <v>171</v>
      </c>
      <c r="C34" s="6" t="s">
        <v>184</v>
      </c>
      <c r="D34" s="112">
        <v>173542</v>
      </c>
      <c r="E34" s="112">
        <v>224836</v>
      </c>
      <c r="F34" s="65">
        <v>-0.08</v>
      </c>
      <c r="G34" s="65">
        <v>-9.9000000000000005E-2</v>
      </c>
      <c r="H34" s="65">
        <v>-6.2E-2</v>
      </c>
      <c r="N34" s="78"/>
      <c r="O34" s="78"/>
      <c r="P34" s="125"/>
      <c r="Q34" s="51"/>
      <c r="R34" s="51"/>
    </row>
    <row r="35" spans="1:19" x14ac:dyDescent="0.35">
      <c r="A35" s="6" t="s">
        <v>44</v>
      </c>
      <c r="B35" s="6" t="s">
        <v>171</v>
      </c>
      <c r="C35" s="6" t="s">
        <v>169</v>
      </c>
      <c r="D35" s="112">
        <v>218144</v>
      </c>
      <c r="E35" s="112">
        <v>226088</v>
      </c>
      <c r="F35" s="65">
        <v>-1.9E-2</v>
      </c>
      <c r="G35" s="65">
        <v>-0.06</v>
      </c>
      <c r="H35" s="65">
        <v>2.4E-2</v>
      </c>
      <c r="N35" s="78"/>
      <c r="O35" s="78"/>
      <c r="P35" s="125"/>
      <c r="Q35" s="51"/>
      <c r="R35" s="51"/>
    </row>
    <row r="36" spans="1:19" x14ac:dyDescent="0.35">
      <c r="A36" s="6" t="s">
        <v>44</v>
      </c>
      <c r="B36" s="6" t="s">
        <v>171</v>
      </c>
      <c r="C36" s="6" t="s">
        <v>170</v>
      </c>
      <c r="D36" s="112">
        <v>174956</v>
      </c>
      <c r="E36" s="112">
        <v>162950</v>
      </c>
      <c r="F36" s="65">
        <v>1.0999999999999999E-2</v>
      </c>
      <c r="G36" s="65">
        <v>-1.7999999999999999E-2</v>
      </c>
      <c r="H36" s="65">
        <v>4.1000000000000002E-2</v>
      </c>
      <c r="N36" s="78"/>
      <c r="O36" s="78"/>
      <c r="P36" s="125"/>
      <c r="Q36" s="51"/>
      <c r="R36" s="51"/>
    </row>
    <row r="37" spans="1:19" x14ac:dyDescent="0.35">
      <c r="A37" s="6" t="s">
        <v>44</v>
      </c>
      <c r="B37" s="6" t="s">
        <v>171</v>
      </c>
      <c r="C37" s="6" t="s">
        <v>173</v>
      </c>
      <c r="D37" s="112">
        <v>148747</v>
      </c>
      <c r="E37" s="112">
        <v>159844</v>
      </c>
      <c r="F37" s="65">
        <v>6.0000000000000001E-3</v>
      </c>
      <c r="G37" s="65">
        <v>-1.7000000000000001E-2</v>
      </c>
      <c r="H37" s="65">
        <v>2.9000000000000001E-2</v>
      </c>
      <c r="N37" s="78"/>
      <c r="O37" s="78"/>
      <c r="P37" s="125"/>
      <c r="Q37" s="51"/>
      <c r="R37" s="51"/>
    </row>
    <row r="38" spans="1:19" x14ac:dyDescent="0.35">
      <c r="A38" s="6" t="s">
        <v>44</v>
      </c>
      <c r="B38" s="6" t="s">
        <v>171</v>
      </c>
      <c r="C38" s="6" t="s">
        <v>186</v>
      </c>
      <c r="D38" s="112">
        <v>123677</v>
      </c>
      <c r="E38" s="112">
        <v>133643</v>
      </c>
      <c r="F38" s="65">
        <v>6.8000000000000005E-2</v>
      </c>
      <c r="G38" s="65">
        <v>6.3E-2</v>
      </c>
      <c r="H38" s="65">
        <v>7.3999999999999996E-2</v>
      </c>
      <c r="N38" s="78"/>
      <c r="O38" s="78"/>
      <c r="P38" s="125"/>
      <c r="Q38" s="51"/>
      <c r="R38" s="51"/>
    </row>
    <row r="39" spans="1:19" x14ac:dyDescent="0.35">
      <c r="A39" s="6" t="s">
        <v>44</v>
      </c>
      <c r="B39" s="6" t="s">
        <v>171</v>
      </c>
      <c r="C39" s="6" t="s">
        <v>180</v>
      </c>
      <c r="D39" s="112">
        <v>152385</v>
      </c>
      <c r="E39" s="112">
        <v>164977</v>
      </c>
      <c r="F39" s="65">
        <v>2.1999999999999999E-2</v>
      </c>
      <c r="G39" s="65">
        <v>4.0000000000000001E-3</v>
      </c>
      <c r="H39" s="65">
        <v>3.9E-2</v>
      </c>
      <c r="N39" s="78"/>
      <c r="O39" s="78"/>
      <c r="P39" s="125"/>
      <c r="Q39" s="51"/>
      <c r="R39" s="51"/>
    </row>
    <row r="40" spans="1:19" x14ac:dyDescent="0.35">
      <c r="A40" s="6" t="s">
        <v>44</v>
      </c>
      <c r="B40" s="6" t="s">
        <v>171</v>
      </c>
      <c r="C40" s="6" t="s">
        <v>187</v>
      </c>
      <c r="D40" s="112">
        <v>115792</v>
      </c>
      <c r="E40" s="112">
        <v>127901</v>
      </c>
      <c r="F40" s="65">
        <v>-5.0000000000000001E-3</v>
      </c>
      <c r="G40" s="65">
        <v>-1.6E-2</v>
      </c>
      <c r="H40" s="65">
        <v>6.0000000000000001E-3</v>
      </c>
      <c r="N40" s="78"/>
      <c r="O40" s="78"/>
      <c r="P40" s="125"/>
      <c r="Q40" s="51"/>
      <c r="R40" s="51"/>
    </row>
    <row r="41" spans="1:19" x14ac:dyDescent="0.35">
      <c r="A41" s="6" t="s">
        <v>44</v>
      </c>
      <c r="B41" s="6" t="s">
        <v>174</v>
      </c>
      <c r="C41" s="6" t="s">
        <v>190</v>
      </c>
      <c r="D41" s="112">
        <v>75538</v>
      </c>
      <c r="E41" s="112">
        <v>77291</v>
      </c>
      <c r="F41" s="65">
        <v>1.4E-2</v>
      </c>
      <c r="G41" s="65">
        <v>-1.4999999999999999E-2</v>
      </c>
      <c r="H41" s="65">
        <v>4.2999999999999997E-2</v>
      </c>
      <c r="N41" s="78"/>
      <c r="O41" s="78"/>
      <c r="P41" s="125"/>
      <c r="Q41" s="51"/>
      <c r="R41" s="51"/>
    </row>
    <row r="42" spans="1:19" x14ac:dyDescent="0.35">
      <c r="A42" s="6" t="s">
        <v>44</v>
      </c>
      <c r="B42" s="6" t="s">
        <v>174</v>
      </c>
      <c r="C42" s="6" t="s">
        <v>254</v>
      </c>
      <c r="D42" s="112">
        <v>67687</v>
      </c>
      <c r="E42" s="112">
        <v>71869</v>
      </c>
      <c r="F42" s="65">
        <v>-3.4000000000000002E-2</v>
      </c>
      <c r="G42" s="65">
        <v>-0.06</v>
      </c>
      <c r="H42" s="65">
        <v>-8.0000000000000002E-3</v>
      </c>
      <c r="N42" s="78"/>
      <c r="O42" s="78"/>
      <c r="P42" s="125"/>
      <c r="Q42" s="51"/>
      <c r="R42" s="51"/>
    </row>
    <row r="43" spans="1:19" x14ac:dyDescent="0.35">
      <c r="A43" s="6" t="s">
        <v>44</v>
      </c>
      <c r="B43" s="6" t="s">
        <v>174</v>
      </c>
      <c r="C43" s="6" t="s">
        <v>192</v>
      </c>
      <c r="D43" s="112">
        <v>61490</v>
      </c>
      <c r="E43" s="112">
        <v>75775</v>
      </c>
      <c r="F43" s="65">
        <v>-8.7999999999999995E-2</v>
      </c>
      <c r="G43" s="65">
        <v>-0.124</v>
      </c>
      <c r="H43" s="65">
        <v>-0.05</v>
      </c>
      <c r="N43" s="78"/>
      <c r="O43" s="78"/>
      <c r="P43" s="125"/>
      <c r="Q43" s="51"/>
      <c r="R43" s="51"/>
    </row>
    <row r="44" spans="1:19" x14ac:dyDescent="0.35">
      <c r="A44" s="6" t="s">
        <v>44</v>
      </c>
      <c r="B44" s="6" t="s">
        <v>174</v>
      </c>
      <c r="C44" s="6" t="s">
        <v>188</v>
      </c>
      <c r="D44" s="112">
        <v>91107</v>
      </c>
      <c r="E44" s="112">
        <v>94654</v>
      </c>
      <c r="F44" s="65">
        <v>0.19900000000000001</v>
      </c>
      <c r="G44" s="65">
        <v>0.156</v>
      </c>
      <c r="H44" s="65">
        <v>0.24299999999999999</v>
      </c>
      <c r="N44" s="78"/>
      <c r="O44" s="78"/>
      <c r="P44" s="125"/>
      <c r="Q44" s="51"/>
      <c r="R44" s="51"/>
    </row>
    <row r="45" spans="1:19" x14ac:dyDescent="0.35">
      <c r="A45" s="6" t="s">
        <v>44</v>
      </c>
      <c r="B45" s="6" t="s">
        <v>174</v>
      </c>
      <c r="C45" s="6" t="s">
        <v>189</v>
      </c>
      <c r="D45" s="112">
        <v>91201</v>
      </c>
      <c r="E45" s="112">
        <v>115205</v>
      </c>
      <c r="F45" s="65">
        <v>-1.4E-2</v>
      </c>
      <c r="G45" s="65">
        <v>-3.2000000000000001E-2</v>
      </c>
      <c r="H45" s="65">
        <v>4.0000000000000001E-3</v>
      </c>
      <c r="N45" s="78"/>
      <c r="O45" s="78"/>
      <c r="P45" s="125"/>
      <c r="Q45" s="51"/>
      <c r="R45" s="51"/>
    </row>
    <row r="46" spans="1:19" x14ac:dyDescent="0.35">
      <c r="A46" s="6" t="s">
        <v>44</v>
      </c>
      <c r="B46" s="6" t="s">
        <v>174</v>
      </c>
      <c r="C46" s="6" t="s">
        <v>255</v>
      </c>
      <c r="D46" s="112">
        <v>71813</v>
      </c>
      <c r="E46" s="112">
        <v>79957</v>
      </c>
      <c r="F46" s="65">
        <v>1.2999999999999999E-2</v>
      </c>
      <c r="G46" s="65">
        <v>-8.0000000000000002E-3</v>
      </c>
      <c r="H46" s="65">
        <v>3.4000000000000002E-2</v>
      </c>
      <c r="O46" s="78"/>
      <c r="P46" s="78"/>
      <c r="Q46" s="125"/>
      <c r="R46" s="51"/>
      <c r="S46" s="51"/>
    </row>
    <row r="47" spans="1:19" x14ac:dyDescent="0.35">
      <c r="A47" s="6" t="s">
        <v>44</v>
      </c>
      <c r="B47" s="6" t="s">
        <v>174</v>
      </c>
      <c r="C47" s="6" t="s">
        <v>191</v>
      </c>
      <c r="D47" s="112">
        <v>69181</v>
      </c>
      <c r="E47" s="112">
        <v>69657</v>
      </c>
      <c r="F47" s="65">
        <v>8.0000000000000002E-3</v>
      </c>
      <c r="G47" s="65">
        <v>-3.5000000000000003E-2</v>
      </c>
      <c r="H47" s="65">
        <v>5.2999999999999999E-2</v>
      </c>
      <c r="O47" s="78"/>
      <c r="P47" s="78"/>
      <c r="Q47" s="125"/>
      <c r="R47" s="51"/>
      <c r="S47" s="51"/>
    </row>
    <row r="48" spans="1:19" x14ac:dyDescent="0.35">
      <c r="A48" s="6" t="s">
        <v>44</v>
      </c>
      <c r="B48" s="6" t="s">
        <v>174</v>
      </c>
      <c r="C48" s="6" t="s">
        <v>166</v>
      </c>
      <c r="D48" s="112">
        <v>91580</v>
      </c>
      <c r="E48" s="112">
        <v>94434</v>
      </c>
      <c r="F48" s="65">
        <v>-0.03</v>
      </c>
      <c r="G48" s="65">
        <v>-6.2E-2</v>
      </c>
      <c r="H48" s="65">
        <v>2E-3</v>
      </c>
      <c r="O48" s="78"/>
      <c r="P48" s="78"/>
      <c r="Q48" s="125"/>
      <c r="R48" s="51"/>
      <c r="S48" s="51"/>
    </row>
    <row r="49" spans="1:8" x14ac:dyDescent="0.35">
      <c r="A49" s="6" t="s">
        <v>44</v>
      </c>
      <c r="B49" s="6" t="s">
        <v>174</v>
      </c>
      <c r="C49" s="6" t="s">
        <v>256</v>
      </c>
      <c r="D49" s="112">
        <v>64197</v>
      </c>
      <c r="E49" s="112">
        <v>72350</v>
      </c>
      <c r="F49" s="65">
        <v>-0.06</v>
      </c>
      <c r="G49" s="65">
        <v>-9.0999999999999998E-2</v>
      </c>
      <c r="H49" s="65">
        <v>-2.7E-2</v>
      </c>
    </row>
    <row r="50" spans="1:8" x14ac:dyDescent="0.35">
      <c r="A50" s="6" t="s">
        <v>44</v>
      </c>
      <c r="B50" s="6" t="s">
        <v>174</v>
      </c>
      <c r="C50" s="6" t="s">
        <v>168</v>
      </c>
      <c r="D50" s="112">
        <v>96816</v>
      </c>
      <c r="E50" s="112">
        <v>113108</v>
      </c>
      <c r="F50" s="65">
        <v>2.5999999999999999E-2</v>
      </c>
      <c r="G50" s="65">
        <v>-3.2000000000000001E-2</v>
      </c>
      <c r="H50" s="65">
        <v>8.5000000000000006E-2</v>
      </c>
    </row>
    <row r="51" spans="1:8" x14ac:dyDescent="0.35">
      <c r="A51" s="6" t="s">
        <v>44</v>
      </c>
      <c r="B51" s="6" t="s">
        <v>174</v>
      </c>
      <c r="C51" s="6" t="s">
        <v>257</v>
      </c>
      <c r="D51" s="112">
        <v>60184</v>
      </c>
      <c r="E51" s="112">
        <v>67334</v>
      </c>
      <c r="F51" s="65">
        <v>-4.7E-2</v>
      </c>
      <c r="G51" s="65">
        <v>-9.8000000000000004E-2</v>
      </c>
      <c r="H51" s="65">
        <v>7.0000000000000001E-3</v>
      </c>
    </row>
    <row r="52" spans="1:8" x14ac:dyDescent="0.35">
      <c r="A52" s="6" t="s">
        <v>44</v>
      </c>
      <c r="B52" s="6" t="s">
        <v>174</v>
      </c>
      <c r="C52" s="6" t="s">
        <v>175</v>
      </c>
      <c r="D52" s="112">
        <v>69367</v>
      </c>
      <c r="E52" s="112">
        <v>82939</v>
      </c>
      <c r="F52" s="65">
        <v>-2.4E-2</v>
      </c>
      <c r="G52" s="65">
        <v>-5.0999999999999997E-2</v>
      </c>
      <c r="H52" s="65">
        <v>4.0000000000000001E-3</v>
      </c>
    </row>
    <row r="53" spans="1:8" x14ac:dyDescent="0.35">
      <c r="A53" s="6" t="s">
        <v>44</v>
      </c>
      <c r="B53" s="6" t="s">
        <v>176</v>
      </c>
      <c r="C53" s="6" t="s">
        <v>252</v>
      </c>
      <c r="D53" s="112">
        <v>142673</v>
      </c>
      <c r="E53" s="112">
        <v>150929</v>
      </c>
      <c r="F53" s="65">
        <v>-0.03</v>
      </c>
      <c r="G53" s="65">
        <v>-5.0999999999999997E-2</v>
      </c>
      <c r="H53" s="65">
        <v>-8.0000000000000002E-3</v>
      </c>
    </row>
    <row r="54" spans="1:8" x14ac:dyDescent="0.35">
      <c r="A54" s="6" t="s">
        <v>44</v>
      </c>
      <c r="B54" s="6" t="s">
        <v>176</v>
      </c>
      <c r="C54" s="6" t="s">
        <v>258</v>
      </c>
      <c r="D54" s="112">
        <v>124168</v>
      </c>
      <c r="E54" s="112">
        <v>111121</v>
      </c>
      <c r="F54" s="65">
        <v>-1.2E-2</v>
      </c>
      <c r="G54" s="65">
        <v>-7.0999999999999994E-2</v>
      </c>
      <c r="H54" s="65">
        <v>5.0999999999999997E-2</v>
      </c>
    </row>
    <row r="55" spans="1:8" x14ac:dyDescent="0.35">
      <c r="A55" s="6" t="s">
        <v>44</v>
      </c>
      <c r="B55" s="6" t="s">
        <v>176</v>
      </c>
      <c r="C55" s="6" t="s">
        <v>259</v>
      </c>
      <c r="D55" s="112">
        <v>116214</v>
      </c>
      <c r="E55" s="112">
        <v>122097</v>
      </c>
      <c r="F55" s="65">
        <v>9.8000000000000004E-2</v>
      </c>
      <c r="G55" s="65">
        <v>6.7000000000000004E-2</v>
      </c>
      <c r="H55" s="65">
        <v>0.129</v>
      </c>
    </row>
    <row r="56" spans="1:8" x14ac:dyDescent="0.35">
      <c r="A56" s="6" t="s">
        <v>44</v>
      </c>
      <c r="B56" s="6" t="s">
        <v>176</v>
      </c>
      <c r="C56" s="6" t="s">
        <v>182</v>
      </c>
      <c r="D56" s="112">
        <v>133677</v>
      </c>
      <c r="E56" s="112">
        <v>149132</v>
      </c>
      <c r="F56" s="65">
        <v>0.22900000000000001</v>
      </c>
      <c r="G56" s="65">
        <v>0.17299999999999999</v>
      </c>
      <c r="H56" s="65">
        <v>0.28699999999999998</v>
      </c>
    </row>
    <row r="57" spans="1:8" x14ac:dyDescent="0.35">
      <c r="A57" s="6" t="s">
        <v>44</v>
      </c>
      <c r="B57" s="6" t="s">
        <v>176</v>
      </c>
      <c r="C57" s="6" t="s">
        <v>260</v>
      </c>
      <c r="D57" s="112">
        <v>62974</v>
      </c>
      <c r="E57" s="112">
        <v>61845</v>
      </c>
      <c r="F57" s="65">
        <v>0.104</v>
      </c>
      <c r="G57" s="65">
        <v>-0.33800000000000002</v>
      </c>
      <c r="H57" s="65">
        <v>0.54900000000000004</v>
      </c>
    </row>
    <row r="58" spans="1:8" x14ac:dyDescent="0.35">
      <c r="A58" s="6" t="s">
        <v>44</v>
      </c>
      <c r="B58" s="6" t="s">
        <v>176</v>
      </c>
      <c r="C58" s="6" t="s">
        <v>253</v>
      </c>
      <c r="D58" s="112">
        <v>112126</v>
      </c>
      <c r="E58" s="112">
        <v>116056</v>
      </c>
      <c r="F58" s="65">
        <v>7.0000000000000001E-3</v>
      </c>
      <c r="G58" s="65">
        <v>-3.7999999999999999E-2</v>
      </c>
      <c r="H58" s="65">
        <v>5.5E-2</v>
      </c>
    </row>
    <row r="59" spans="1:8" x14ac:dyDescent="0.35">
      <c r="A59" s="6" t="s">
        <v>44</v>
      </c>
      <c r="B59" s="6" t="s">
        <v>176</v>
      </c>
      <c r="C59" s="6" t="s">
        <v>261</v>
      </c>
      <c r="D59" s="112">
        <v>65731</v>
      </c>
      <c r="E59" s="112">
        <v>64297</v>
      </c>
      <c r="F59" s="65">
        <v>0.14899999999999999</v>
      </c>
      <c r="G59" s="65">
        <v>0.14199999999999999</v>
      </c>
      <c r="H59" s="65">
        <v>0.157</v>
      </c>
    </row>
    <row r="60" spans="1:8" x14ac:dyDescent="0.35">
      <c r="A60" s="6" t="s">
        <v>44</v>
      </c>
      <c r="B60" s="6" t="s">
        <v>176</v>
      </c>
      <c r="C60" s="6" t="s">
        <v>183</v>
      </c>
      <c r="D60" s="112">
        <v>73629</v>
      </c>
      <c r="E60" s="112">
        <v>77564</v>
      </c>
      <c r="F60" s="65">
        <v>0.18099999999999999</v>
      </c>
      <c r="G60" s="65">
        <v>0.14199999999999999</v>
      </c>
      <c r="H60" s="65">
        <v>0.222</v>
      </c>
    </row>
    <row r="61" spans="1:8" x14ac:dyDescent="0.35">
      <c r="A61" s="6" t="s">
        <v>44</v>
      </c>
      <c r="B61" s="6" t="s">
        <v>176</v>
      </c>
      <c r="C61" s="6" t="s">
        <v>262</v>
      </c>
      <c r="D61" s="112">
        <v>60377</v>
      </c>
      <c r="E61" s="112">
        <v>61887</v>
      </c>
      <c r="F61" s="65">
        <v>0.121</v>
      </c>
      <c r="G61" s="65">
        <v>8.5000000000000006E-2</v>
      </c>
      <c r="H61" s="65">
        <v>0.158</v>
      </c>
    </row>
    <row r="62" spans="1:8" x14ac:dyDescent="0.35">
      <c r="A62" s="6" t="s">
        <v>44</v>
      </c>
      <c r="B62" s="6" t="s">
        <v>178</v>
      </c>
      <c r="C62" s="6" t="s">
        <v>197</v>
      </c>
      <c r="D62" s="112">
        <v>103558</v>
      </c>
      <c r="E62" s="112">
        <v>120566</v>
      </c>
      <c r="F62" s="65">
        <v>6.6000000000000003E-2</v>
      </c>
      <c r="G62" s="65">
        <v>4.4999999999999998E-2</v>
      </c>
      <c r="H62" s="65">
        <v>8.6999999999999994E-2</v>
      </c>
    </row>
    <row r="63" spans="1:8" x14ac:dyDescent="0.35">
      <c r="A63" s="6" t="s">
        <v>44</v>
      </c>
      <c r="B63" s="6" t="s">
        <v>178</v>
      </c>
      <c r="C63" s="6" t="s">
        <v>263</v>
      </c>
      <c r="D63" s="112">
        <v>79703</v>
      </c>
      <c r="E63" s="112">
        <v>86317</v>
      </c>
      <c r="F63" s="65">
        <v>-5.5E-2</v>
      </c>
      <c r="G63" s="65">
        <v>-7.3999999999999996E-2</v>
      </c>
      <c r="H63" s="65">
        <v>-3.5999999999999997E-2</v>
      </c>
    </row>
    <row r="64" spans="1:8" x14ac:dyDescent="0.35">
      <c r="A64" s="6" t="s">
        <v>44</v>
      </c>
      <c r="B64" s="6" t="s">
        <v>178</v>
      </c>
      <c r="C64" s="6" t="s">
        <v>264</v>
      </c>
      <c r="D64" s="112">
        <v>100847</v>
      </c>
      <c r="E64" s="112">
        <v>103184</v>
      </c>
      <c r="F64" s="65">
        <v>0.13800000000000001</v>
      </c>
      <c r="G64" s="65">
        <v>9.7000000000000003E-2</v>
      </c>
      <c r="H64" s="65">
        <v>0.18099999999999999</v>
      </c>
    </row>
    <row r="65" spans="1:8" x14ac:dyDescent="0.35">
      <c r="A65" s="6" t="s">
        <v>44</v>
      </c>
      <c r="B65" s="6" t="s">
        <v>178</v>
      </c>
      <c r="C65" s="6" t="s">
        <v>265</v>
      </c>
      <c r="D65" s="112">
        <v>166746</v>
      </c>
      <c r="E65" s="112">
        <v>177087</v>
      </c>
      <c r="F65" s="65">
        <v>1.2E-2</v>
      </c>
      <c r="G65" s="65">
        <v>-7.0000000000000001E-3</v>
      </c>
      <c r="H65" s="65">
        <v>3.1E-2</v>
      </c>
    </row>
    <row r="66" spans="1:8" x14ac:dyDescent="0.35">
      <c r="A66" s="6" t="s">
        <v>44</v>
      </c>
      <c r="B66" s="6" t="s">
        <v>178</v>
      </c>
      <c r="C66" s="6" t="s">
        <v>266</v>
      </c>
      <c r="D66" s="112">
        <v>287250</v>
      </c>
      <c r="E66" s="112">
        <v>299638</v>
      </c>
      <c r="F66" s="65">
        <v>-5.7000000000000002E-2</v>
      </c>
      <c r="G66" s="65">
        <v>-7.1999999999999995E-2</v>
      </c>
      <c r="H66" s="65">
        <v>-4.2999999999999997E-2</v>
      </c>
    </row>
    <row r="67" spans="1:8" x14ac:dyDescent="0.35">
      <c r="A67" s="6" t="s">
        <v>44</v>
      </c>
      <c r="B67" s="6" t="s">
        <v>178</v>
      </c>
      <c r="C67" s="6" t="s">
        <v>267</v>
      </c>
      <c r="D67" s="112">
        <v>211021</v>
      </c>
      <c r="E67" s="112">
        <v>231276</v>
      </c>
      <c r="F67" s="65">
        <v>3.0000000000000001E-3</v>
      </c>
      <c r="G67" s="65">
        <v>-6.0000000000000001E-3</v>
      </c>
      <c r="H67" s="65">
        <v>1.2E-2</v>
      </c>
    </row>
    <row r="68" spans="1:8" x14ac:dyDescent="0.35">
      <c r="A68" s="6" t="s">
        <v>44</v>
      </c>
      <c r="B68" s="6" t="s">
        <v>178</v>
      </c>
      <c r="C68" s="6" t="s">
        <v>268</v>
      </c>
      <c r="D68" s="112">
        <v>492204</v>
      </c>
      <c r="E68" s="112">
        <v>508093</v>
      </c>
      <c r="F68" s="65">
        <v>6.8000000000000005E-2</v>
      </c>
      <c r="G68" s="65">
        <v>0.05</v>
      </c>
      <c r="H68" s="65">
        <v>8.5999999999999993E-2</v>
      </c>
    </row>
    <row r="69" spans="1:8" x14ac:dyDescent="0.35">
      <c r="A69" s="6" t="s">
        <v>44</v>
      </c>
      <c r="B69" s="6" t="s">
        <v>178</v>
      </c>
      <c r="C69" s="6" t="s">
        <v>194</v>
      </c>
      <c r="D69" s="112">
        <v>153746</v>
      </c>
      <c r="E69" s="112">
        <v>182495</v>
      </c>
      <c r="F69" s="65">
        <v>4.8000000000000001E-2</v>
      </c>
      <c r="G69" s="65">
        <v>2.5000000000000001E-2</v>
      </c>
      <c r="H69" s="65">
        <v>7.1999999999999995E-2</v>
      </c>
    </row>
    <row r="70" spans="1:8" x14ac:dyDescent="0.35">
      <c r="A70" s="6" t="s">
        <v>44</v>
      </c>
      <c r="B70" s="6" t="s">
        <v>178</v>
      </c>
      <c r="C70" s="6" t="s">
        <v>196</v>
      </c>
      <c r="D70" s="112">
        <v>126460</v>
      </c>
      <c r="E70" s="112">
        <v>146961</v>
      </c>
      <c r="F70" s="65">
        <v>-5.5E-2</v>
      </c>
      <c r="G70" s="65">
        <v>-8.8999999999999996E-2</v>
      </c>
      <c r="H70" s="65">
        <v>-0.02</v>
      </c>
    </row>
    <row r="71" spans="1:8" x14ac:dyDescent="0.35">
      <c r="A71" s="6" t="s">
        <v>44</v>
      </c>
      <c r="B71" s="6" t="s">
        <v>178</v>
      </c>
      <c r="C71" s="6" t="s">
        <v>199</v>
      </c>
      <c r="D71" s="112">
        <v>70565</v>
      </c>
      <c r="E71" s="112">
        <v>76795</v>
      </c>
      <c r="F71" s="65">
        <v>2.5000000000000001E-2</v>
      </c>
      <c r="G71" s="65">
        <v>-1.4E-2</v>
      </c>
      <c r="H71" s="65">
        <v>6.6000000000000003E-2</v>
      </c>
    </row>
    <row r="72" spans="1:8" x14ac:dyDescent="0.35">
      <c r="A72" s="6" t="s">
        <v>44</v>
      </c>
      <c r="B72" s="6" t="s">
        <v>178</v>
      </c>
      <c r="C72" s="6" t="s">
        <v>195</v>
      </c>
      <c r="D72" s="112">
        <v>130280</v>
      </c>
      <c r="E72" s="112">
        <v>131655</v>
      </c>
      <c r="F72" s="65">
        <v>-1.6E-2</v>
      </c>
      <c r="G72" s="65">
        <v>-4.9000000000000002E-2</v>
      </c>
      <c r="H72" s="65">
        <v>1.7999999999999999E-2</v>
      </c>
    </row>
    <row r="73" spans="1:8" x14ac:dyDescent="0.35">
      <c r="A73" s="6" t="s">
        <v>44</v>
      </c>
      <c r="B73" s="6" t="s">
        <v>178</v>
      </c>
      <c r="C73" s="6" t="s">
        <v>269</v>
      </c>
      <c r="D73" s="112">
        <v>113859</v>
      </c>
      <c r="E73" s="112">
        <v>121819</v>
      </c>
      <c r="F73" s="65">
        <v>-3.4000000000000002E-2</v>
      </c>
      <c r="G73" s="65">
        <v>-5.6000000000000001E-2</v>
      </c>
      <c r="H73" s="65">
        <v>-1.2E-2</v>
      </c>
    </row>
    <row r="74" spans="1:8" x14ac:dyDescent="0.35">
      <c r="A74" s="6" t="s">
        <v>44</v>
      </c>
      <c r="B74" s="6" t="s">
        <v>178</v>
      </c>
      <c r="C74" s="6" t="s">
        <v>198</v>
      </c>
      <c r="D74" s="112">
        <v>71632</v>
      </c>
      <c r="E74" s="112">
        <v>78956</v>
      </c>
      <c r="F74" s="65">
        <v>0.107</v>
      </c>
      <c r="G74" s="65">
        <v>6.9000000000000006E-2</v>
      </c>
      <c r="H74" s="65">
        <v>0.14599999999999999</v>
      </c>
    </row>
    <row r="75" spans="1:8" x14ac:dyDescent="0.35">
      <c r="A75" s="6" t="s">
        <v>44</v>
      </c>
      <c r="B75" s="6" t="s">
        <v>178</v>
      </c>
      <c r="C75" s="6" t="s">
        <v>270</v>
      </c>
      <c r="D75" s="112">
        <v>391064</v>
      </c>
      <c r="E75" s="112">
        <v>422260</v>
      </c>
      <c r="F75" s="65">
        <v>3.3000000000000002E-2</v>
      </c>
      <c r="G75" s="65">
        <v>6.0000000000000001E-3</v>
      </c>
      <c r="H75" s="65">
        <v>6.0999999999999999E-2</v>
      </c>
    </row>
    <row r="76" spans="1:8" x14ac:dyDescent="0.35">
      <c r="A76" s="6" t="s">
        <v>44</v>
      </c>
      <c r="B76" s="6" t="s">
        <v>178</v>
      </c>
      <c r="C76" s="6" t="s">
        <v>193</v>
      </c>
      <c r="D76" s="112">
        <v>538889</v>
      </c>
      <c r="E76" s="112">
        <v>612704</v>
      </c>
      <c r="F76" s="65">
        <v>-6.0000000000000001E-3</v>
      </c>
      <c r="G76" s="65">
        <v>-2.5000000000000001E-2</v>
      </c>
      <c r="H76" s="65">
        <v>1.2999999999999999E-2</v>
      </c>
    </row>
    <row r="77" spans="1:8" x14ac:dyDescent="0.35">
      <c r="A77" s="6" t="s">
        <v>12</v>
      </c>
      <c r="B77" s="6" t="s">
        <v>12</v>
      </c>
      <c r="C77" s="6" t="s">
        <v>251</v>
      </c>
      <c r="D77" s="112">
        <v>66932</v>
      </c>
      <c r="E77" s="112">
        <v>84933</v>
      </c>
      <c r="F77" s="65">
        <v>8.2000000000000003E-2</v>
      </c>
      <c r="G77" s="65">
        <v>5.8999999999999997E-2</v>
      </c>
      <c r="H77" s="65">
        <v>0.105</v>
      </c>
    </row>
    <row r="78" spans="1:8" x14ac:dyDescent="0.35">
      <c r="A78" s="6" t="s">
        <v>12</v>
      </c>
      <c r="B78" s="6" t="s">
        <v>12</v>
      </c>
      <c r="C78" s="6" t="s">
        <v>224</v>
      </c>
      <c r="D78" s="112">
        <v>801837</v>
      </c>
      <c r="E78" s="112">
        <v>810768</v>
      </c>
      <c r="F78" s="65">
        <v>7.8E-2</v>
      </c>
      <c r="G78" s="65">
        <v>7.0000000000000007E-2</v>
      </c>
      <c r="H78" s="65">
        <v>8.5000000000000006E-2</v>
      </c>
    </row>
    <row r="79" spans="1:8" x14ac:dyDescent="0.35">
      <c r="A79" s="6" t="s">
        <v>12</v>
      </c>
      <c r="B79" s="6" t="s">
        <v>12</v>
      </c>
      <c r="C79" s="6" t="s">
        <v>167</v>
      </c>
      <c r="D79" s="112">
        <v>254022</v>
      </c>
      <c r="E79" s="112">
        <v>268337</v>
      </c>
      <c r="F79" s="65">
        <v>0.05</v>
      </c>
      <c r="G79" s="65">
        <v>3.7999999999999999E-2</v>
      </c>
      <c r="H79" s="65">
        <v>6.2E-2</v>
      </c>
    </row>
    <row r="80" spans="1:8" x14ac:dyDescent="0.35">
      <c r="A80" s="6" t="s">
        <v>12</v>
      </c>
      <c r="B80" s="6" t="s">
        <v>12</v>
      </c>
      <c r="C80" s="6" t="s">
        <v>249</v>
      </c>
      <c r="D80" s="112">
        <v>154923</v>
      </c>
      <c r="E80" s="112">
        <v>184739</v>
      </c>
      <c r="F80" s="65">
        <v>-0.14899999999999999</v>
      </c>
      <c r="G80" s="65">
        <v>-0.16200000000000001</v>
      </c>
      <c r="H80" s="65">
        <v>-0.13700000000000001</v>
      </c>
    </row>
    <row r="81" spans="1:8" x14ac:dyDescent="0.35">
      <c r="A81" s="6" t="s">
        <v>12</v>
      </c>
      <c r="B81" s="6" t="s">
        <v>12</v>
      </c>
      <c r="C81" s="6" t="s">
        <v>166</v>
      </c>
      <c r="D81" s="112">
        <v>156060</v>
      </c>
      <c r="E81" s="112">
        <v>90496</v>
      </c>
      <c r="F81" s="65">
        <v>-7.0000000000000007E-2</v>
      </c>
      <c r="G81" s="65">
        <v>-8.7999999999999995E-2</v>
      </c>
      <c r="H81" s="65">
        <v>-5.1999999999999998E-2</v>
      </c>
    </row>
    <row r="82" spans="1:8" x14ac:dyDescent="0.35">
      <c r="A82" s="6" t="s">
        <v>12</v>
      </c>
      <c r="B82" s="6" t="s">
        <v>12</v>
      </c>
      <c r="C82" s="6" t="s">
        <v>169</v>
      </c>
      <c r="D82" s="112">
        <v>178790</v>
      </c>
      <c r="E82" s="112">
        <v>206492</v>
      </c>
      <c r="F82" s="65">
        <v>6.0000000000000001E-3</v>
      </c>
      <c r="G82" s="65">
        <v>-8.9999999999999993E-3</v>
      </c>
      <c r="H82" s="65">
        <v>2.1999999999999999E-2</v>
      </c>
    </row>
    <row r="83" spans="1:8" x14ac:dyDescent="0.35">
      <c r="A83" s="6" t="s">
        <v>12</v>
      </c>
      <c r="B83" s="6" t="s">
        <v>12</v>
      </c>
      <c r="C83" s="6" t="s">
        <v>168</v>
      </c>
      <c r="D83" s="112">
        <v>132014</v>
      </c>
      <c r="E83" s="112">
        <v>107937</v>
      </c>
      <c r="F83" s="65">
        <v>0</v>
      </c>
      <c r="G83" s="65">
        <v>-1.7999999999999999E-2</v>
      </c>
      <c r="H83" s="65">
        <v>1.9E-2</v>
      </c>
    </row>
    <row r="84" spans="1:8" x14ac:dyDescent="0.35">
      <c r="A84" s="6" t="s">
        <v>12</v>
      </c>
      <c r="B84" s="6" t="s">
        <v>12</v>
      </c>
      <c r="C84" s="6" t="s">
        <v>271</v>
      </c>
      <c r="D84" s="112">
        <v>500389</v>
      </c>
      <c r="E84" s="112">
        <v>535314</v>
      </c>
      <c r="F84" s="65">
        <v>6.9000000000000006E-2</v>
      </c>
      <c r="G84" s="65">
        <v>5.6000000000000001E-2</v>
      </c>
      <c r="H84" s="65">
        <v>8.1000000000000003E-2</v>
      </c>
    </row>
    <row r="85" spans="1:8" x14ac:dyDescent="0.35">
      <c r="A85" s="6" t="s">
        <v>12</v>
      </c>
      <c r="B85" s="6" t="s">
        <v>12</v>
      </c>
      <c r="C85" s="6" t="s">
        <v>170</v>
      </c>
      <c r="D85" s="112">
        <v>114036</v>
      </c>
      <c r="E85" s="112">
        <v>117657</v>
      </c>
      <c r="F85" s="65">
        <v>4.2000000000000003E-2</v>
      </c>
      <c r="G85" s="65">
        <v>2.1999999999999999E-2</v>
      </c>
      <c r="H85" s="65">
        <v>6.2E-2</v>
      </c>
    </row>
    <row r="86" spans="1:8" x14ac:dyDescent="0.35">
      <c r="A86" s="6" t="s">
        <v>12</v>
      </c>
      <c r="B86" s="6" t="s">
        <v>12</v>
      </c>
      <c r="C86" s="6" t="s">
        <v>173</v>
      </c>
      <c r="D86" s="112">
        <v>90172</v>
      </c>
      <c r="E86" s="112">
        <v>95435</v>
      </c>
      <c r="F86" s="65">
        <v>1.2999999999999999E-2</v>
      </c>
      <c r="G86" s="65">
        <v>-0.01</v>
      </c>
      <c r="H86" s="65">
        <v>3.6999999999999998E-2</v>
      </c>
    </row>
    <row r="87" spans="1:8" x14ac:dyDescent="0.35">
      <c r="A87" s="6" t="s">
        <v>12</v>
      </c>
      <c r="B87" s="6" t="s">
        <v>12</v>
      </c>
      <c r="C87" s="6" t="s">
        <v>250</v>
      </c>
      <c r="D87" s="112">
        <v>150064</v>
      </c>
      <c r="E87" s="112">
        <v>159440</v>
      </c>
      <c r="F87" s="65">
        <v>5.0999999999999997E-2</v>
      </c>
      <c r="G87" s="65">
        <v>3.6999999999999998E-2</v>
      </c>
      <c r="H87" s="65">
        <v>6.6000000000000003E-2</v>
      </c>
    </row>
    <row r="88" spans="1:8" x14ac:dyDescent="0.35">
      <c r="A88" s="6" t="s">
        <v>12</v>
      </c>
      <c r="B88" s="6" t="s">
        <v>12</v>
      </c>
      <c r="C88" s="6" t="s">
        <v>172</v>
      </c>
      <c r="D88" s="112">
        <v>71113</v>
      </c>
      <c r="E88" s="112">
        <v>73589</v>
      </c>
      <c r="F88" s="65">
        <v>6.4000000000000001E-2</v>
      </c>
      <c r="G88" s="65">
        <v>3.7999999999999999E-2</v>
      </c>
      <c r="H88" s="65">
        <v>0.09</v>
      </c>
    </row>
    <row r="89" spans="1:8" x14ac:dyDescent="0.35">
      <c r="A89" s="6" t="s">
        <v>12</v>
      </c>
      <c r="B89" s="6" t="s">
        <v>12</v>
      </c>
      <c r="C89" s="6" t="s">
        <v>179</v>
      </c>
      <c r="D89" s="112">
        <v>89305</v>
      </c>
      <c r="E89" s="112">
        <v>93146</v>
      </c>
      <c r="F89" s="65">
        <v>7.6999999999999999E-2</v>
      </c>
      <c r="G89" s="65">
        <v>5.3999999999999999E-2</v>
      </c>
      <c r="H89" s="65">
        <v>0.1</v>
      </c>
    </row>
  </sheetData>
  <conditionalFormatting sqref="C45">
    <cfRule type="expression" dxfId="0" priority="1">
      <formula>I45&gt;0.034</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0A338-7CA4-463C-9C6D-4A4F29E5B4A1}">
  <sheetPr>
    <tabColor theme="5" tint="0.79998168889431442"/>
  </sheetPr>
  <dimension ref="A1:G26"/>
  <sheetViews>
    <sheetView workbookViewId="0"/>
  </sheetViews>
  <sheetFormatPr defaultRowHeight="14.5" x14ac:dyDescent="0.35"/>
  <cols>
    <col min="1" max="1" width="39.81640625" customWidth="1"/>
    <col min="2" max="3" width="23" bestFit="1" customWidth="1"/>
    <col min="4" max="4" width="7.453125" customWidth="1"/>
    <col min="5" max="5" width="40.453125" customWidth="1"/>
    <col min="6" max="7" width="10.7265625" customWidth="1"/>
  </cols>
  <sheetData>
    <row r="1" spans="1:7" ht="18.5" x14ac:dyDescent="0.45">
      <c r="A1" s="1" t="s">
        <v>364</v>
      </c>
    </row>
    <row r="2" spans="1:7" ht="15.5" x14ac:dyDescent="0.35">
      <c r="A2" s="2" t="s">
        <v>205</v>
      </c>
    </row>
    <row r="3" spans="1:7" ht="15.5" x14ac:dyDescent="0.35">
      <c r="A3" s="4" t="s">
        <v>206</v>
      </c>
    </row>
    <row r="4" spans="1:7" s="77" customFormat="1" ht="15.5" x14ac:dyDescent="0.35">
      <c r="A4" s="4"/>
    </row>
    <row r="5" spans="1:7" x14ac:dyDescent="0.35">
      <c r="A5" s="33" t="s">
        <v>25</v>
      </c>
      <c r="F5" s="139"/>
      <c r="G5" s="139"/>
    </row>
    <row r="6" spans="1:7" x14ac:dyDescent="0.35">
      <c r="A6" s="108" t="s">
        <v>13</v>
      </c>
      <c r="B6" s="108" t="s">
        <v>148</v>
      </c>
      <c r="C6" s="108" t="s">
        <v>219</v>
      </c>
      <c r="E6" s="6"/>
      <c r="F6" s="114" t="s">
        <v>208</v>
      </c>
      <c r="G6" s="114" t="s">
        <v>220</v>
      </c>
    </row>
    <row r="7" spans="1:7" x14ac:dyDescent="0.35">
      <c r="A7" s="6" t="s">
        <v>222</v>
      </c>
      <c r="B7" s="112">
        <v>435876</v>
      </c>
      <c r="C7" s="112">
        <v>457795</v>
      </c>
      <c r="E7" s="42" t="s">
        <v>207</v>
      </c>
      <c r="F7" s="66">
        <f>B26/(B17+B26)</f>
        <v>0.14149096067124553</v>
      </c>
      <c r="G7" s="66">
        <f>C26/(C17+C26)</f>
        <v>0.14006578945946244</v>
      </c>
    </row>
    <row r="8" spans="1:7" x14ac:dyDescent="0.35">
      <c r="A8" s="6" t="s">
        <v>17</v>
      </c>
      <c r="B8" s="112">
        <v>659222</v>
      </c>
      <c r="C8" s="112">
        <v>699707</v>
      </c>
    </row>
    <row r="9" spans="1:7" x14ac:dyDescent="0.35">
      <c r="A9" s="6" t="s">
        <v>223</v>
      </c>
      <c r="B9" s="112">
        <v>133782</v>
      </c>
      <c r="C9" s="112">
        <v>103257</v>
      </c>
    </row>
    <row r="10" spans="1:7" x14ac:dyDescent="0.35">
      <c r="A10" s="6" t="s">
        <v>224</v>
      </c>
      <c r="B10" s="112">
        <v>4244416</v>
      </c>
      <c r="C10" s="112">
        <v>4209603</v>
      </c>
    </row>
    <row r="11" spans="1:7" x14ac:dyDescent="0.35">
      <c r="A11" s="6" t="s">
        <v>159</v>
      </c>
      <c r="B11" s="112">
        <v>2048744</v>
      </c>
      <c r="C11" s="112">
        <v>2045707</v>
      </c>
    </row>
    <row r="12" spans="1:7" x14ac:dyDescent="0.35">
      <c r="A12" s="6" t="s">
        <v>156</v>
      </c>
      <c r="B12" s="112">
        <v>3860309</v>
      </c>
      <c r="C12" s="112">
        <v>3779635</v>
      </c>
    </row>
    <row r="13" spans="1:7" x14ac:dyDescent="0.35">
      <c r="A13" s="6" t="s">
        <v>226</v>
      </c>
      <c r="B13" s="112">
        <v>1699187</v>
      </c>
      <c r="C13" s="112">
        <v>1674243</v>
      </c>
    </row>
    <row r="14" spans="1:7" x14ac:dyDescent="0.35">
      <c r="A14" s="6" t="s">
        <v>233</v>
      </c>
      <c r="B14" s="112">
        <v>2209180</v>
      </c>
      <c r="C14" s="112">
        <v>2243682</v>
      </c>
    </row>
    <row r="15" spans="1:7" x14ac:dyDescent="0.35">
      <c r="A15" s="6" t="s">
        <v>338</v>
      </c>
      <c r="B15" s="112">
        <v>27276</v>
      </c>
      <c r="C15" s="112">
        <v>18570</v>
      </c>
    </row>
    <row r="16" spans="1:7" x14ac:dyDescent="0.35">
      <c r="A16" s="6" t="s">
        <v>229</v>
      </c>
      <c r="B16" s="112">
        <v>639780</v>
      </c>
      <c r="C16" s="112">
        <v>679917</v>
      </c>
    </row>
    <row r="17" spans="1:3" s="77" customFormat="1" x14ac:dyDescent="0.35">
      <c r="A17" s="105" t="s">
        <v>15</v>
      </c>
      <c r="B17" s="113">
        <f>SUM(B7:B16)</f>
        <v>15957772</v>
      </c>
      <c r="C17" s="113">
        <f>SUM(C7:C16)</f>
        <v>15912116</v>
      </c>
    </row>
    <row r="18" spans="1:3" x14ac:dyDescent="0.35">
      <c r="A18" s="115"/>
      <c r="B18" s="116"/>
      <c r="C18" s="116"/>
    </row>
    <row r="20" spans="1:3" x14ac:dyDescent="0.35">
      <c r="A20" s="33" t="s">
        <v>24</v>
      </c>
    </row>
    <row r="21" spans="1:3" x14ac:dyDescent="0.35">
      <c r="A21" s="108" t="s">
        <v>13</v>
      </c>
      <c r="B21" s="108" t="s">
        <v>148</v>
      </c>
      <c r="C21" s="108" t="s">
        <v>219</v>
      </c>
    </row>
    <row r="22" spans="1:3" s="77" customFormat="1" x14ac:dyDescent="0.35">
      <c r="A22" s="6" t="s">
        <v>222</v>
      </c>
      <c r="B22" s="112">
        <v>708055</v>
      </c>
      <c r="C22" s="112">
        <v>692100</v>
      </c>
    </row>
    <row r="23" spans="1:3" x14ac:dyDescent="0.35">
      <c r="A23" s="6" t="s">
        <v>17</v>
      </c>
      <c r="B23" s="112">
        <v>186454</v>
      </c>
      <c r="C23" s="112">
        <v>331968</v>
      </c>
    </row>
    <row r="24" spans="1:3" x14ac:dyDescent="0.35">
      <c r="A24" s="6" t="s">
        <v>225</v>
      </c>
      <c r="B24" s="112">
        <v>471327</v>
      </c>
      <c r="C24" s="112">
        <v>466207</v>
      </c>
    </row>
    <row r="25" spans="1:3" x14ac:dyDescent="0.35">
      <c r="A25" s="6" t="s">
        <v>233</v>
      </c>
      <c r="B25" s="112">
        <v>1264166</v>
      </c>
      <c r="C25" s="112">
        <v>1101485</v>
      </c>
    </row>
    <row r="26" spans="1:3" x14ac:dyDescent="0.35">
      <c r="A26" s="105" t="s">
        <v>15</v>
      </c>
      <c r="B26" s="106">
        <f>SUM(B22:B25)</f>
        <v>2630002</v>
      </c>
      <c r="C26" s="106">
        <f>SUM(C22:C25)</f>
        <v>2591760</v>
      </c>
    </row>
  </sheetData>
  <mergeCells count="1">
    <mergeCell ref="F5:G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5F4FC-9079-4A4F-8028-8A366A9B71C7}">
  <sheetPr>
    <tabColor theme="5" tint="0.79998168889431442"/>
  </sheetPr>
  <dimension ref="A1:C84"/>
  <sheetViews>
    <sheetView workbookViewId="0">
      <selection activeCell="C10" sqref="C10"/>
    </sheetView>
  </sheetViews>
  <sheetFormatPr defaultColWidth="9.1796875" defaultRowHeight="14.5" x14ac:dyDescent="0.35"/>
  <cols>
    <col min="1" max="1" width="20.54296875" style="77" customWidth="1"/>
    <col min="2" max="2" width="39.453125" style="77" bestFit="1" customWidth="1"/>
    <col min="3" max="3" width="83" style="77" bestFit="1" customWidth="1"/>
    <col min="4" max="16384" width="9.1796875" style="77"/>
  </cols>
  <sheetData>
    <row r="1" spans="1:3" ht="18.5" x14ac:dyDescent="0.45">
      <c r="A1" s="27" t="s">
        <v>364</v>
      </c>
    </row>
    <row r="2" spans="1:3" ht="15.5" x14ac:dyDescent="0.35">
      <c r="A2" s="102" t="s">
        <v>272</v>
      </c>
    </row>
    <row r="4" spans="1:3" x14ac:dyDescent="0.35">
      <c r="A4" s="42" t="s">
        <v>273</v>
      </c>
      <c r="B4" s="42" t="s">
        <v>274</v>
      </c>
      <c r="C4" s="42" t="s">
        <v>275</v>
      </c>
    </row>
    <row r="5" spans="1:3" x14ac:dyDescent="0.35">
      <c r="A5" s="6" t="s">
        <v>276</v>
      </c>
      <c r="B5" s="6" t="s">
        <v>87</v>
      </c>
      <c r="C5" s="6" t="s">
        <v>87</v>
      </c>
    </row>
    <row r="6" spans="1:3" x14ac:dyDescent="0.35">
      <c r="A6" s="6" t="s">
        <v>276</v>
      </c>
      <c r="B6" s="6" t="s">
        <v>91</v>
      </c>
      <c r="C6" s="6" t="s">
        <v>91</v>
      </c>
    </row>
    <row r="7" spans="1:3" x14ac:dyDescent="0.35">
      <c r="A7" s="6" t="s">
        <v>276</v>
      </c>
      <c r="B7" s="6" t="s">
        <v>213</v>
      </c>
      <c r="C7" s="6" t="s">
        <v>277</v>
      </c>
    </row>
    <row r="8" spans="1:3" x14ac:dyDescent="0.35">
      <c r="A8" s="6" t="s">
        <v>276</v>
      </c>
      <c r="B8" s="6" t="s">
        <v>234</v>
      </c>
      <c r="C8" s="6" t="s">
        <v>88</v>
      </c>
    </row>
    <row r="9" spans="1:3" x14ac:dyDescent="0.35">
      <c r="A9" s="6" t="s">
        <v>276</v>
      </c>
      <c r="B9" s="6" t="s">
        <v>17</v>
      </c>
      <c r="C9" s="6" t="s">
        <v>278</v>
      </c>
    </row>
    <row r="10" spans="1:3" x14ac:dyDescent="0.35">
      <c r="A10" s="6" t="s">
        <v>276</v>
      </c>
      <c r="B10" s="6" t="s">
        <v>279</v>
      </c>
      <c r="C10" s="6" t="s">
        <v>280</v>
      </c>
    </row>
    <row r="11" spans="1:3" x14ac:dyDescent="0.35">
      <c r="A11" s="6" t="s">
        <v>276</v>
      </c>
      <c r="B11" s="6" t="s">
        <v>281</v>
      </c>
      <c r="C11" s="6" t="s">
        <v>92</v>
      </c>
    </row>
    <row r="12" spans="1:3" x14ac:dyDescent="0.35">
      <c r="A12" s="6" t="s">
        <v>276</v>
      </c>
      <c r="B12" s="6" t="s">
        <v>230</v>
      </c>
      <c r="C12" s="6" t="s">
        <v>282</v>
      </c>
    </row>
    <row r="13" spans="1:3" x14ac:dyDescent="0.35">
      <c r="A13" s="6" t="s">
        <v>276</v>
      </c>
      <c r="B13" s="6" t="s">
        <v>223</v>
      </c>
      <c r="C13" s="6" t="s">
        <v>283</v>
      </c>
    </row>
    <row r="14" spans="1:3" x14ac:dyDescent="0.35">
      <c r="A14" s="6" t="s">
        <v>276</v>
      </c>
      <c r="B14" s="6" t="s">
        <v>237</v>
      </c>
      <c r="C14" s="6" t="s">
        <v>89</v>
      </c>
    </row>
    <row r="15" spans="1:3" x14ac:dyDescent="0.35">
      <c r="A15" s="6" t="s">
        <v>276</v>
      </c>
      <c r="B15" s="6" t="s">
        <v>284</v>
      </c>
      <c r="C15" s="6" t="s">
        <v>93</v>
      </c>
    </row>
    <row r="16" spans="1:3" x14ac:dyDescent="0.35">
      <c r="A16" s="6" t="s">
        <v>276</v>
      </c>
      <c r="B16" s="6" t="s">
        <v>285</v>
      </c>
      <c r="C16" s="6" t="s">
        <v>286</v>
      </c>
    </row>
    <row r="17" spans="1:3" x14ac:dyDescent="0.35">
      <c r="A17" s="6" t="s">
        <v>276</v>
      </c>
      <c r="B17" s="6" t="s">
        <v>224</v>
      </c>
      <c r="C17" s="6" t="s">
        <v>287</v>
      </c>
    </row>
    <row r="18" spans="1:3" x14ac:dyDescent="0.35">
      <c r="A18" s="6" t="s">
        <v>276</v>
      </c>
      <c r="B18" s="6" t="s">
        <v>288</v>
      </c>
      <c r="C18" s="6" t="s">
        <v>69</v>
      </c>
    </row>
    <row r="19" spans="1:3" x14ac:dyDescent="0.35">
      <c r="A19" s="6" t="s">
        <v>276</v>
      </c>
      <c r="B19" s="6" t="s">
        <v>225</v>
      </c>
      <c r="C19" s="6" t="s">
        <v>289</v>
      </c>
    </row>
    <row r="20" spans="1:3" x14ac:dyDescent="0.35">
      <c r="A20" s="6" t="s">
        <v>276</v>
      </c>
      <c r="B20" s="6" t="s">
        <v>290</v>
      </c>
      <c r="C20" s="6" t="s">
        <v>291</v>
      </c>
    </row>
    <row r="21" spans="1:3" x14ac:dyDescent="0.35">
      <c r="A21" s="6" t="s">
        <v>276</v>
      </c>
      <c r="B21" s="6" t="s">
        <v>292</v>
      </c>
      <c r="C21" s="6" t="s">
        <v>293</v>
      </c>
    </row>
    <row r="22" spans="1:3" x14ac:dyDescent="0.35">
      <c r="A22" s="6" t="s">
        <v>276</v>
      </c>
      <c r="B22" s="6" t="s">
        <v>294</v>
      </c>
      <c r="C22" s="127" t="s">
        <v>295</v>
      </c>
    </row>
    <row r="23" spans="1:3" x14ac:dyDescent="0.35">
      <c r="A23" s="6" t="s">
        <v>276</v>
      </c>
      <c r="B23" s="6" t="s">
        <v>296</v>
      </c>
      <c r="C23" s="127" t="s">
        <v>297</v>
      </c>
    </row>
    <row r="24" spans="1:3" x14ac:dyDescent="0.35">
      <c r="A24" s="6" t="s">
        <v>276</v>
      </c>
      <c r="B24" s="6" t="s">
        <v>231</v>
      </c>
      <c r="C24" s="6" t="s">
        <v>298</v>
      </c>
    </row>
    <row r="25" spans="1:3" x14ac:dyDescent="0.35">
      <c r="A25" s="6" t="s">
        <v>276</v>
      </c>
      <c r="B25" s="6" t="s">
        <v>226</v>
      </c>
      <c r="C25" s="6" t="s">
        <v>299</v>
      </c>
    </row>
    <row r="26" spans="1:3" x14ac:dyDescent="0.35">
      <c r="A26" s="6" t="s">
        <v>276</v>
      </c>
      <c r="B26" s="6" t="s">
        <v>227</v>
      </c>
      <c r="C26" s="6" t="s">
        <v>300</v>
      </c>
    </row>
    <row r="27" spans="1:3" x14ac:dyDescent="0.35">
      <c r="A27" s="6" t="s">
        <v>276</v>
      </c>
      <c r="B27" s="6" t="s">
        <v>232</v>
      </c>
      <c r="C27" s="6" t="s">
        <v>232</v>
      </c>
    </row>
    <row r="28" spans="1:3" x14ac:dyDescent="0.35">
      <c r="A28" s="6" t="s">
        <v>276</v>
      </c>
      <c r="B28" s="6" t="s">
        <v>233</v>
      </c>
      <c r="C28" s="6" t="s">
        <v>301</v>
      </c>
    </row>
    <row r="29" spans="1:3" x14ac:dyDescent="0.35">
      <c r="A29" s="6" t="s">
        <v>276</v>
      </c>
      <c r="B29" s="6" t="s">
        <v>302</v>
      </c>
      <c r="C29" s="6" t="s">
        <v>303</v>
      </c>
    </row>
    <row r="30" spans="1:3" x14ac:dyDescent="0.35">
      <c r="A30" s="6" t="s">
        <v>276</v>
      </c>
      <c r="B30" s="6" t="s">
        <v>229</v>
      </c>
      <c r="C30" s="6" t="s">
        <v>157</v>
      </c>
    </row>
    <row r="31" spans="1:3" x14ac:dyDescent="0.35">
      <c r="A31" s="6" t="s">
        <v>276</v>
      </c>
      <c r="B31" s="6" t="s">
        <v>304</v>
      </c>
      <c r="C31" s="6" t="s">
        <v>305</v>
      </c>
    </row>
    <row r="32" spans="1:3" x14ac:dyDescent="0.35">
      <c r="A32" s="6" t="s">
        <v>276</v>
      </c>
      <c r="B32" s="6" t="s">
        <v>247</v>
      </c>
      <c r="C32" s="6" t="s">
        <v>90</v>
      </c>
    </row>
    <row r="33" spans="1:3" x14ac:dyDescent="0.35">
      <c r="A33" s="6" t="s">
        <v>276</v>
      </c>
      <c r="B33" s="6" t="s">
        <v>160</v>
      </c>
      <c r="C33" s="6" t="s">
        <v>160</v>
      </c>
    </row>
    <row r="34" spans="1:3" x14ac:dyDescent="0.35">
      <c r="A34" s="6" t="s">
        <v>306</v>
      </c>
      <c r="B34" s="128" t="s">
        <v>190</v>
      </c>
      <c r="C34" s="6" t="s">
        <v>307</v>
      </c>
    </row>
    <row r="35" spans="1:3" x14ac:dyDescent="0.35">
      <c r="A35" s="6" t="s">
        <v>306</v>
      </c>
      <c r="B35" s="128" t="s">
        <v>254</v>
      </c>
      <c r="C35" s="6" t="s">
        <v>308</v>
      </c>
    </row>
    <row r="36" spans="1:3" x14ac:dyDescent="0.35">
      <c r="A36" s="6" t="s">
        <v>306</v>
      </c>
      <c r="B36" s="6" t="s">
        <v>197</v>
      </c>
      <c r="C36" s="6" t="s">
        <v>197</v>
      </c>
    </row>
    <row r="37" spans="1:3" x14ac:dyDescent="0.35">
      <c r="A37" s="6" t="s">
        <v>306</v>
      </c>
      <c r="B37" s="6" t="s">
        <v>263</v>
      </c>
      <c r="C37" s="6" t="s">
        <v>309</v>
      </c>
    </row>
    <row r="38" spans="1:3" x14ac:dyDescent="0.35">
      <c r="A38" s="6" t="s">
        <v>306</v>
      </c>
      <c r="B38" s="128" t="s">
        <v>192</v>
      </c>
      <c r="C38" s="6" t="s">
        <v>192</v>
      </c>
    </row>
    <row r="39" spans="1:3" x14ac:dyDescent="0.35">
      <c r="A39" s="6" t="s">
        <v>306</v>
      </c>
      <c r="B39" s="6" t="s">
        <v>258</v>
      </c>
      <c r="C39" s="6" t="s">
        <v>310</v>
      </c>
    </row>
    <row r="40" spans="1:3" x14ac:dyDescent="0.35">
      <c r="A40" s="6" t="s">
        <v>306</v>
      </c>
      <c r="B40" s="6" t="s">
        <v>264</v>
      </c>
      <c r="C40" s="6" t="s">
        <v>311</v>
      </c>
    </row>
    <row r="41" spans="1:3" x14ac:dyDescent="0.35">
      <c r="A41" s="6" t="s">
        <v>306</v>
      </c>
      <c r="B41" s="128" t="s">
        <v>188</v>
      </c>
      <c r="C41" s="6" t="s">
        <v>188</v>
      </c>
    </row>
    <row r="42" spans="1:3" x14ac:dyDescent="0.35">
      <c r="A42" s="6" t="s">
        <v>306</v>
      </c>
      <c r="B42" s="128" t="s">
        <v>189</v>
      </c>
      <c r="C42" s="6" t="s">
        <v>189</v>
      </c>
    </row>
    <row r="43" spans="1:3" x14ac:dyDescent="0.35">
      <c r="A43" s="6" t="s">
        <v>306</v>
      </c>
      <c r="B43" s="6" t="s">
        <v>252</v>
      </c>
      <c r="C43" s="6" t="s">
        <v>312</v>
      </c>
    </row>
    <row r="44" spans="1:3" x14ac:dyDescent="0.35">
      <c r="A44" s="6" t="s">
        <v>306</v>
      </c>
      <c r="B44" s="128" t="s">
        <v>255</v>
      </c>
      <c r="C44" s="6" t="s">
        <v>313</v>
      </c>
    </row>
    <row r="45" spans="1:3" x14ac:dyDescent="0.35">
      <c r="A45" s="6" t="s">
        <v>306</v>
      </c>
      <c r="B45" s="128" t="s">
        <v>191</v>
      </c>
      <c r="C45" s="6" t="s">
        <v>191</v>
      </c>
    </row>
    <row r="46" spans="1:3" x14ac:dyDescent="0.35">
      <c r="A46" s="6" t="s">
        <v>306</v>
      </c>
      <c r="B46" s="6" t="s">
        <v>259</v>
      </c>
      <c r="C46" s="6" t="s">
        <v>314</v>
      </c>
    </row>
    <row r="47" spans="1:3" x14ac:dyDescent="0.35">
      <c r="A47" s="6" t="s">
        <v>306</v>
      </c>
      <c r="B47" s="6" t="s">
        <v>224</v>
      </c>
      <c r="C47" s="6" t="s">
        <v>154</v>
      </c>
    </row>
    <row r="48" spans="1:3" x14ac:dyDescent="0.35">
      <c r="A48" s="6" t="s">
        <v>306</v>
      </c>
      <c r="B48" s="6" t="s">
        <v>265</v>
      </c>
      <c r="C48" s="6" t="s">
        <v>315</v>
      </c>
    </row>
    <row r="49" spans="1:3" x14ac:dyDescent="0.35">
      <c r="A49" s="6" t="s">
        <v>306</v>
      </c>
      <c r="B49" s="41" t="s">
        <v>316</v>
      </c>
      <c r="C49" s="6" t="s">
        <v>316</v>
      </c>
    </row>
    <row r="50" spans="1:3" x14ac:dyDescent="0.35">
      <c r="A50" s="6" t="s">
        <v>306</v>
      </c>
      <c r="B50" s="6" t="s">
        <v>167</v>
      </c>
      <c r="C50" s="6" t="s">
        <v>317</v>
      </c>
    </row>
    <row r="51" spans="1:3" x14ac:dyDescent="0.35">
      <c r="A51" s="6" t="s">
        <v>306</v>
      </c>
      <c r="B51" s="6" t="s">
        <v>182</v>
      </c>
      <c r="C51" s="6" t="s">
        <v>182</v>
      </c>
    </row>
    <row r="52" spans="1:3" x14ac:dyDescent="0.35">
      <c r="A52" s="6" t="s">
        <v>306</v>
      </c>
      <c r="B52" s="6" t="s">
        <v>267</v>
      </c>
      <c r="C52" s="6" t="s">
        <v>318</v>
      </c>
    </row>
    <row r="53" spans="1:3" x14ac:dyDescent="0.35">
      <c r="A53" s="6" t="s">
        <v>306</v>
      </c>
      <c r="B53" s="6" t="s">
        <v>268</v>
      </c>
      <c r="C53" s="6" t="s">
        <v>319</v>
      </c>
    </row>
    <row r="54" spans="1:3" x14ac:dyDescent="0.35">
      <c r="A54" s="6" t="s">
        <v>306</v>
      </c>
      <c r="B54" s="6" t="s">
        <v>194</v>
      </c>
      <c r="C54" s="6" t="s">
        <v>194</v>
      </c>
    </row>
    <row r="55" spans="1:3" x14ac:dyDescent="0.35">
      <c r="A55" s="6" t="s">
        <v>306</v>
      </c>
      <c r="B55" s="6" t="s">
        <v>181</v>
      </c>
      <c r="C55" s="6" t="s">
        <v>320</v>
      </c>
    </row>
    <row r="56" spans="1:3" x14ac:dyDescent="0.35">
      <c r="A56" s="6" t="s">
        <v>306</v>
      </c>
      <c r="B56" s="128" t="s">
        <v>321</v>
      </c>
      <c r="C56" s="6" t="s">
        <v>321</v>
      </c>
    </row>
    <row r="57" spans="1:3" x14ac:dyDescent="0.35">
      <c r="A57" s="6" t="s">
        <v>306</v>
      </c>
      <c r="B57" s="6" t="s">
        <v>196</v>
      </c>
      <c r="C57" s="6" t="s">
        <v>196</v>
      </c>
    </row>
    <row r="58" spans="1:3" x14ac:dyDescent="0.35">
      <c r="A58" s="6" t="s">
        <v>306</v>
      </c>
      <c r="B58" s="128" t="s">
        <v>185</v>
      </c>
      <c r="C58" s="6" t="s">
        <v>185</v>
      </c>
    </row>
    <row r="59" spans="1:3" x14ac:dyDescent="0.35">
      <c r="A59" s="6" t="s">
        <v>306</v>
      </c>
      <c r="B59" s="6" t="s">
        <v>177</v>
      </c>
      <c r="C59" s="6" t="s">
        <v>322</v>
      </c>
    </row>
    <row r="60" spans="1:3" x14ac:dyDescent="0.35">
      <c r="A60" s="6" t="s">
        <v>306</v>
      </c>
      <c r="B60" s="6" t="s">
        <v>249</v>
      </c>
      <c r="C60" s="6" t="s">
        <v>323</v>
      </c>
    </row>
    <row r="61" spans="1:3" x14ac:dyDescent="0.35">
      <c r="A61" s="6" t="s">
        <v>306</v>
      </c>
      <c r="B61" s="6" t="s">
        <v>199</v>
      </c>
      <c r="C61" s="6" t="s">
        <v>199</v>
      </c>
    </row>
    <row r="62" spans="1:3" x14ac:dyDescent="0.35">
      <c r="A62" s="6" t="s">
        <v>306</v>
      </c>
      <c r="B62" s="128" t="s">
        <v>184</v>
      </c>
      <c r="C62" s="6" t="s">
        <v>324</v>
      </c>
    </row>
    <row r="63" spans="1:3" x14ac:dyDescent="0.35">
      <c r="A63" s="6" t="s">
        <v>306</v>
      </c>
      <c r="B63" s="6" t="s">
        <v>166</v>
      </c>
      <c r="C63" s="6" t="s">
        <v>166</v>
      </c>
    </row>
    <row r="64" spans="1:3" x14ac:dyDescent="0.35">
      <c r="A64" s="6" t="s">
        <v>306</v>
      </c>
      <c r="B64" s="6" t="s">
        <v>169</v>
      </c>
      <c r="C64" s="6" t="s">
        <v>325</v>
      </c>
    </row>
    <row r="65" spans="1:3" x14ac:dyDescent="0.35">
      <c r="A65" s="6" t="s">
        <v>306</v>
      </c>
      <c r="B65" s="6" t="s">
        <v>168</v>
      </c>
      <c r="C65" s="6" t="s">
        <v>168</v>
      </c>
    </row>
    <row r="66" spans="1:3" x14ac:dyDescent="0.35">
      <c r="A66" s="6" t="s">
        <v>306</v>
      </c>
      <c r="B66" s="6" t="s">
        <v>227</v>
      </c>
      <c r="C66" s="6" t="s">
        <v>326</v>
      </c>
    </row>
    <row r="67" spans="1:3" x14ac:dyDescent="0.35">
      <c r="A67" s="6" t="s">
        <v>306</v>
      </c>
      <c r="B67" s="128" t="s">
        <v>327</v>
      </c>
      <c r="C67" s="6" t="s">
        <v>327</v>
      </c>
    </row>
    <row r="68" spans="1:3" x14ac:dyDescent="0.35">
      <c r="A68" s="6" t="s">
        <v>306</v>
      </c>
      <c r="B68" s="6" t="s">
        <v>195</v>
      </c>
      <c r="C68" s="6" t="s">
        <v>195</v>
      </c>
    </row>
    <row r="69" spans="1:3" x14ac:dyDescent="0.35">
      <c r="A69" s="6" t="s">
        <v>306</v>
      </c>
      <c r="B69" s="6" t="s">
        <v>170</v>
      </c>
      <c r="C69" s="6" t="s">
        <v>170</v>
      </c>
    </row>
    <row r="70" spans="1:3" x14ac:dyDescent="0.35">
      <c r="A70" s="6" t="s">
        <v>306</v>
      </c>
      <c r="B70" s="6" t="s">
        <v>173</v>
      </c>
      <c r="C70" s="6" t="s">
        <v>328</v>
      </c>
    </row>
    <row r="71" spans="1:3" x14ac:dyDescent="0.35">
      <c r="A71" s="6" t="s">
        <v>306</v>
      </c>
      <c r="B71" s="6" t="s">
        <v>253</v>
      </c>
      <c r="C71" s="6" t="s">
        <v>329</v>
      </c>
    </row>
    <row r="72" spans="1:3" x14ac:dyDescent="0.35">
      <c r="A72" s="6" t="s">
        <v>306</v>
      </c>
      <c r="B72" s="6" t="s">
        <v>250</v>
      </c>
      <c r="C72" s="6" t="s">
        <v>330</v>
      </c>
    </row>
    <row r="73" spans="1:3" x14ac:dyDescent="0.35">
      <c r="A73" s="6" t="s">
        <v>306</v>
      </c>
      <c r="B73" s="6" t="s">
        <v>261</v>
      </c>
      <c r="C73" s="6" t="s">
        <v>331</v>
      </c>
    </row>
    <row r="74" spans="1:3" x14ac:dyDescent="0.35">
      <c r="A74" s="6" t="s">
        <v>306</v>
      </c>
      <c r="B74" s="6" t="s">
        <v>269</v>
      </c>
      <c r="C74" s="6" t="s">
        <v>332</v>
      </c>
    </row>
    <row r="75" spans="1:3" x14ac:dyDescent="0.35">
      <c r="A75" s="6" t="s">
        <v>306</v>
      </c>
      <c r="B75" s="128" t="s">
        <v>186</v>
      </c>
      <c r="C75" s="6" t="s">
        <v>186</v>
      </c>
    </row>
    <row r="76" spans="1:3" x14ac:dyDescent="0.35">
      <c r="A76" s="6" t="s">
        <v>306</v>
      </c>
      <c r="B76" s="6" t="s">
        <v>333</v>
      </c>
      <c r="C76" s="6" t="s">
        <v>333</v>
      </c>
    </row>
    <row r="77" spans="1:3" x14ac:dyDescent="0.35">
      <c r="A77" s="6" t="s">
        <v>306</v>
      </c>
      <c r="B77" s="6" t="s">
        <v>175</v>
      </c>
      <c r="C77" s="6" t="s">
        <v>334</v>
      </c>
    </row>
    <row r="78" spans="1:3" x14ac:dyDescent="0.35">
      <c r="A78" s="6" t="s">
        <v>306</v>
      </c>
      <c r="B78" s="6" t="s">
        <v>183</v>
      </c>
      <c r="C78" s="6" t="s">
        <v>183</v>
      </c>
    </row>
    <row r="79" spans="1:3" x14ac:dyDescent="0.35">
      <c r="A79" s="6" t="s">
        <v>306</v>
      </c>
      <c r="B79" s="6" t="s">
        <v>172</v>
      </c>
      <c r="C79" s="6" t="s">
        <v>172</v>
      </c>
    </row>
    <row r="80" spans="1:3" x14ac:dyDescent="0.35">
      <c r="A80" s="6" t="s">
        <v>306</v>
      </c>
      <c r="B80" s="6" t="s">
        <v>179</v>
      </c>
      <c r="C80" s="6" t="s">
        <v>179</v>
      </c>
    </row>
    <row r="81" spans="1:3" x14ac:dyDescent="0.35">
      <c r="A81" s="6" t="s">
        <v>306</v>
      </c>
      <c r="B81" s="6" t="s">
        <v>198</v>
      </c>
      <c r="C81" s="6" t="s">
        <v>198</v>
      </c>
    </row>
    <row r="82" spans="1:3" x14ac:dyDescent="0.35">
      <c r="A82" s="6" t="s">
        <v>306</v>
      </c>
      <c r="B82" s="6" t="s">
        <v>335</v>
      </c>
      <c r="C82" s="6" t="s">
        <v>336</v>
      </c>
    </row>
    <row r="83" spans="1:3" x14ac:dyDescent="0.35">
      <c r="A83" s="6" t="s">
        <v>306</v>
      </c>
      <c r="B83" s="128" t="s">
        <v>187</v>
      </c>
      <c r="C83" s="6" t="s">
        <v>337</v>
      </c>
    </row>
    <row r="84" spans="1:3" x14ac:dyDescent="0.35">
      <c r="A84" s="6" t="s">
        <v>306</v>
      </c>
      <c r="B84" s="6" t="s">
        <v>193</v>
      </c>
      <c r="C84" s="6" t="s">
        <v>193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H48"/>
  <sheetViews>
    <sheetView zoomScaleNormal="100" workbookViewId="0"/>
  </sheetViews>
  <sheetFormatPr defaultRowHeight="14.5" x14ac:dyDescent="0.35"/>
  <cols>
    <col min="1" max="1" width="40.81640625" bestFit="1" customWidth="1"/>
    <col min="2" max="2" width="19.7265625" customWidth="1"/>
    <col min="3" max="3" width="20" bestFit="1" customWidth="1"/>
    <col min="4" max="4" width="16.453125" customWidth="1"/>
    <col min="5" max="5" width="37.54296875" style="19" customWidth="1"/>
    <col min="7" max="7" width="13.81640625" bestFit="1" customWidth="1"/>
  </cols>
  <sheetData>
    <row r="1" spans="1:8" ht="18.5" x14ac:dyDescent="0.45">
      <c r="A1" s="1" t="s">
        <v>364</v>
      </c>
      <c r="B1" s="1"/>
      <c r="C1" s="1"/>
      <c r="D1" s="1"/>
    </row>
    <row r="2" spans="1:8" ht="15.5" x14ac:dyDescent="0.35">
      <c r="A2" s="2" t="s">
        <v>0</v>
      </c>
      <c r="B2" s="3"/>
      <c r="C2" s="3"/>
      <c r="D2" s="3"/>
    </row>
    <row r="3" spans="1:8" ht="15.5" x14ac:dyDescent="0.35">
      <c r="A3" s="4" t="s">
        <v>218</v>
      </c>
      <c r="B3" s="5"/>
      <c r="C3" s="5"/>
      <c r="D3" s="5"/>
    </row>
    <row r="5" spans="1:8" x14ac:dyDescent="0.35">
      <c r="A5" s="132" t="s">
        <v>1</v>
      </c>
      <c r="B5" s="132" t="s">
        <v>2</v>
      </c>
      <c r="C5" s="132"/>
      <c r="D5" s="76" t="s">
        <v>3</v>
      </c>
      <c r="E5" s="135" t="s">
        <v>30</v>
      </c>
    </row>
    <row r="6" spans="1:8" x14ac:dyDescent="0.35">
      <c r="A6" s="132"/>
      <c r="B6" s="18">
        <v>2021</v>
      </c>
      <c r="C6" s="18">
        <v>2022</v>
      </c>
      <c r="D6" s="18" t="s">
        <v>211</v>
      </c>
      <c r="E6" s="136"/>
    </row>
    <row r="7" spans="1:8" x14ac:dyDescent="0.35">
      <c r="A7" s="12" t="s">
        <v>4</v>
      </c>
      <c r="B7" s="95">
        <f>THCE_Comm!C7+THCE_Comm!C8</f>
        <v>9763331913.980751</v>
      </c>
      <c r="C7" s="95">
        <f>THCE_Comm!D7+THCE_Comm!D8</f>
        <v>9868738641.6524544</v>
      </c>
      <c r="D7" s="69">
        <f t="shared" ref="D7:D16" si="0">IFERROR((C7-B7)/B7, "")</f>
        <v>1.0796183987227207E-2</v>
      </c>
      <c r="E7" s="12" t="s">
        <v>122</v>
      </c>
      <c r="G7" s="79"/>
      <c r="H7" s="79"/>
    </row>
    <row r="8" spans="1:8" x14ac:dyDescent="0.35">
      <c r="A8" s="70" t="s">
        <v>43</v>
      </c>
      <c r="B8" s="95">
        <f>THCE_Mcare!C7+THCE_Mcare!C8+THCE_Mcare!C9+THCE_Maid!C10</f>
        <v>11611697287.141336</v>
      </c>
      <c r="C8" s="95">
        <f>THCE_Mcare!D7+THCE_Mcare!D8+THCE_Mcare!D9+THCE_Maid!D10</f>
        <v>12071275664.9958</v>
      </c>
      <c r="D8" s="69">
        <f t="shared" si="0"/>
        <v>3.9578914820953479E-2</v>
      </c>
      <c r="E8" s="70" t="s">
        <v>120</v>
      </c>
      <c r="G8" s="79"/>
      <c r="H8" s="79"/>
    </row>
    <row r="9" spans="1:8" x14ac:dyDescent="0.35">
      <c r="A9" s="70" t="s">
        <v>44</v>
      </c>
      <c r="B9" s="95">
        <f>THCE_Maid!C7+THCE_Maid!C8+THCE_Maid!C9+THCE_Maid!C12</f>
        <v>6616622576.3894014</v>
      </c>
      <c r="C9" s="95">
        <f>THCE_Maid!D7+THCE_Maid!D8+THCE_Maid!D9+THCE_Maid!D12</f>
        <v>7215106441.7787762</v>
      </c>
      <c r="D9" s="69">
        <f t="shared" si="0"/>
        <v>9.0451564749210622E-2</v>
      </c>
      <c r="E9" s="70" t="s">
        <v>209</v>
      </c>
      <c r="G9" s="79"/>
      <c r="H9" s="79"/>
    </row>
    <row r="10" spans="1:8" x14ac:dyDescent="0.35">
      <c r="A10" s="70" t="s">
        <v>5</v>
      </c>
      <c r="B10" s="96">
        <f>SUM(THCE_NCPHI!C7:C13)</f>
        <v>2218732836.9813218</v>
      </c>
      <c r="C10" s="96">
        <f>SUM(THCE_NCPHI!D7:D13)</f>
        <v>2554956721.6691561</v>
      </c>
      <c r="D10" s="69">
        <f t="shared" si="0"/>
        <v>0.15153869771237569</v>
      </c>
      <c r="E10" s="70" t="s">
        <v>138</v>
      </c>
      <c r="G10" s="79"/>
      <c r="H10" s="79"/>
    </row>
    <row r="11" spans="1:8" x14ac:dyDescent="0.35">
      <c r="A11" s="12" t="s">
        <v>11</v>
      </c>
      <c r="B11" s="97">
        <f>THCE_Other!C7</f>
        <v>1577274241.3569672</v>
      </c>
      <c r="C11" s="97">
        <f>THCE_Other!D7</f>
        <v>1789622211.697</v>
      </c>
      <c r="D11" s="69">
        <f t="shared" si="0"/>
        <v>0.13462970786700018</v>
      </c>
      <c r="E11" s="12"/>
      <c r="G11" s="79"/>
      <c r="H11" s="79"/>
    </row>
    <row r="12" spans="1:8" x14ac:dyDescent="0.35">
      <c r="A12" s="12" t="s">
        <v>21</v>
      </c>
      <c r="B12" s="97">
        <f>THCE_Other!C8</f>
        <v>239840432.63999999</v>
      </c>
      <c r="C12" s="97">
        <f>THCE_Other!D8</f>
        <v>173464223.98999998</v>
      </c>
      <c r="D12" s="69">
        <f t="shared" si="0"/>
        <v>-0.27675153817634479</v>
      </c>
      <c r="E12" s="12"/>
    </row>
    <row r="13" spans="1:8" s="19" customFormat="1" x14ac:dyDescent="0.35">
      <c r="A13" s="12" t="s">
        <v>55</v>
      </c>
      <c r="B13" s="97">
        <f>THCE_Other!C9</f>
        <v>339630521</v>
      </c>
      <c r="C13" s="97">
        <f>THCE_Other!D9</f>
        <v>647234514.84000003</v>
      </c>
      <c r="D13" s="69">
        <f t="shared" si="0"/>
        <v>0.9057018578138919</v>
      </c>
      <c r="E13" s="98"/>
    </row>
    <row r="14" spans="1:8" s="19" customFormat="1" x14ac:dyDescent="0.35">
      <c r="A14" s="12" t="s">
        <v>107</v>
      </c>
      <c r="B14" s="97">
        <f>THCE_Other!C10</f>
        <v>2284067</v>
      </c>
      <c r="C14" s="97">
        <f>THCE_Other!D10</f>
        <v>982015</v>
      </c>
      <c r="D14" s="69">
        <f t="shared" si="0"/>
        <v>-0.57005858409582555</v>
      </c>
      <c r="E14" s="98"/>
    </row>
    <row r="15" spans="1:8" s="77" customFormat="1" x14ac:dyDescent="0.35">
      <c r="A15" s="12" t="s">
        <v>221</v>
      </c>
      <c r="B15" s="97">
        <f>THCE_Other!C11</f>
        <v>328732333.74000001</v>
      </c>
      <c r="C15" s="97">
        <f>THCE_Other!D11</f>
        <v>378150998.69</v>
      </c>
      <c r="D15" s="69"/>
      <c r="E15" s="98"/>
    </row>
    <row r="16" spans="1:8" x14ac:dyDescent="0.35">
      <c r="A16" s="32" t="s">
        <v>15</v>
      </c>
      <c r="B16" s="48">
        <f>SUM(B7:B15)</f>
        <v>32698146210.229778</v>
      </c>
      <c r="C16" s="48">
        <f>SUM(C7:C15)</f>
        <v>34699531434.313187</v>
      </c>
      <c r="D16" s="45">
        <f t="shared" si="0"/>
        <v>6.1207911030052985E-2</v>
      </c>
      <c r="E16" s="6"/>
    </row>
    <row r="17" spans="1:5" x14ac:dyDescent="0.35">
      <c r="C17" s="19"/>
      <c r="D17" s="8"/>
    </row>
    <row r="19" spans="1:5" x14ac:dyDescent="0.35">
      <c r="A19" s="132" t="s">
        <v>1</v>
      </c>
      <c r="B19" s="132" t="s">
        <v>46</v>
      </c>
      <c r="C19" s="132"/>
      <c r="D19" s="76" t="s">
        <v>3</v>
      </c>
      <c r="E19" s="135" t="s">
        <v>30</v>
      </c>
    </row>
    <row r="20" spans="1:5" x14ac:dyDescent="0.35">
      <c r="A20" s="132"/>
      <c r="B20" s="75">
        <v>2021</v>
      </c>
      <c r="C20" s="75">
        <v>2022</v>
      </c>
      <c r="D20" s="75" t="s">
        <v>211</v>
      </c>
      <c r="E20" s="136"/>
    </row>
    <row r="21" spans="1:5" x14ac:dyDescent="0.35">
      <c r="A21" s="12" t="s">
        <v>4</v>
      </c>
      <c r="B21" s="99">
        <f>THCE_Comm!C17</f>
        <v>1548981.1666666665</v>
      </c>
      <c r="C21" s="99">
        <f>THCE_Comm!D17</f>
        <v>1541989.6666666667</v>
      </c>
      <c r="D21" s="69">
        <f t="shared" ref="D21:D28" si="1">IFERROR((C21-B21)/B21, "")</f>
        <v>-4.5136120118523717E-3</v>
      </c>
      <c r="E21" s="98"/>
    </row>
    <row r="22" spans="1:5" x14ac:dyDescent="0.35">
      <c r="A22" s="70" t="s">
        <v>43</v>
      </c>
      <c r="B22" s="99">
        <f>THCE_Mcare!C20</f>
        <v>890115.25</v>
      </c>
      <c r="C22" s="99">
        <f>THCE_Mcare!D20</f>
        <v>905083.5</v>
      </c>
      <c r="D22" s="69">
        <f t="shared" si="1"/>
        <v>1.6816080838970009E-2</v>
      </c>
      <c r="E22" s="70" t="s">
        <v>101</v>
      </c>
    </row>
    <row r="23" spans="1:5" x14ac:dyDescent="0.35">
      <c r="A23" s="70" t="s">
        <v>44</v>
      </c>
      <c r="B23" s="99">
        <f>THCE_Maid!C21</f>
        <v>1104053.9166666665</v>
      </c>
      <c r="C23" s="99">
        <f>THCE_Maid!D21</f>
        <v>1189485.25</v>
      </c>
      <c r="D23" s="69">
        <f t="shared" si="1"/>
        <v>7.7379675071726342E-2</v>
      </c>
      <c r="E23" s="70" t="s">
        <v>102</v>
      </c>
    </row>
    <row r="24" spans="1:5" x14ac:dyDescent="0.35">
      <c r="A24" s="70" t="s">
        <v>5</v>
      </c>
      <c r="B24" s="99">
        <f>SUM(THCE_NCPHI!C18:C24)</f>
        <v>3044979.583333333</v>
      </c>
      <c r="C24" s="99">
        <f>SUM(THCE_NCPHI!D18:D24)</f>
        <v>3245739.6666666665</v>
      </c>
      <c r="D24" s="69">
        <f t="shared" si="1"/>
        <v>6.5931503919498147E-2</v>
      </c>
      <c r="E24" s="70" t="s">
        <v>108</v>
      </c>
    </row>
    <row r="25" spans="1:5" x14ac:dyDescent="0.35">
      <c r="A25" s="12" t="s">
        <v>11</v>
      </c>
      <c r="B25" s="99">
        <f>THCE_Other!C16</f>
        <v>103417</v>
      </c>
      <c r="C25" s="99">
        <f>THCE_Other!D16</f>
        <v>98257</v>
      </c>
      <c r="D25" s="69">
        <f t="shared" si="1"/>
        <v>-4.989508494734908E-2</v>
      </c>
      <c r="E25" s="12" t="s">
        <v>31</v>
      </c>
    </row>
    <row r="26" spans="1:5" x14ac:dyDescent="0.35">
      <c r="A26" s="12" t="s">
        <v>21</v>
      </c>
      <c r="B26" s="99">
        <f>THCE_Other!C17</f>
        <v>12468</v>
      </c>
      <c r="C26" s="99">
        <f>THCE_Other!D17</f>
        <v>12079</v>
      </c>
      <c r="D26" s="69">
        <f t="shared" si="1"/>
        <v>-3.1199871671478988E-2</v>
      </c>
      <c r="E26" s="12" t="s">
        <v>31</v>
      </c>
    </row>
    <row r="27" spans="1:5" s="19" customFormat="1" x14ac:dyDescent="0.35">
      <c r="A27" s="12" t="s">
        <v>107</v>
      </c>
      <c r="B27" s="122">
        <f>THCE_Other!C18</f>
        <v>318886</v>
      </c>
      <c r="C27" s="122">
        <f>THCE_Other!D18</f>
        <v>22945</v>
      </c>
      <c r="D27" s="69">
        <f t="shared" si="1"/>
        <v>-0.9280463864829438</v>
      </c>
      <c r="E27" s="70" t="s">
        <v>108</v>
      </c>
    </row>
    <row r="28" spans="1:5" x14ac:dyDescent="0.35">
      <c r="A28" s="32" t="s">
        <v>15</v>
      </c>
      <c r="B28" s="58">
        <f>SUM(B21:B23)+SUM(B25:B26)</f>
        <v>3659035.333333333</v>
      </c>
      <c r="C28" s="58">
        <f t="shared" ref="C28" si="2">SUM(C21:C23)+SUM(C25:C26)</f>
        <v>3746894.416666667</v>
      </c>
      <c r="D28" s="45">
        <f t="shared" si="1"/>
        <v>2.4011542750885514E-2</v>
      </c>
      <c r="E28" s="26"/>
    </row>
    <row r="31" spans="1:5" x14ac:dyDescent="0.35">
      <c r="A31" s="132" t="s">
        <v>1</v>
      </c>
      <c r="B31" s="133" t="s">
        <v>95</v>
      </c>
      <c r="C31" s="134"/>
      <c r="D31" s="76" t="s">
        <v>3</v>
      </c>
      <c r="E31" s="135" t="s">
        <v>30</v>
      </c>
    </row>
    <row r="32" spans="1:5" x14ac:dyDescent="0.35">
      <c r="A32" s="132"/>
      <c r="B32" s="75">
        <v>2021</v>
      </c>
      <c r="C32" s="75">
        <v>2022</v>
      </c>
      <c r="D32" s="75" t="s">
        <v>211</v>
      </c>
      <c r="E32" s="136"/>
    </row>
    <row r="33" spans="1:5" x14ac:dyDescent="0.35">
      <c r="A33" s="6" t="s">
        <v>4</v>
      </c>
      <c r="B33" s="57">
        <f t="shared" ref="B33:C38" si="3">IFERROR(B7/B21, "")</f>
        <v>6303.0668958945289</v>
      </c>
      <c r="C33" s="57">
        <f t="shared" si="3"/>
        <v>6400.0030966392906</v>
      </c>
      <c r="D33" s="7">
        <f t="shared" ref="D33:D42" si="4">IFERROR((C33-B33)/B33, "")</f>
        <v>1.5379211794166514E-2</v>
      </c>
      <c r="E33" s="26"/>
    </row>
    <row r="34" spans="1:5" x14ac:dyDescent="0.35">
      <c r="A34" s="41" t="s">
        <v>43</v>
      </c>
      <c r="B34" s="57">
        <f t="shared" si="3"/>
        <v>13045.16160928749</v>
      </c>
      <c r="C34" s="57">
        <f t="shared" si="3"/>
        <v>13337.195590236481</v>
      </c>
      <c r="D34" s="7">
        <f t="shared" si="4"/>
        <v>2.2386382759802474E-2</v>
      </c>
      <c r="E34" s="6"/>
    </row>
    <row r="35" spans="1:5" x14ac:dyDescent="0.35">
      <c r="A35" s="41" t="s">
        <v>44</v>
      </c>
      <c r="B35" s="57">
        <f t="shared" si="3"/>
        <v>5993.0248663635484</v>
      </c>
      <c r="C35" s="57">
        <f t="shared" si="3"/>
        <v>6065.7384711401646</v>
      </c>
      <c r="D35" s="7">
        <f t="shared" si="4"/>
        <v>1.2133039057576513E-2</v>
      </c>
      <c r="E35" s="6"/>
    </row>
    <row r="36" spans="1:5" x14ac:dyDescent="0.35">
      <c r="A36" s="70" t="s">
        <v>5</v>
      </c>
      <c r="B36" s="100">
        <f t="shared" si="3"/>
        <v>728.65277952126019</v>
      </c>
      <c r="C36" s="100">
        <f t="shared" si="3"/>
        <v>787.17241185675994</v>
      </c>
      <c r="D36" s="69">
        <f t="shared" si="4"/>
        <v>8.0312096488465115E-2</v>
      </c>
      <c r="E36" s="12"/>
    </row>
    <row r="37" spans="1:5" x14ac:dyDescent="0.35">
      <c r="A37" s="6" t="s">
        <v>11</v>
      </c>
      <c r="B37" s="57">
        <f t="shared" si="3"/>
        <v>15251.595398792919</v>
      </c>
      <c r="C37" s="57">
        <f t="shared" si="3"/>
        <v>18213.686675727939</v>
      </c>
      <c r="D37" s="7">
        <f t="shared" si="4"/>
        <v>0.19421517549367021</v>
      </c>
      <c r="E37" s="6"/>
    </row>
    <row r="38" spans="1:5" x14ac:dyDescent="0.35">
      <c r="A38" s="6" t="s">
        <v>21</v>
      </c>
      <c r="B38" s="57">
        <f t="shared" si="3"/>
        <v>19236.48</v>
      </c>
      <c r="C38" s="57">
        <f t="shared" si="3"/>
        <v>14360.809999999998</v>
      </c>
      <c r="D38" s="7">
        <f t="shared" si="4"/>
        <v>-0.25345957264530733</v>
      </c>
      <c r="E38" s="6"/>
    </row>
    <row r="39" spans="1:5" s="19" customFormat="1" x14ac:dyDescent="0.35">
      <c r="A39" s="12" t="s">
        <v>55</v>
      </c>
      <c r="B39" s="100">
        <f>B13/B28</f>
        <v>92.819688814155583</v>
      </c>
      <c r="C39" s="100">
        <f t="shared" ref="C39" si="5">C13/C28</f>
        <v>172.73892532466832</v>
      </c>
      <c r="D39" s="69">
        <f t="shared" si="4"/>
        <v>0.86101599274403673</v>
      </c>
      <c r="E39" s="70" t="s">
        <v>54</v>
      </c>
    </row>
    <row r="40" spans="1:5" s="19" customFormat="1" x14ac:dyDescent="0.35">
      <c r="A40" s="12" t="s">
        <v>107</v>
      </c>
      <c r="B40" s="100">
        <f>B14/B27</f>
        <v>7.1626443305758167</v>
      </c>
      <c r="C40" s="100">
        <f t="shared" ref="C40" si="6">C14/C27</f>
        <v>42.798648943124867</v>
      </c>
      <c r="D40" s="69">
        <f t="shared" si="4"/>
        <v>4.9752581543699534</v>
      </c>
      <c r="E40" s="101"/>
    </row>
    <row r="41" spans="1:5" s="77" customFormat="1" x14ac:dyDescent="0.35">
      <c r="A41" s="12" t="s">
        <v>221</v>
      </c>
      <c r="B41" s="100">
        <f>B15/B28</f>
        <v>89.841256996151813</v>
      </c>
      <c r="C41" s="100">
        <f>C15/C28</f>
        <v>100.92384696188284</v>
      </c>
      <c r="D41" s="69">
        <f t="shared" si="4"/>
        <v>0.12335746778571602</v>
      </c>
      <c r="E41" s="70" t="s">
        <v>54</v>
      </c>
    </row>
    <row r="42" spans="1:5" x14ac:dyDescent="0.35">
      <c r="A42" s="32" t="s">
        <v>15</v>
      </c>
      <c r="B42" s="62">
        <f>IFERROR(B16/B28, "")</f>
        <v>8936.275064729205</v>
      </c>
      <c r="C42" s="62">
        <f>IFERROR(C16/C28, "")</f>
        <v>9260.8778299076748</v>
      </c>
      <c r="D42" s="45">
        <f t="shared" si="4"/>
        <v>3.6324168943685731E-2</v>
      </c>
      <c r="E42" s="6"/>
    </row>
    <row r="47" spans="1:5" x14ac:dyDescent="0.35">
      <c r="A47" s="22"/>
    </row>
    <row r="48" spans="1:5" x14ac:dyDescent="0.35">
      <c r="A48" s="22"/>
    </row>
  </sheetData>
  <mergeCells count="9">
    <mergeCell ref="A31:A32"/>
    <mergeCell ref="B31:C31"/>
    <mergeCell ref="E31:E32"/>
    <mergeCell ref="A19:A20"/>
    <mergeCell ref="E5:E6"/>
    <mergeCell ref="B19:C19"/>
    <mergeCell ref="E19:E20"/>
    <mergeCell ref="A5:A6"/>
    <mergeCell ref="B5:C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50D00-9325-459F-AD90-CF057EF6CC29}">
  <sheetPr>
    <tabColor theme="4"/>
  </sheetPr>
  <dimension ref="A1:F25"/>
  <sheetViews>
    <sheetView zoomScaleNormal="100" workbookViewId="0"/>
  </sheetViews>
  <sheetFormatPr defaultRowHeight="14.5" x14ac:dyDescent="0.35"/>
  <cols>
    <col min="1" max="1" width="32.7265625" style="19" customWidth="1"/>
    <col min="2" max="3" width="19.7265625" style="19" customWidth="1"/>
    <col min="4" max="4" width="20" style="19" bestFit="1" customWidth="1"/>
    <col min="5" max="5" width="16.7265625" style="19" customWidth="1"/>
    <col min="6" max="6" width="35.26953125" style="19" customWidth="1"/>
  </cols>
  <sheetData>
    <row r="1" spans="1:6" ht="18.5" x14ac:dyDescent="0.45">
      <c r="A1" s="1" t="s">
        <v>364</v>
      </c>
      <c r="B1" s="27"/>
      <c r="C1" s="27"/>
      <c r="D1" s="27"/>
      <c r="E1" s="27"/>
    </row>
    <row r="2" spans="1:6" ht="15.5" x14ac:dyDescent="0.35">
      <c r="A2" s="28" t="s">
        <v>0</v>
      </c>
      <c r="B2" s="28"/>
      <c r="C2" s="29"/>
      <c r="D2" s="29"/>
      <c r="E2" s="29"/>
    </row>
    <row r="3" spans="1:6" ht="15.5" x14ac:dyDescent="0.35">
      <c r="A3" s="30" t="s">
        <v>217</v>
      </c>
      <c r="B3" s="30"/>
      <c r="C3" s="5"/>
      <c r="D3" s="5"/>
      <c r="E3" s="5"/>
    </row>
    <row r="5" spans="1:6" x14ac:dyDescent="0.35">
      <c r="A5" s="135" t="s">
        <v>26</v>
      </c>
      <c r="B5" s="135" t="s">
        <v>18</v>
      </c>
      <c r="C5" s="133" t="s">
        <v>2</v>
      </c>
      <c r="D5" s="134"/>
      <c r="E5" s="76" t="s">
        <v>3</v>
      </c>
      <c r="F5" s="135" t="s">
        <v>30</v>
      </c>
    </row>
    <row r="6" spans="1:6" x14ac:dyDescent="0.35">
      <c r="A6" s="136"/>
      <c r="B6" s="136"/>
      <c r="C6" s="75">
        <v>2021</v>
      </c>
      <c r="D6" s="75">
        <v>2022</v>
      </c>
      <c r="E6" s="75" t="s">
        <v>211</v>
      </c>
      <c r="F6" s="136"/>
    </row>
    <row r="7" spans="1:6" x14ac:dyDescent="0.35">
      <c r="A7" s="6" t="s">
        <v>25</v>
      </c>
      <c r="B7" s="6" t="s">
        <v>19</v>
      </c>
      <c r="C7" s="23">
        <f>SUM(TME_Comm_ServCat!H27:H28)</f>
        <v>8289621396.3007469</v>
      </c>
      <c r="D7" s="23">
        <f>SUM(TME_Comm_ServCat!I27:I28)</f>
        <v>8360179233.062397</v>
      </c>
      <c r="E7" s="7">
        <f>IFERROR((D7-C7)/C7, "")</f>
        <v>8.5115873679269122E-3</v>
      </c>
      <c r="F7" s="6"/>
    </row>
    <row r="8" spans="1:6" x14ac:dyDescent="0.35">
      <c r="A8" s="6" t="s">
        <v>24</v>
      </c>
      <c r="B8" s="6" t="s">
        <v>19</v>
      </c>
      <c r="C8" s="9">
        <f>SUM(TME_Comm_ServCat!N27:N28)</f>
        <v>1473710517.6800051</v>
      </c>
      <c r="D8" s="9">
        <f>SUM(TME_Comm_ServCat!O27:O28)</f>
        <v>1508559408.5900583</v>
      </c>
      <c r="E8" s="7">
        <f>IFERROR((D8-C8)/C8, "")</f>
        <v>2.3647039558972724E-2</v>
      </c>
      <c r="F8" s="6"/>
    </row>
    <row r="9" spans="1:6" s="19" customFormat="1" x14ac:dyDescent="0.35">
      <c r="A9" s="12" t="s">
        <v>118</v>
      </c>
      <c r="B9" s="6" t="s">
        <v>133</v>
      </c>
      <c r="C9" s="119">
        <f>SUM(THCE_NCPHI!C7:C11)</f>
        <v>939291137.84268773</v>
      </c>
      <c r="D9" s="119">
        <f>SUM(THCE_NCPHI!D7:D11)</f>
        <v>1220762464.4818051</v>
      </c>
      <c r="E9" s="7">
        <f>IFERROR((D9-C9)/C9, "")</f>
        <v>0.29966356042236836</v>
      </c>
      <c r="F9" s="6" t="s">
        <v>121</v>
      </c>
    </row>
    <row r="10" spans="1:6" s="19" customFormat="1" x14ac:dyDescent="0.35">
      <c r="A10" s="47" t="s">
        <v>15</v>
      </c>
      <c r="B10" s="6"/>
      <c r="C10" s="48">
        <f>SUM(C7:C9)</f>
        <v>10702623051.823439</v>
      </c>
      <c r="D10" s="48">
        <f t="shared" ref="D10" si="0">SUM(D7:D9)</f>
        <v>11089501106.13426</v>
      </c>
      <c r="E10" s="45">
        <f>IFERROR((D10-C10)/C10, "")</f>
        <v>3.6147966011463695E-2</v>
      </c>
      <c r="F10" s="6"/>
    </row>
    <row r="13" spans="1:6" x14ac:dyDescent="0.35">
      <c r="A13" s="135" t="s">
        <v>26</v>
      </c>
      <c r="B13" s="135" t="s">
        <v>18</v>
      </c>
      <c r="C13" s="133" t="s">
        <v>46</v>
      </c>
      <c r="D13" s="134"/>
      <c r="E13" s="76" t="s">
        <v>3</v>
      </c>
      <c r="F13" s="135" t="s">
        <v>30</v>
      </c>
    </row>
    <row r="14" spans="1:6" x14ac:dyDescent="0.35">
      <c r="A14" s="136"/>
      <c r="B14" s="136"/>
      <c r="C14" s="75">
        <v>2021</v>
      </c>
      <c r="D14" s="75">
        <v>2022</v>
      </c>
      <c r="E14" s="75" t="s">
        <v>211</v>
      </c>
      <c r="F14" s="136"/>
    </row>
    <row r="15" spans="1:6" x14ac:dyDescent="0.35">
      <c r="A15" s="6" t="s">
        <v>25</v>
      </c>
      <c r="B15" s="6" t="s">
        <v>19</v>
      </c>
      <c r="C15" s="31">
        <f>TME_Comm_ServCat!H8/12</f>
        <v>1329814.3333333333</v>
      </c>
      <c r="D15" s="31">
        <f>TME_Comm_ServCat!I8/12</f>
        <v>1326009.6666666667</v>
      </c>
      <c r="E15" s="7">
        <f>IFERROR((D15-C15)/C15, "")</f>
        <v>-2.8610510289279818E-3</v>
      </c>
      <c r="F15" s="6" t="s">
        <v>47</v>
      </c>
    </row>
    <row r="16" spans="1:6" x14ac:dyDescent="0.35">
      <c r="A16" s="6" t="s">
        <v>24</v>
      </c>
      <c r="B16" s="6" t="s">
        <v>19</v>
      </c>
      <c r="C16" s="31">
        <f>TME_Comm_ServCat!N8/12</f>
        <v>219166.83333333334</v>
      </c>
      <c r="D16" s="31">
        <f>TME_Comm_ServCat!O8/12</f>
        <v>215980</v>
      </c>
      <c r="E16" s="7">
        <f>IFERROR((D16-C16)/C16, "")</f>
        <v>-1.4540673353100156E-2</v>
      </c>
      <c r="F16" s="6" t="s">
        <v>47</v>
      </c>
    </row>
    <row r="17" spans="1:6" s="19" customFormat="1" x14ac:dyDescent="0.35">
      <c r="A17" s="47" t="s">
        <v>15</v>
      </c>
      <c r="B17" s="6"/>
      <c r="C17" s="44">
        <f>SUM(C15:C16)</f>
        <v>1548981.1666666665</v>
      </c>
      <c r="D17" s="44">
        <f t="shared" ref="D17" si="1">SUM(D15:D16)</f>
        <v>1541989.6666666667</v>
      </c>
      <c r="E17" s="45">
        <f>IFERROR((D17-C17)/C17, "")</f>
        <v>-4.5136120118523717E-3</v>
      </c>
      <c r="F17" s="6"/>
    </row>
    <row r="18" spans="1:6" x14ac:dyDescent="0.35">
      <c r="D18" s="10"/>
    </row>
    <row r="19" spans="1:6" x14ac:dyDescent="0.35">
      <c r="D19" s="10"/>
    </row>
    <row r="20" spans="1:6" x14ac:dyDescent="0.35">
      <c r="A20" s="135" t="s">
        <v>26</v>
      </c>
      <c r="B20" s="135" t="s">
        <v>18</v>
      </c>
      <c r="C20" s="133" t="s">
        <v>45</v>
      </c>
      <c r="D20" s="134"/>
      <c r="E20" s="76" t="s">
        <v>3</v>
      </c>
      <c r="F20" s="135" t="s">
        <v>30</v>
      </c>
    </row>
    <row r="21" spans="1:6" x14ac:dyDescent="0.35">
      <c r="A21" s="136"/>
      <c r="B21" s="136"/>
      <c r="C21" s="75">
        <v>2021</v>
      </c>
      <c r="D21" s="75">
        <v>2022</v>
      </c>
      <c r="E21" s="75" t="s">
        <v>211</v>
      </c>
      <c r="F21" s="136"/>
    </row>
    <row r="22" spans="1:6" x14ac:dyDescent="0.35">
      <c r="A22" s="6" t="s">
        <v>25</v>
      </c>
      <c r="B22" s="20"/>
      <c r="C22" s="23">
        <f>C7/C15</f>
        <v>6233.6682561706593</v>
      </c>
      <c r="D22" s="23">
        <f t="shared" ref="C22:D23" si="2">D7/D15</f>
        <v>6304.7649223238923</v>
      </c>
      <c r="E22" s="7">
        <f>IFERROR((D22-C22)/C22, "")</f>
        <v>1.1405269454763639E-2</v>
      </c>
      <c r="F22" s="6" t="s">
        <v>41</v>
      </c>
    </row>
    <row r="23" spans="1:6" x14ac:dyDescent="0.35">
      <c r="A23" s="6" t="s">
        <v>24</v>
      </c>
      <c r="B23" s="20"/>
      <c r="C23" s="23">
        <f t="shared" si="2"/>
        <v>6724.1493398712473</v>
      </c>
      <c r="D23" s="23">
        <f t="shared" si="2"/>
        <v>6984.7180692196425</v>
      </c>
      <c r="E23" s="7">
        <f>IFERROR((D23-C23)/C23, "")</f>
        <v>3.8751181179653059E-2</v>
      </c>
      <c r="F23" s="6" t="s">
        <v>41</v>
      </c>
    </row>
    <row r="24" spans="1:6" s="19" customFormat="1" x14ac:dyDescent="0.35">
      <c r="A24" s="120" t="s">
        <v>118</v>
      </c>
      <c r="B24" s="118"/>
      <c r="C24" s="95">
        <f>C9/C17</f>
        <v>606.39287168610156</v>
      </c>
      <c r="D24" s="95">
        <f t="shared" ref="D24" si="3">D9/D17</f>
        <v>791.68005523716545</v>
      </c>
      <c r="E24" s="7">
        <f>IFERROR((D24-C24)/C24, "")</f>
        <v>0.30555633517898201</v>
      </c>
      <c r="F24" s="6" t="s">
        <v>119</v>
      </c>
    </row>
    <row r="25" spans="1:6" x14ac:dyDescent="0.35">
      <c r="A25" s="47" t="s">
        <v>15</v>
      </c>
      <c r="B25" s="20"/>
      <c r="C25" s="48">
        <f>C10/C17</f>
        <v>6909.4597675806299</v>
      </c>
      <c r="D25" s="48">
        <f t="shared" ref="D25" si="4">D10/D17</f>
        <v>7191.6831518764566</v>
      </c>
      <c r="E25" s="45">
        <f>IFERROR((D25-C25)/C25, "")</f>
        <v>4.0845940752130341E-2</v>
      </c>
      <c r="F25" s="6"/>
    </row>
  </sheetData>
  <mergeCells count="12">
    <mergeCell ref="F5:F6"/>
    <mergeCell ref="F13:F14"/>
    <mergeCell ref="A20:A21"/>
    <mergeCell ref="B20:B21"/>
    <mergeCell ref="C20:D20"/>
    <mergeCell ref="F20:F21"/>
    <mergeCell ref="A5:A6"/>
    <mergeCell ref="B5:B6"/>
    <mergeCell ref="C5:D5"/>
    <mergeCell ref="A13:A14"/>
    <mergeCell ref="B13:B14"/>
    <mergeCell ref="C13:D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C55DD-9122-4680-A728-3FDEC3135DC5}">
  <sheetPr>
    <tabColor theme="4"/>
  </sheetPr>
  <dimension ref="A1:F40"/>
  <sheetViews>
    <sheetView zoomScaleNormal="100" workbookViewId="0"/>
  </sheetViews>
  <sheetFormatPr defaultRowHeight="14.5" x14ac:dyDescent="0.35"/>
  <cols>
    <col min="1" max="1" width="32.7265625" style="19" customWidth="1"/>
    <col min="2" max="2" width="19.26953125" style="19" customWidth="1"/>
    <col min="3" max="3" width="19.7265625" style="19" customWidth="1"/>
    <col min="4" max="4" width="20" style="19" bestFit="1" customWidth="1"/>
    <col min="5" max="5" width="16.7265625" style="19" customWidth="1"/>
    <col min="6" max="6" width="33.26953125" customWidth="1"/>
  </cols>
  <sheetData>
    <row r="1" spans="1:6" ht="18.5" x14ac:dyDescent="0.45">
      <c r="A1" s="1" t="s">
        <v>364</v>
      </c>
      <c r="B1" s="27"/>
      <c r="C1" s="27"/>
      <c r="D1" s="27"/>
      <c r="E1" s="27"/>
    </row>
    <row r="2" spans="1:6" ht="15.5" x14ac:dyDescent="0.35">
      <c r="A2" s="28" t="s">
        <v>0</v>
      </c>
      <c r="B2" s="28"/>
      <c r="C2" s="29"/>
      <c r="D2" s="29"/>
      <c r="E2" s="29"/>
    </row>
    <row r="3" spans="1:6" ht="15.5" x14ac:dyDescent="0.35">
      <c r="A3" s="30" t="s">
        <v>373</v>
      </c>
      <c r="B3" s="30"/>
      <c r="C3" s="5"/>
      <c r="D3" s="5"/>
      <c r="E3" s="5"/>
    </row>
    <row r="5" spans="1:6" x14ac:dyDescent="0.35">
      <c r="A5" s="135" t="s">
        <v>26</v>
      </c>
      <c r="B5" s="137" t="s">
        <v>18</v>
      </c>
      <c r="C5" s="133" t="s">
        <v>2</v>
      </c>
      <c r="D5" s="134"/>
      <c r="E5" s="76" t="s">
        <v>3</v>
      </c>
      <c r="F5" s="135" t="s">
        <v>30</v>
      </c>
    </row>
    <row r="6" spans="1:6" x14ac:dyDescent="0.35">
      <c r="A6" s="136"/>
      <c r="B6" s="138"/>
      <c r="C6" s="75">
        <v>2021</v>
      </c>
      <c r="D6" s="75">
        <v>2022</v>
      </c>
      <c r="E6" s="75" t="s">
        <v>211</v>
      </c>
      <c r="F6" s="136"/>
    </row>
    <row r="7" spans="1:6" x14ac:dyDescent="0.35">
      <c r="A7" s="6" t="s">
        <v>12</v>
      </c>
      <c r="B7" s="12" t="s">
        <v>19</v>
      </c>
      <c r="C7" s="23">
        <f>TME_Mcare_ServCat!N27+TME_Mcare_ServCat!N28</f>
        <v>4145170965.4352221</v>
      </c>
      <c r="D7" s="23">
        <f>TME_Mcare_ServCat!O27+TME_Mcare_ServCat!O28</f>
        <v>4529833733.2651768</v>
      </c>
      <c r="E7" s="7">
        <f t="shared" ref="E7:E12" si="0">IFERROR((D7-C7)/C7, "")</f>
        <v>9.2797805214185403E-2</v>
      </c>
      <c r="F7" s="26"/>
    </row>
    <row r="8" spans="1:6" s="19" customFormat="1" x14ac:dyDescent="0.35">
      <c r="A8" s="6" t="s">
        <v>99</v>
      </c>
      <c r="B8" s="12" t="s">
        <v>19</v>
      </c>
      <c r="C8" s="9">
        <f>TME_Mcare_ServCat!T27+TME_Mcare_ServCat!T28</f>
        <v>1188202751.7204611</v>
      </c>
      <c r="D8" s="9">
        <f>TME_Mcare_ServCat!U27+TME_Mcare_ServCat!U28</f>
        <v>1325673810.3629985</v>
      </c>
      <c r="E8" s="7">
        <f t="shared" si="0"/>
        <v>0.1156966337971241</v>
      </c>
      <c r="F8" s="6"/>
    </row>
    <row r="9" spans="1:6" x14ac:dyDescent="0.35">
      <c r="A9" s="6" t="s">
        <v>7</v>
      </c>
      <c r="B9" s="12" t="s">
        <v>20</v>
      </c>
      <c r="C9" s="9">
        <f>TME_Mcare_ServCat!H20</f>
        <v>5697362684</v>
      </c>
      <c r="D9" s="9">
        <f>TME_Mcare_ServCat!I20</f>
        <v>5737223133</v>
      </c>
      <c r="E9" s="7">
        <f t="shared" si="0"/>
        <v>6.9962983244757741E-3</v>
      </c>
      <c r="F9" s="6"/>
    </row>
    <row r="10" spans="1:6" s="77" customFormat="1" x14ac:dyDescent="0.35">
      <c r="A10" s="6" t="s">
        <v>100</v>
      </c>
      <c r="B10" s="12" t="s">
        <v>19</v>
      </c>
      <c r="C10" s="9">
        <f>THCE_Maid!C10</f>
        <v>580960885.9856528</v>
      </c>
      <c r="D10" s="9">
        <f>THCE_Maid!D10</f>
        <v>478544988.3676244</v>
      </c>
      <c r="E10" s="7">
        <f t="shared" si="0"/>
        <v>-0.17628707902472737</v>
      </c>
      <c r="F10" s="6"/>
    </row>
    <row r="11" spans="1:6" s="19" customFormat="1" x14ac:dyDescent="0.35">
      <c r="A11" s="6" t="s">
        <v>124</v>
      </c>
      <c r="B11" s="20"/>
      <c r="C11" s="9">
        <f>THCE_NCPHI!C12</f>
        <v>688738205.10492945</v>
      </c>
      <c r="D11" s="9">
        <f>THCE_NCPHI!D12</f>
        <v>366486279.77464896</v>
      </c>
      <c r="E11" s="7">
        <f t="shared" si="0"/>
        <v>-0.46788739602616541</v>
      </c>
      <c r="F11" s="6"/>
    </row>
    <row r="12" spans="1:6" s="19" customFormat="1" x14ac:dyDescent="0.35">
      <c r="A12" s="47" t="s">
        <v>98</v>
      </c>
      <c r="B12" s="43"/>
      <c r="C12" s="48">
        <f>SUM(C7:C11)</f>
        <v>12300435492.246265</v>
      </c>
      <c r="D12" s="48">
        <f t="shared" ref="D12" si="1">SUM(D7:D11)</f>
        <v>12437761944.770449</v>
      </c>
      <c r="E12" s="45">
        <f t="shared" si="0"/>
        <v>1.1164356953926447E-2</v>
      </c>
      <c r="F12" s="6"/>
    </row>
    <row r="15" spans="1:6" x14ac:dyDescent="0.35">
      <c r="A15" s="135" t="s">
        <v>26</v>
      </c>
      <c r="B15" s="137" t="s">
        <v>18</v>
      </c>
      <c r="C15" s="132" t="s">
        <v>46</v>
      </c>
      <c r="D15" s="132"/>
      <c r="E15" s="76" t="s">
        <v>3</v>
      </c>
      <c r="F15" s="135" t="s">
        <v>30</v>
      </c>
    </row>
    <row r="16" spans="1:6" x14ac:dyDescent="0.35">
      <c r="A16" s="136"/>
      <c r="B16" s="138"/>
      <c r="C16" s="75">
        <v>2021</v>
      </c>
      <c r="D16" s="75">
        <v>2022</v>
      </c>
      <c r="E16" s="75" t="s">
        <v>211</v>
      </c>
      <c r="F16" s="136"/>
    </row>
    <row r="17" spans="1:6" x14ac:dyDescent="0.35">
      <c r="A17" s="6" t="s">
        <v>12</v>
      </c>
      <c r="B17" s="12" t="s">
        <v>19</v>
      </c>
      <c r="C17" s="31">
        <f>TME_Mcare_ServCat!N8/12</f>
        <v>357134.25</v>
      </c>
      <c r="D17" s="31">
        <f>TME_Mcare_ServCat!O8/12</f>
        <v>372490.41666666669</v>
      </c>
      <c r="E17" s="7">
        <f>IFERROR((D17-C17)/C17, "")</f>
        <v>4.2998302925767229E-2</v>
      </c>
      <c r="F17" s="6" t="s">
        <v>47</v>
      </c>
    </row>
    <row r="18" spans="1:6" s="19" customFormat="1" x14ac:dyDescent="0.35">
      <c r="A18" s="6" t="s">
        <v>99</v>
      </c>
      <c r="B18" s="12" t="s">
        <v>19</v>
      </c>
      <c r="C18" s="31">
        <f>TME_Mcare_ServCat!T8/12</f>
        <v>64324</v>
      </c>
      <c r="D18" s="31">
        <f>TME_Mcare_ServCat!U8/12</f>
        <v>73531.083333333328</v>
      </c>
      <c r="E18" s="7">
        <f>IFERROR((D18-C18)/C18, "")</f>
        <v>0.14313605082602651</v>
      </c>
      <c r="F18" s="6" t="s">
        <v>47</v>
      </c>
    </row>
    <row r="19" spans="1:6" x14ac:dyDescent="0.35">
      <c r="A19" s="6" t="s">
        <v>7</v>
      </c>
      <c r="B19" s="12" t="s">
        <v>20</v>
      </c>
      <c r="C19" s="31">
        <f>TME_Mcare_ServCat!H8</f>
        <v>468657</v>
      </c>
      <c r="D19" s="31">
        <f>TME_Mcare_ServCat!I8</f>
        <v>459062</v>
      </c>
      <c r="E19" s="7">
        <f>IFERROR((D19-C19)/C19, "")</f>
        <v>-2.0473395254951916E-2</v>
      </c>
      <c r="F19" s="6" t="s">
        <v>130</v>
      </c>
    </row>
    <row r="20" spans="1:6" s="19" customFormat="1" x14ac:dyDescent="0.35">
      <c r="A20" s="47" t="s">
        <v>98</v>
      </c>
      <c r="B20" s="43"/>
      <c r="C20" s="44">
        <f>SUM(C17:C19)</f>
        <v>890115.25</v>
      </c>
      <c r="D20" s="44">
        <f>SUM(D17:D19)</f>
        <v>905083.5</v>
      </c>
      <c r="E20" s="45">
        <f>IFERROR((D20-C20)/C20, "")</f>
        <v>1.6816080838970009E-2</v>
      </c>
      <c r="F20" s="42"/>
    </row>
    <row r="21" spans="1:6" x14ac:dyDescent="0.35">
      <c r="D21" s="10"/>
    </row>
    <row r="22" spans="1:6" x14ac:dyDescent="0.35">
      <c r="D22" s="10"/>
    </row>
    <row r="23" spans="1:6" x14ac:dyDescent="0.35">
      <c r="A23" s="135" t="s">
        <v>26</v>
      </c>
      <c r="B23" s="137" t="s">
        <v>18</v>
      </c>
      <c r="C23" s="133" t="s">
        <v>32</v>
      </c>
      <c r="D23" s="134"/>
      <c r="E23" s="76" t="s">
        <v>3</v>
      </c>
      <c r="F23" s="135" t="s">
        <v>30</v>
      </c>
    </row>
    <row r="24" spans="1:6" x14ac:dyDescent="0.35">
      <c r="A24" s="136"/>
      <c r="B24" s="138"/>
      <c r="C24" s="75">
        <v>2021</v>
      </c>
      <c r="D24" s="75">
        <v>2022</v>
      </c>
      <c r="E24" s="75" t="s">
        <v>211</v>
      </c>
      <c r="F24" s="136"/>
    </row>
    <row r="25" spans="1:6" x14ac:dyDescent="0.35">
      <c r="A25" s="6" t="s">
        <v>12</v>
      </c>
      <c r="B25" s="20"/>
      <c r="C25" s="71">
        <f>C7/C17</f>
        <v>11606.758426096691</v>
      </c>
      <c r="D25" s="71">
        <f>D7/D17</f>
        <v>12160.940337208254</v>
      </c>
      <c r="E25" s="7">
        <f>IFERROR((D25-C25)/C25, "")</f>
        <v>4.7746484484896191E-2</v>
      </c>
      <c r="F25" s="6" t="s">
        <v>41</v>
      </c>
    </row>
    <row r="26" spans="1:6" s="19" customFormat="1" x14ac:dyDescent="0.35">
      <c r="A26" s="6" t="s">
        <v>99</v>
      </c>
      <c r="B26" s="20"/>
      <c r="C26" s="71">
        <f>C8/C18</f>
        <v>18472.152722474679</v>
      </c>
      <c r="D26" s="71">
        <f t="shared" ref="D26" si="2">D8/D18</f>
        <v>18028.753967263259</v>
      </c>
      <c r="E26" s="7">
        <f>IFERROR((D26-C26)/C26, "")</f>
        <v>-2.4003631946586581E-2</v>
      </c>
      <c r="F26" s="6" t="s">
        <v>41</v>
      </c>
    </row>
    <row r="27" spans="1:6" x14ac:dyDescent="0.35">
      <c r="A27" s="6" t="s">
        <v>7</v>
      </c>
      <c r="B27" s="20"/>
      <c r="C27" s="71">
        <f>C9/C19</f>
        <v>12156.785632136083</v>
      </c>
      <c r="D27" s="71">
        <f>D9/D19</f>
        <v>12497.708660268112</v>
      </c>
      <c r="E27" s="7">
        <f>IFERROR((D27-C27)/C27, "")</f>
        <v>2.8043846329806901E-2</v>
      </c>
      <c r="F27" s="6" t="s">
        <v>103</v>
      </c>
    </row>
    <row r="28" spans="1:6" s="19" customFormat="1" x14ac:dyDescent="0.35">
      <c r="A28" s="6" t="s">
        <v>124</v>
      </c>
      <c r="B28" s="20"/>
      <c r="C28" s="71">
        <f>C11/(C17+C18)</f>
        <v>1634.1789610357123</v>
      </c>
      <c r="D28" s="71">
        <f t="shared" ref="D28" si="3">D11/(D17+D18)</f>
        <v>821.67850602414671</v>
      </c>
      <c r="E28" s="7">
        <f>IFERROR((D28-C28)/C28, "")</f>
        <v>-0.49719184641602404</v>
      </c>
      <c r="F28" s="6" t="s">
        <v>123</v>
      </c>
    </row>
    <row r="29" spans="1:6" x14ac:dyDescent="0.35">
      <c r="A29" s="47" t="s">
        <v>98</v>
      </c>
      <c r="B29" s="6"/>
      <c r="C29" s="72">
        <f>C12/C20</f>
        <v>13818.924563135241</v>
      </c>
      <c r="D29" s="72">
        <f>D12/D20</f>
        <v>13742.115445448346</v>
      </c>
      <c r="E29" s="45">
        <f>IFERROR((D29-C29)/C29, "")</f>
        <v>-5.5582558060848324E-3</v>
      </c>
      <c r="F29" s="6"/>
    </row>
    <row r="33" spans="1:1" x14ac:dyDescent="0.35">
      <c r="A33" s="61" t="s">
        <v>42</v>
      </c>
    </row>
    <row r="34" spans="1:1" x14ac:dyDescent="0.35">
      <c r="A34" s="61" t="s">
        <v>129</v>
      </c>
    </row>
    <row r="40" spans="1:1" x14ac:dyDescent="0.35">
      <c r="A40" s="34"/>
    </row>
  </sheetData>
  <mergeCells count="12">
    <mergeCell ref="B15:B16"/>
    <mergeCell ref="B23:B24"/>
    <mergeCell ref="F15:F16"/>
    <mergeCell ref="F5:F6"/>
    <mergeCell ref="A23:A24"/>
    <mergeCell ref="C23:D23"/>
    <mergeCell ref="F23:F24"/>
    <mergeCell ref="A5:A6"/>
    <mergeCell ref="C5:D5"/>
    <mergeCell ref="A15:A16"/>
    <mergeCell ref="C15:D15"/>
    <mergeCell ref="B5:B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411C1-7FF9-4401-BA5E-D55AA7E07CBD}">
  <sheetPr>
    <tabColor theme="4"/>
  </sheetPr>
  <dimension ref="A1:F33"/>
  <sheetViews>
    <sheetView zoomScaleNormal="100" workbookViewId="0"/>
  </sheetViews>
  <sheetFormatPr defaultRowHeight="14.5" x14ac:dyDescent="0.35"/>
  <cols>
    <col min="1" max="1" width="32.7265625" style="19" customWidth="1"/>
    <col min="2" max="2" width="19.26953125" style="19" customWidth="1"/>
    <col min="3" max="3" width="19.7265625" style="19" customWidth="1"/>
    <col min="4" max="4" width="20" style="19" bestFit="1" customWidth="1"/>
    <col min="5" max="5" width="16.7265625" style="19" customWidth="1"/>
    <col min="6" max="6" width="41.7265625" style="19" customWidth="1"/>
  </cols>
  <sheetData>
    <row r="1" spans="1:6" ht="18.5" x14ac:dyDescent="0.45">
      <c r="A1" s="1" t="s">
        <v>364</v>
      </c>
      <c r="B1" s="27"/>
      <c r="C1" s="27"/>
      <c r="D1" s="27"/>
      <c r="E1" s="27"/>
    </row>
    <row r="2" spans="1:6" ht="15.5" x14ac:dyDescent="0.35">
      <c r="A2" s="28" t="s">
        <v>0</v>
      </c>
      <c r="B2" s="28"/>
      <c r="C2" s="29"/>
      <c r="D2" s="29"/>
      <c r="E2" s="29"/>
    </row>
    <row r="3" spans="1:6" ht="15.5" x14ac:dyDescent="0.35">
      <c r="A3" s="30" t="s">
        <v>215</v>
      </c>
      <c r="B3" s="30"/>
      <c r="C3" s="5"/>
      <c r="D3" s="5"/>
      <c r="E3" s="5"/>
    </row>
    <row r="5" spans="1:6" x14ac:dyDescent="0.35">
      <c r="A5" s="135" t="s">
        <v>26</v>
      </c>
      <c r="B5" s="135" t="s">
        <v>18</v>
      </c>
      <c r="C5" s="133" t="s">
        <v>2</v>
      </c>
      <c r="D5" s="134"/>
      <c r="E5" s="76" t="s">
        <v>3</v>
      </c>
      <c r="F5" s="135" t="s">
        <v>30</v>
      </c>
    </row>
    <row r="6" spans="1:6" x14ac:dyDescent="0.35">
      <c r="A6" s="136"/>
      <c r="B6" s="136"/>
      <c r="C6" s="75">
        <v>2021</v>
      </c>
      <c r="D6" s="75">
        <v>2022</v>
      </c>
      <c r="E6" s="75" t="s">
        <v>211</v>
      </c>
      <c r="F6" s="136"/>
    </row>
    <row r="7" spans="1:6" x14ac:dyDescent="0.35">
      <c r="A7" s="6" t="s">
        <v>27</v>
      </c>
      <c r="B7" s="12" t="s">
        <v>19</v>
      </c>
      <c r="C7" s="23">
        <f>TME_Maid_ServCat!H26+TME_Maid_ServCat!H28</f>
        <v>5056077053.2039537</v>
      </c>
      <c r="D7" s="23">
        <f>TME_Maid_ServCat!I26+TME_Maid_ServCat!I28</f>
        <v>5643774870.8680916</v>
      </c>
      <c r="E7" s="7">
        <f>IFERROR((D7-C7)/C7, "")</f>
        <v>0.11623592984836402</v>
      </c>
      <c r="F7" s="41" t="s">
        <v>96</v>
      </c>
    </row>
    <row r="8" spans="1:6" x14ac:dyDescent="0.35">
      <c r="A8" s="6" t="s">
        <v>28</v>
      </c>
      <c r="B8" s="12" t="s">
        <v>19</v>
      </c>
      <c r="C8" s="9">
        <f>TME_Maid_ServCat!N26+TME_Maid_ServCat!N28</f>
        <v>847568022.23000002</v>
      </c>
      <c r="D8" s="9">
        <f>TME_Maid_ServCat!O26+TME_Maid_ServCat!O28</f>
        <v>866389871.59000003</v>
      </c>
      <c r="E8" s="7">
        <f>IFERROR((D8-C8)/C8, "")</f>
        <v>2.2206889437001942E-2</v>
      </c>
      <c r="F8" s="41" t="s">
        <v>96</v>
      </c>
    </row>
    <row r="9" spans="1:6" s="19" customFormat="1" x14ac:dyDescent="0.35">
      <c r="A9" s="12" t="s">
        <v>57</v>
      </c>
      <c r="B9" s="12" t="s">
        <v>19</v>
      </c>
      <c r="C9" s="9">
        <f>TME_Maid_ServCat!B18-TME_Maid_ServCat!B17</f>
        <v>-484453793.52020973</v>
      </c>
      <c r="D9" s="9">
        <f>TME_Maid_ServCat!C18-TME_Maid_ServCat!C17</f>
        <v>-528978415.28110856</v>
      </c>
      <c r="E9" s="7">
        <f>IFERROR((D9-C9)/C9, "")</f>
        <v>9.1906849231930751E-2</v>
      </c>
      <c r="F9" s="41" t="s">
        <v>116</v>
      </c>
    </row>
    <row r="10" spans="1:6" s="19" customFormat="1" x14ac:dyDescent="0.35">
      <c r="A10" s="87" t="s">
        <v>100</v>
      </c>
      <c r="B10" s="87" t="s">
        <v>19</v>
      </c>
      <c r="C10" s="89">
        <f>TME_Maid_ServCat!T26+TME_Maid_ServCat!T28</f>
        <v>580960885.9856528</v>
      </c>
      <c r="D10" s="89">
        <f>TME_Maid_ServCat!U26+TME_Maid_ServCat!U28</f>
        <v>478544988.3676244</v>
      </c>
      <c r="E10" s="90">
        <f>IFERROR((D10-C10)/C10, "")</f>
        <v>-0.17628707902472737</v>
      </c>
      <c r="F10" s="91" t="s">
        <v>126</v>
      </c>
    </row>
    <row r="11" spans="1:6" s="19" customFormat="1" x14ac:dyDescent="0.35">
      <c r="A11" s="70" t="s">
        <v>125</v>
      </c>
      <c r="B11" s="20"/>
      <c r="C11" s="9">
        <f>THCE_NCPHI!C13</f>
        <v>590703494.03370488</v>
      </c>
      <c r="D11" s="9">
        <f>THCE_NCPHI!D13</f>
        <v>967707977.41270232</v>
      </c>
      <c r="E11" s="7"/>
      <c r="F11" s="41" t="s">
        <v>128</v>
      </c>
    </row>
    <row r="12" spans="1:6" s="77" customFormat="1" x14ac:dyDescent="0.35">
      <c r="A12" s="41" t="s">
        <v>139</v>
      </c>
      <c r="B12" s="80" t="s">
        <v>140</v>
      </c>
      <c r="C12" s="9">
        <v>1197431294.4756565</v>
      </c>
      <c r="D12" s="9">
        <v>1233920114.6017928</v>
      </c>
      <c r="E12" s="7">
        <f>IFERROR((D12-C12)/C12, "")</f>
        <v>3.047257934085847E-2</v>
      </c>
      <c r="F12" s="26" t="s">
        <v>342</v>
      </c>
    </row>
    <row r="13" spans="1:6" s="19" customFormat="1" x14ac:dyDescent="0.35">
      <c r="A13" s="47" t="s">
        <v>97</v>
      </c>
      <c r="B13" s="43"/>
      <c r="C13" s="48">
        <f>SUM(C7:C9)+SUM(C11:C12)</f>
        <v>7207326070.4231062</v>
      </c>
      <c r="D13" s="48">
        <f>SUM(D7:D9)+SUM(D11:D12)</f>
        <v>8182814419.1914778</v>
      </c>
      <c r="E13" s="45">
        <f>IFERROR((D13-C13)/C13, "")</f>
        <v>0.13534677621587135</v>
      </c>
      <c r="F13" s="67" t="s">
        <v>127</v>
      </c>
    </row>
    <row r="14" spans="1:6" x14ac:dyDescent="0.35">
      <c r="D14" s="77"/>
    </row>
    <row r="15" spans="1:6" x14ac:dyDescent="0.35">
      <c r="D15" s="10"/>
    </row>
    <row r="16" spans="1:6" x14ac:dyDescent="0.35">
      <c r="A16" s="135" t="s">
        <v>26</v>
      </c>
      <c r="B16" s="135" t="s">
        <v>18</v>
      </c>
      <c r="C16" s="132" t="s">
        <v>46</v>
      </c>
      <c r="D16" s="132"/>
      <c r="E16" s="76" t="s">
        <v>3</v>
      </c>
      <c r="F16" s="135" t="s">
        <v>30</v>
      </c>
    </row>
    <row r="17" spans="1:6" x14ac:dyDescent="0.35">
      <c r="A17" s="136"/>
      <c r="B17" s="136"/>
      <c r="C17" s="75">
        <v>2021</v>
      </c>
      <c r="D17" s="75">
        <v>2022</v>
      </c>
      <c r="E17" s="75" t="s">
        <v>211</v>
      </c>
      <c r="F17" s="136"/>
    </row>
    <row r="18" spans="1:6" x14ac:dyDescent="0.35">
      <c r="A18" s="6" t="s">
        <v>27</v>
      </c>
      <c r="B18" s="12" t="s">
        <v>19</v>
      </c>
      <c r="C18" s="31">
        <f>TME_Maid_ServCat!H8/12</f>
        <v>1019794.9166666666</v>
      </c>
      <c r="D18" s="31">
        <f>TME_Maid_ServCat!I8/12</f>
        <v>1105060.6666666667</v>
      </c>
      <c r="E18" s="7">
        <f>IFERROR((D18-C18)/C18, "")</f>
        <v>8.3610683487913826E-2</v>
      </c>
      <c r="F18" s="54" t="s">
        <v>47</v>
      </c>
    </row>
    <row r="19" spans="1:6" x14ac:dyDescent="0.35">
      <c r="A19" s="6" t="s">
        <v>28</v>
      </c>
      <c r="B19" s="12" t="s">
        <v>19</v>
      </c>
      <c r="C19" s="31">
        <f>TME_Maid_ServCat!N8/12</f>
        <v>84259</v>
      </c>
      <c r="D19" s="31">
        <f>TME_Maid_ServCat!O8/12</f>
        <v>84424.583333333328</v>
      </c>
      <c r="E19" s="7">
        <f>IFERROR((D19-C19)/C19, "")</f>
        <v>1.9651708818444139E-3</v>
      </c>
      <c r="F19" s="54" t="s">
        <v>47</v>
      </c>
    </row>
    <row r="20" spans="1:6" s="19" customFormat="1" x14ac:dyDescent="0.35">
      <c r="A20" s="87" t="s">
        <v>100</v>
      </c>
      <c r="B20" s="87" t="s">
        <v>19</v>
      </c>
      <c r="C20" s="92">
        <f>TME_Maid_ServCat!T8/12</f>
        <v>119324.25</v>
      </c>
      <c r="D20" s="92">
        <f>TME_Maid_ServCat!U8/12</f>
        <v>126518.75</v>
      </c>
      <c r="E20" s="90">
        <f>IFERROR((D20-C20)/C20, "")</f>
        <v>6.0293695539674459E-2</v>
      </c>
      <c r="F20" s="91" t="s">
        <v>126</v>
      </c>
    </row>
    <row r="21" spans="1:6" s="19" customFormat="1" x14ac:dyDescent="0.35">
      <c r="A21" s="42" t="s">
        <v>97</v>
      </c>
      <c r="B21" s="43"/>
      <c r="C21" s="44">
        <f>SUM(C18:C19)</f>
        <v>1104053.9166666665</v>
      </c>
      <c r="D21" s="44">
        <f>SUM(D18:D19)</f>
        <v>1189485.25</v>
      </c>
      <c r="E21" s="45">
        <f>IFERROR((D21-C21)/C21, "")</f>
        <v>7.7379675071726342E-2</v>
      </c>
      <c r="F21" s="6"/>
    </row>
    <row r="22" spans="1:6" x14ac:dyDescent="0.35">
      <c r="D22" s="10"/>
    </row>
    <row r="24" spans="1:6" x14ac:dyDescent="0.35">
      <c r="A24" s="135" t="s">
        <v>26</v>
      </c>
      <c r="B24" s="135" t="s">
        <v>18</v>
      </c>
      <c r="C24" s="133" t="s">
        <v>66</v>
      </c>
      <c r="D24" s="134"/>
      <c r="E24" s="76" t="s">
        <v>3</v>
      </c>
      <c r="F24" s="135" t="s">
        <v>30</v>
      </c>
    </row>
    <row r="25" spans="1:6" x14ac:dyDescent="0.35">
      <c r="A25" s="136"/>
      <c r="B25" s="136"/>
      <c r="C25" s="75">
        <v>2021</v>
      </c>
      <c r="D25" s="75">
        <v>2022</v>
      </c>
      <c r="E25" s="75" t="s">
        <v>211</v>
      </c>
      <c r="F25" s="136"/>
    </row>
    <row r="26" spans="1:6" x14ac:dyDescent="0.35">
      <c r="A26" s="6" t="s">
        <v>27</v>
      </c>
      <c r="B26" s="20"/>
      <c r="C26" s="73">
        <f>C7/C18</f>
        <v>4957.9351402636958</v>
      </c>
      <c r="D26" s="73">
        <f>D7/D18</f>
        <v>5107.208175178399</v>
      </c>
      <c r="E26" s="7">
        <f t="shared" ref="E26:E31" si="0">IFERROR((D26-C26)/C26, "")</f>
        <v>3.0107903934129297E-2</v>
      </c>
      <c r="F26" s="6" t="s">
        <v>58</v>
      </c>
    </row>
    <row r="27" spans="1:6" x14ac:dyDescent="0.35">
      <c r="A27" s="6" t="s">
        <v>28</v>
      </c>
      <c r="B27" s="20"/>
      <c r="C27" s="73">
        <f>C8/C19</f>
        <v>10059.080006052765</v>
      </c>
      <c r="D27" s="73">
        <f>D8/D19</f>
        <v>10262.293722780194</v>
      </c>
      <c r="E27" s="7">
        <f t="shared" si="0"/>
        <v>2.0202018137359536E-2</v>
      </c>
      <c r="F27" s="6" t="s">
        <v>58</v>
      </c>
    </row>
    <row r="28" spans="1:6" s="19" customFormat="1" x14ac:dyDescent="0.35">
      <c r="A28" s="87" t="s">
        <v>100</v>
      </c>
      <c r="B28" s="88"/>
      <c r="C28" s="93">
        <f>C10/C20</f>
        <v>4868.7579095251203</v>
      </c>
      <c r="D28" s="93">
        <f>D10/D20</f>
        <v>3782.4037019621551</v>
      </c>
      <c r="E28" s="90">
        <f t="shared" si="0"/>
        <v>-0.22312758772368782</v>
      </c>
      <c r="F28" s="91" t="s">
        <v>126</v>
      </c>
    </row>
    <row r="29" spans="1:6" s="19" customFormat="1" x14ac:dyDescent="0.35">
      <c r="A29" s="70" t="s">
        <v>125</v>
      </c>
      <c r="B29" s="20"/>
      <c r="C29" s="73">
        <f>THCE_NCPHI!C35</f>
        <v>549.72766433621837</v>
      </c>
      <c r="D29" s="73">
        <f>THCE_NCPHI!D35</f>
        <v>805.22654655576673</v>
      </c>
      <c r="E29" s="69">
        <f t="shared" si="0"/>
        <v>0.46477355751789662</v>
      </c>
      <c r="F29" s="6"/>
    </row>
    <row r="30" spans="1:6" s="77" customFormat="1" x14ac:dyDescent="0.35">
      <c r="A30" s="70" t="str">
        <f>A12</f>
        <v>Medicaid CCO Other Spending</v>
      </c>
      <c r="B30" s="20"/>
      <c r="C30" s="73">
        <f>C12/C18</f>
        <v>1174.1883342482404</v>
      </c>
      <c r="D30" s="73">
        <f>D12/D18</f>
        <v>1116.6084829748045</v>
      </c>
      <c r="E30" s="69">
        <f t="shared" si="0"/>
        <v>-4.9038003183961711E-2</v>
      </c>
      <c r="F30" s="6"/>
    </row>
    <row r="31" spans="1:6" x14ac:dyDescent="0.35">
      <c r="A31" s="42" t="s">
        <v>97</v>
      </c>
      <c r="B31" s="43"/>
      <c r="C31" s="74">
        <f>C13/C21</f>
        <v>6528.0562494477581</v>
      </c>
      <c r="D31" s="74">
        <f>D13/D21</f>
        <v>6879.2903646274535</v>
      </c>
      <c r="E31" s="45">
        <f t="shared" si="0"/>
        <v>5.3803781977124987E-2</v>
      </c>
      <c r="F31" s="6" t="s">
        <v>104</v>
      </c>
    </row>
    <row r="32" spans="1:6" x14ac:dyDescent="0.35">
      <c r="C32" s="51"/>
    </row>
    <row r="33" spans="1:1" x14ac:dyDescent="0.35">
      <c r="A33" s="22"/>
    </row>
  </sheetData>
  <mergeCells count="12">
    <mergeCell ref="F16:F17"/>
    <mergeCell ref="F5:F6"/>
    <mergeCell ref="A24:A25"/>
    <mergeCell ref="B24:B25"/>
    <mergeCell ref="C24:D24"/>
    <mergeCell ref="F24:F25"/>
    <mergeCell ref="A5:A6"/>
    <mergeCell ref="B5:B6"/>
    <mergeCell ref="C5:D5"/>
    <mergeCell ref="A16:A17"/>
    <mergeCell ref="B16:B17"/>
    <mergeCell ref="C16:D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I35"/>
  <sheetViews>
    <sheetView zoomScaleNormal="100" workbookViewId="0"/>
  </sheetViews>
  <sheetFormatPr defaultRowHeight="14.5" x14ac:dyDescent="0.35"/>
  <cols>
    <col min="1" max="1" width="34.54296875" customWidth="1"/>
    <col min="2" max="2" width="17.7265625" style="19" customWidth="1"/>
    <col min="3" max="3" width="19.7265625" style="19" customWidth="1"/>
    <col min="4" max="4" width="20" style="19" bestFit="1" customWidth="1"/>
    <col min="5" max="5" width="16.453125" style="19" customWidth="1"/>
    <col min="6" max="6" width="34" style="19" customWidth="1"/>
  </cols>
  <sheetData>
    <row r="1" spans="1:9" ht="18.5" x14ac:dyDescent="0.45">
      <c r="A1" s="1" t="s">
        <v>364</v>
      </c>
      <c r="B1" s="1"/>
      <c r="C1" s="1"/>
      <c r="D1" s="1"/>
      <c r="E1" s="1"/>
    </row>
    <row r="2" spans="1:9" ht="15.5" x14ac:dyDescent="0.35">
      <c r="A2" s="2" t="s">
        <v>0</v>
      </c>
      <c r="B2" s="2"/>
      <c r="C2" s="3"/>
      <c r="D2" s="3"/>
      <c r="E2" s="3"/>
    </row>
    <row r="3" spans="1:9" ht="15.75" customHeight="1" x14ac:dyDescent="0.35">
      <c r="A3" s="4" t="s">
        <v>216</v>
      </c>
      <c r="B3" s="4"/>
      <c r="C3" s="5"/>
      <c r="D3" s="5"/>
      <c r="E3" s="5"/>
      <c r="I3" s="10"/>
    </row>
    <row r="4" spans="1:9" x14ac:dyDescent="0.35">
      <c r="I4" s="10"/>
    </row>
    <row r="5" spans="1:9" x14ac:dyDescent="0.35">
      <c r="A5" s="132" t="s">
        <v>14</v>
      </c>
      <c r="B5" s="135" t="s">
        <v>18</v>
      </c>
      <c r="C5" s="132" t="s">
        <v>2</v>
      </c>
      <c r="D5" s="132"/>
      <c r="E5" s="76" t="s">
        <v>3</v>
      </c>
      <c r="F5" s="135" t="s">
        <v>30</v>
      </c>
      <c r="I5" s="10"/>
    </row>
    <row r="6" spans="1:9" x14ac:dyDescent="0.35">
      <c r="A6" s="132"/>
      <c r="B6" s="136"/>
      <c r="C6" s="75">
        <v>2021</v>
      </c>
      <c r="D6" s="75">
        <v>2022</v>
      </c>
      <c r="E6" s="75" t="s">
        <v>211</v>
      </c>
      <c r="F6" s="136"/>
      <c r="I6" s="10"/>
    </row>
    <row r="7" spans="1:9" x14ac:dyDescent="0.35">
      <c r="A7" s="12" t="s">
        <v>9</v>
      </c>
      <c r="B7" s="12" t="s">
        <v>94</v>
      </c>
      <c r="C7" s="95">
        <v>433264339.91796058</v>
      </c>
      <c r="D7" s="95">
        <v>629298410.46617997</v>
      </c>
      <c r="E7" s="7">
        <f t="shared" ref="E7:E13" si="0">IFERROR((D7-C7)/C7, "")</f>
        <v>0.45245835506642157</v>
      </c>
      <c r="F7" s="6"/>
      <c r="I7" s="10"/>
    </row>
    <row r="8" spans="1:9" s="19" customFormat="1" x14ac:dyDescent="0.35">
      <c r="A8" s="12" t="s">
        <v>16</v>
      </c>
      <c r="B8" s="12" t="s">
        <v>94</v>
      </c>
      <c r="C8" s="95">
        <v>116818642.00108877</v>
      </c>
      <c r="D8" s="95">
        <v>131991917.7254086</v>
      </c>
      <c r="E8" s="7">
        <f t="shared" si="0"/>
        <v>0.12988745173204816</v>
      </c>
      <c r="F8" s="6"/>
      <c r="I8" s="10"/>
    </row>
    <row r="9" spans="1:9" x14ac:dyDescent="0.35">
      <c r="A9" s="12" t="s">
        <v>10</v>
      </c>
      <c r="B9" s="12" t="s">
        <v>19</v>
      </c>
      <c r="C9" s="95">
        <v>259232059.90000001</v>
      </c>
      <c r="D9" s="95">
        <v>306369111.68471098</v>
      </c>
      <c r="E9" s="7">
        <f t="shared" si="0"/>
        <v>0.18183341907206352</v>
      </c>
      <c r="F9" s="6"/>
      <c r="I9" s="10"/>
    </row>
    <row r="10" spans="1:9" s="19" customFormat="1" x14ac:dyDescent="0.35">
      <c r="A10" s="12" t="s">
        <v>85</v>
      </c>
      <c r="B10" s="12" t="s">
        <v>94</v>
      </c>
      <c r="C10" s="95">
        <v>129976096.02363838</v>
      </c>
      <c r="D10" s="95">
        <v>153103024.60550568</v>
      </c>
      <c r="E10" s="7">
        <f t="shared" si="0"/>
        <v>0.17793216821700247</v>
      </c>
      <c r="F10" s="6"/>
      <c r="I10" s="10"/>
    </row>
    <row r="11" spans="1:9" s="19" customFormat="1" x14ac:dyDescent="0.35">
      <c r="A11" s="12" t="s">
        <v>86</v>
      </c>
      <c r="B11" s="12" t="s">
        <v>94</v>
      </c>
      <c r="C11" s="95">
        <v>0</v>
      </c>
      <c r="D11" s="95">
        <v>0</v>
      </c>
      <c r="E11" s="7" t="str">
        <f t="shared" si="0"/>
        <v/>
      </c>
      <c r="F11" s="6"/>
      <c r="I11" s="10"/>
    </row>
    <row r="12" spans="1:9" x14ac:dyDescent="0.35">
      <c r="A12" s="6" t="s">
        <v>12</v>
      </c>
      <c r="B12" s="12" t="s">
        <v>106</v>
      </c>
      <c r="C12" s="23">
        <v>688738205.10492945</v>
      </c>
      <c r="D12" s="23">
        <v>366486279.77464896</v>
      </c>
      <c r="E12" s="7">
        <f t="shared" si="0"/>
        <v>-0.46788739602616541</v>
      </c>
      <c r="F12" s="6" t="s">
        <v>341</v>
      </c>
      <c r="I12" s="10"/>
    </row>
    <row r="13" spans="1:9" x14ac:dyDescent="0.35">
      <c r="A13" s="6" t="s">
        <v>27</v>
      </c>
      <c r="B13" s="12" t="s">
        <v>117</v>
      </c>
      <c r="C13" s="23">
        <v>590703494.03370488</v>
      </c>
      <c r="D13" s="23">
        <v>967707977.41270232</v>
      </c>
      <c r="E13" s="7">
        <f t="shared" si="0"/>
        <v>0.63822964852394459</v>
      </c>
      <c r="F13" s="41" t="s">
        <v>132</v>
      </c>
      <c r="I13" s="10"/>
    </row>
    <row r="14" spans="1:9" x14ac:dyDescent="0.35">
      <c r="E14" s="8"/>
      <c r="I14" s="10"/>
    </row>
    <row r="16" spans="1:9" x14ac:dyDescent="0.35">
      <c r="A16" s="132" t="s">
        <v>14</v>
      </c>
      <c r="B16" s="135" t="s">
        <v>18</v>
      </c>
      <c r="C16" s="132" t="s">
        <v>46</v>
      </c>
      <c r="D16" s="132"/>
      <c r="E16" s="76" t="s">
        <v>3</v>
      </c>
      <c r="F16" s="135" t="s">
        <v>30</v>
      </c>
    </row>
    <row r="17" spans="1:6" x14ac:dyDescent="0.35">
      <c r="A17" s="132"/>
      <c r="B17" s="136"/>
      <c r="C17" s="75">
        <v>2021</v>
      </c>
      <c r="D17" s="75">
        <v>2022</v>
      </c>
      <c r="E17" s="75" t="s">
        <v>211</v>
      </c>
      <c r="F17" s="136"/>
    </row>
    <row r="18" spans="1:6" x14ac:dyDescent="0.35">
      <c r="A18" s="12" t="s">
        <v>9</v>
      </c>
      <c r="B18" s="12" t="s">
        <v>19</v>
      </c>
      <c r="C18" s="131">
        <v>639084.75</v>
      </c>
      <c r="D18" s="131">
        <v>695602.5</v>
      </c>
      <c r="E18" s="7">
        <f t="shared" ref="E18:E24" si="1">IFERROR((D18-C18)/C18, "")</f>
        <v>8.8435453983215839E-2</v>
      </c>
      <c r="F18" s="6"/>
    </row>
    <row r="19" spans="1:6" x14ac:dyDescent="0.35">
      <c r="A19" s="12" t="s">
        <v>16</v>
      </c>
      <c r="B19" s="12" t="s">
        <v>19</v>
      </c>
      <c r="C19" s="131">
        <v>176271.75</v>
      </c>
      <c r="D19" s="131">
        <v>175572.66666666666</v>
      </c>
      <c r="E19" s="7">
        <f t="shared" si="1"/>
        <v>-3.9659408460705871E-3</v>
      </c>
      <c r="F19" s="6"/>
    </row>
    <row r="20" spans="1:6" x14ac:dyDescent="0.35">
      <c r="A20" s="12" t="s">
        <v>10</v>
      </c>
      <c r="B20" s="12" t="s">
        <v>19</v>
      </c>
      <c r="C20" s="131">
        <v>557320.91666666663</v>
      </c>
      <c r="D20" s="131">
        <v>549259.25</v>
      </c>
      <c r="E20" s="7">
        <f t="shared" si="1"/>
        <v>-1.4465035180957162E-2</v>
      </c>
      <c r="F20" s="6"/>
    </row>
    <row r="21" spans="1:6" x14ac:dyDescent="0.35">
      <c r="A21" s="12" t="s">
        <v>85</v>
      </c>
      <c r="B21" s="12" t="s">
        <v>19</v>
      </c>
      <c r="C21" s="131">
        <v>168177.58333333334</v>
      </c>
      <c r="D21" s="131">
        <v>167703.41666666666</v>
      </c>
      <c r="E21" s="7">
        <f t="shared" si="1"/>
        <v>-2.8194403633858417E-3</v>
      </c>
      <c r="F21" s="6"/>
    </row>
    <row r="22" spans="1:6" x14ac:dyDescent="0.35">
      <c r="A22" s="12" t="s">
        <v>86</v>
      </c>
      <c r="B22" s="12" t="s">
        <v>19</v>
      </c>
      <c r="C22" s="131">
        <v>8127.916666666667</v>
      </c>
      <c r="D22" s="131">
        <v>9796.8333333333339</v>
      </c>
      <c r="E22" s="7">
        <f t="shared" si="1"/>
        <v>0.20533141949043937</v>
      </c>
      <c r="F22" s="6"/>
    </row>
    <row r="23" spans="1:6" x14ac:dyDescent="0.35">
      <c r="A23" s="6" t="s">
        <v>12</v>
      </c>
      <c r="B23" s="12" t="s">
        <v>19</v>
      </c>
      <c r="C23" s="31">
        <f>THCE_Mcare!C17+THCE_Mcare!C18</f>
        <v>421458.25</v>
      </c>
      <c r="D23" s="31">
        <f>THCE_Mcare!D17+THCE_Mcare!D18</f>
        <v>446021.5</v>
      </c>
      <c r="E23" s="7">
        <f t="shared" si="1"/>
        <v>5.8281573560370455E-2</v>
      </c>
      <c r="F23" s="41" t="s">
        <v>131</v>
      </c>
    </row>
    <row r="24" spans="1:6" x14ac:dyDescent="0.35">
      <c r="A24" s="6" t="s">
        <v>27</v>
      </c>
      <c r="B24" s="12" t="s">
        <v>19</v>
      </c>
      <c r="C24" s="31">
        <v>1074538.4166666667</v>
      </c>
      <c r="D24" s="31">
        <v>1201783.5</v>
      </c>
      <c r="E24" s="7">
        <f t="shared" si="1"/>
        <v>0.11841836583940957</v>
      </c>
      <c r="F24" s="41" t="s">
        <v>131</v>
      </c>
    </row>
    <row r="27" spans="1:6" x14ac:dyDescent="0.35">
      <c r="A27" s="135" t="s">
        <v>26</v>
      </c>
      <c r="B27" s="135" t="s">
        <v>18</v>
      </c>
      <c r="C27" s="133" t="s">
        <v>95</v>
      </c>
      <c r="D27" s="134"/>
      <c r="E27" s="76" t="s">
        <v>3</v>
      </c>
      <c r="F27" s="135" t="s">
        <v>30</v>
      </c>
    </row>
    <row r="28" spans="1:6" x14ac:dyDescent="0.35">
      <c r="A28" s="136"/>
      <c r="B28" s="136"/>
      <c r="C28" s="75">
        <v>2021</v>
      </c>
      <c r="D28" s="75">
        <v>2022</v>
      </c>
      <c r="E28" s="75" t="s">
        <v>211</v>
      </c>
      <c r="F28" s="136"/>
    </row>
    <row r="29" spans="1:6" x14ac:dyDescent="0.35">
      <c r="A29" s="12" t="s">
        <v>9</v>
      </c>
      <c r="B29" s="118"/>
      <c r="C29" s="100">
        <f t="shared" ref="C29:D35" si="2">C7/C18</f>
        <v>677.94504550133695</v>
      </c>
      <c r="D29" s="100">
        <f t="shared" si="2"/>
        <v>904.68106492742618</v>
      </c>
      <c r="E29" s="7">
        <f t="shared" ref="E29:E35" si="3">IFERROR((D29-C29)/C29, "")</f>
        <v>0.33444601583955685</v>
      </c>
      <c r="F29" s="6"/>
    </row>
    <row r="30" spans="1:6" x14ac:dyDescent="0.35">
      <c r="A30" s="12" t="s">
        <v>16</v>
      </c>
      <c r="B30" s="118"/>
      <c r="C30" s="100">
        <f t="shared" si="2"/>
        <v>662.71902333237608</v>
      </c>
      <c r="D30" s="100">
        <f t="shared" si="2"/>
        <v>751.7794212011471</v>
      </c>
      <c r="E30" s="7">
        <f t="shared" si="3"/>
        <v>0.13438636093611003</v>
      </c>
      <c r="F30" s="6"/>
    </row>
    <row r="31" spans="1:6" x14ac:dyDescent="0.35">
      <c r="A31" s="12" t="s">
        <v>10</v>
      </c>
      <c r="B31" s="118"/>
      <c r="C31" s="100">
        <f t="shared" si="2"/>
        <v>465.13965678960255</v>
      </c>
      <c r="D31" s="100">
        <f t="shared" si="2"/>
        <v>557.78598482358007</v>
      </c>
      <c r="E31" s="7">
        <f t="shared" si="3"/>
        <v>0.19917959408884456</v>
      </c>
      <c r="F31" s="6"/>
    </row>
    <row r="32" spans="1:6" x14ac:dyDescent="0.35">
      <c r="A32" s="12" t="s">
        <v>85</v>
      </c>
      <c r="B32" s="118"/>
      <c r="C32" s="100">
        <f t="shared" si="2"/>
        <v>772.85030173148346</v>
      </c>
      <c r="D32" s="100">
        <f t="shared" si="2"/>
        <v>912.93920928169734</v>
      </c>
      <c r="E32" s="7">
        <f t="shared" si="3"/>
        <v>0.18126266786253506</v>
      </c>
      <c r="F32" s="6"/>
    </row>
    <row r="33" spans="1:6" x14ac:dyDescent="0.35">
      <c r="A33" s="12" t="s">
        <v>86</v>
      </c>
      <c r="B33" s="118"/>
      <c r="C33" s="100">
        <f t="shared" si="2"/>
        <v>0</v>
      </c>
      <c r="D33" s="100">
        <f t="shared" si="2"/>
        <v>0</v>
      </c>
      <c r="E33" s="7" t="str">
        <f t="shared" si="3"/>
        <v/>
      </c>
      <c r="F33" s="6"/>
    </row>
    <row r="34" spans="1:6" x14ac:dyDescent="0.35">
      <c r="A34" s="6" t="s">
        <v>12</v>
      </c>
      <c r="B34" s="20"/>
      <c r="C34" s="57">
        <f>C12/C23</f>
        <v>1634.1789610357123</v>
      </c>
      <c r="D34" s="57">
        <f t="shared" si="2"/>
        <v>821.67850602414671</v>
      </c>
      <c r="E34" s="7">
        <f t="shared" si="3"/>
        <v>-0.49719184641602404</v>
      </c>
      <c r="F34" s="26"/>
    </row>
    <row r="35" spans="1:6" x14ac:dyDescent="0.35">
      <c r="A35" s="6" t="s">
        <v>27</v>
      </c>
      <c r="B35" s="20"/>
      <c r="C35" s="57">
        <f t="shared" si="2"/>
        <v>549.72766433621837</v>
      </c>
      <c r="D35" s="57">
        <f t="shared" si="2"/>
        <v>805.22654655576673</v>
      </c>
      <c r="E35" s="7">
        <f t="shared" si="3"/>
        <v>0.46477355751789662</v>
      </c>
      <c r="F35" s="67"/>
    </row>
  </sheetData>
  <mergeCells count="12">
    <mergeCell ref="A27:A28"/>
    <mergeCell ref="B27:B28"/>
    <mergeCell ref="C27:D27"/>
    <mergeCell ref="F27:F28"/>
    <mergeCell ref="A5:A6"/>
    <mergeCell ref="C5:D5"/>
    <mergeCell ref="F5:F6"/>
    <mergeCell ref="A16:A17"/>
    <mergeCell ref="C16:D16"/>
    <mergeCell ref="F16:F17"/>
    <mergeCell ref="B5:B6"/>
    <mergeCell ref="B16:B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H27"/>
  <sheetViews>
    <sheetView zoomScaleNormal="100" workbookViewId="0"/>
  </sheetViews>
  <sheetFormatPr defaultRowHeight="14.5" x14ac:dyDescent="0.35"/>
  <cols>
    <col min="1" max="1" width="38.7265625" customWidth="1"/>
    <col min="2" max="2" width="15.7265625" style="19" customWidth="1"/>
    <col min="3" max="3" width="19.7265625" style="19" customWidth="1"/>
    <col min="4" max="4" width="20" style="19" bestFit="1" customWidth="1"/>
    <col min="5" max="5" width="16.7265625" style="19" customWidth="1"/>
    <col min="6" max="6" width="21.26953125" style="19" customWidth="1"/>
  </cols>
  <sheetData>
    <row r="1" spans="1:8" ht="18.5" x14ac:dyDescent="0.45">
      <c r="A1" s="1" t="s">
        <v>364</v>
      </c>
      <c r="B1" s="27"/>
      <c r="C1" s="27"/>
      <c r="D1" s="27"/>
      <c r="E1" s="27"/>
    </row>
    <row r="2" spans="1:8" ht="15.5" x14ac:dyDescent="0.35">
      <c r="A2" s="2" t="s">
        <v>0</v>
      </c>
      <c r="B2" s="28"/>
      <c r="C2" s="29"/>
      <c r="D2" s="29"/>
      <c r="E2" s="29"/>
    </row>
    <row r="3" spans="1:8" ht="15.75" customHeight="1" x14ac:dyDescent="0.35">
      <c r="A3" s="4" t="s">
        <v>214</v>
      </c>
      <c r="B3" s="30"/>
      <c r="C3" s="5"/>
      <c r="D3" s="5"/>
      <c r="E3" s="5"/>
    </row>
    <row r="4" spans="1:8" x14ac:dyDescent="0.35">
      <c r="H4" s="11"/>
    </row>
    <row r="5" spans="1:8" x14ac:dyDescent="0.35">
      <c r="A5" s="135" t="s">
        <v>6</v>
      </c>
      <c r="B5" s="135" t="s">
        <v>18</v>
      </c>
      <c r="C5" s="133" t="s">
        <v>2</v>
      </c>
      <c r="D5" s="134"/>
      <c r="E5" s="76" t="s">
        <v>3</v>
      </c>
      <c r="F5" s="135" t="s">
        <v>30</v>
      </c>
      <c r="H5" s="11"/>
    </row>
    <row r="6" spans="1:8" x14ac:dyDescent="0.35">
      <c r="A6" s="136"/>
      <c r="B6" s="136"/>
      <c r="C6" s="75">
        <v>2021</v>
      </c>
      <c r="D6" s="75">
        <v>2022</v>
      </c>
      <c r="E6" s="75" t="s">
        <v>211</v>
      </c>
      <c r="F6" s="136"/>
      <c r="H6" s="11"/>
    </row>
    <row r="7" spans="1:8" x14ac:dyDescent="0.35">
      <c r="A7" s="6" t="s">
        <v>11</v>
      </c>
      <c r="B7" s="12" t="s">
        <v>11</v>
      </c>
      <c r="C7" s="25">
        <f>'[1]State Level Expenditures'!$J$43*1000</f>
        <v>1577274241.3569672</v>
      </c>
      <c r="D7" s="25">
        <f>'[2]State Level Expenditures'!$J$43*1000</f>
        <v>1789622211.697</v>
      </c>
      <c r="E7" s="7">
        <f>IFERROR((D7-C7)/C7, "")</f>
        <v>0.13462970786700018</v>
      </c>
      <c r="F7" s="6"/>
      <c r="H7" s="11"/>
    </row>
    <row r="8" spans="1:8" x14ac:dyDescent="0.35">
      <c r="A8" s="6" t="s">
        <v>21</v>
      </c>
      <c r="B8" s="12" t="s">
        <v>22</v>
      </c>
      <c r="C8" s="25">
        <f>[3]Sheet1!$J$6</f>
        <v>239840432.63999999</v>
      </c>
      <c r="D8" s="25">
        <f>[3]Sheet1!$J$7</f>
        <v>173464223.98999998</v>
      </c>
      <c r="E8" s="7">
        <f>IFERROR((D8-C8)/C8, "")</f>
        <v>-0.27675153817634479</v>
      </c>
      <c r="F8" s="6"/>
    </row>
    <row r="9" spans="1:8" s="19" customFormat="1" x14ac:dyDescent="0.35">
      <c r="A9" s="12" t="s">
        <v>55</v>
      </c>
      <c r="B9" s="12" t="s">
        <v>374</v>
      </c>
      <c r="C9" s="25">
        <v>339630521</v>
      </c>
      <c r="D9" s="25">
        <v>647234514.84000003</v>
      </c>
      <c r="E9" s="7">
        <f>IFERROR((D9-C9)/C9, "")</f>
        <v>0.9057018578138919</v>
      </c>
      <c r="F9" s="6"/>
      <c r="G9" s="68"/>
    </row>
    <row r="10" spans="1:8" s="19" customFormat="1" x14ac:dyDescent="0.35">
      <c r="A10" s="12" t="s">
        <v>107</v>
      </c>
      <c r="B10" s="12" t="s">
        <v>374</v>
      </c>
      <c r="C10" s="25">
        <v>2284067</v>
      </c>
      <c r="D10" s="25">
        <v>982015</v>
      </c>
      <c r="E10" s="7">
        <f t="shared" ref="E10:E11" si="0">IFERROR((D10-C10)/C10, "")</f>
        <v>-0.57005858409582555</v>
      </c>
      <c r="F10" s="6"/>
      <c r="G10" s="68"/>
    </row>
    <row r="11" spans="1:8" s="77" customFormat="1" x14ac:dyDescent="0.35">
      <c r="A11" s="12" t="s">
        <v>221</v>
      </c>
      <c r="B11" s="12" t="s">
        <v>374</v>
      </c>
      <c r="C11" s="25">
        <v>328732333.74000001</v>
      </c>
      <c r="D11" s="25">
        <v>378150998.69</v>
      </c>
      <c r="E11" s="7">
        <f t="shared" si="0"/>
        <v>0.15033101364797918</v>
      </c>
      <c r="F11" s="6"/>
      <c r="G11" s="68"/>
    </row>
    <row r="12" spans="1:8" s="15" customFormat="1" x14ac:dyDescent="0.35">
      <c r="D12" s="121"/>
    </row>
    <row r="13" spans="1:8" x14ac:dyDescent="0.35">
      <c r="D13" s="10"/>
    </row>
    <row r="14" spans="1:8" x14ac:dyDescent="0.35">
      <c r="A14" s="135" t="s">
        <v>26</v>
      </c>
      <c r="B14" s="135" t="s">
        <v>18</v>
      </c>
      <c r="C14" s="132" t="s">
        <v>46</v>
      </c>
      <c r="D14" s="132"/>
      <c r="E14" s="76" t="s">
        <v>3</v>
      </c>
      <c r="F14" s="135" t="s">
        <v>30</v>
      </c>
    </row>
    <row r="15" spans="1:8" x14ac:dyDescent="0.35">
      <c r="A15" s="136"/>
      <c r="B15" s="136"/>
      <c r="C15" s="117">
        <v>2021</v>
      </c>
      <c r="D15" s="117">
        <v>2022</v>
      </c>
      <c r="E15" s="117" t="s">
        <v>211</v>
      </c>
      <c r="F15" s="136"/>
    </row>
    <row r="16" spans="1:8" x14ac:dyDescent="0.35">
      <c r="A16" s="6" t="s">
        <v>11</v>
      </c>
      <c r="B16" s="12" t="s">
        <v>11</v>
      </c>
      <c r="C16" s="31">
        <f>'[1]State Level Expenditures'!$K$43</f>
        <v>103417</v>
      </c>
      <c r="D16" s="31">
        <f>'[2]State Level Expenditures'!$K$43</f>
        <v>98257</v>
      </c>
      <c r="E16" s="7">
        <f>IFERROR((D16-C16)/C16, "")</f>
        <v>-4.989508494734908E-2</v>
      </c>
      <c r="F16" s="6"/>
    </row>
    <row r="17" spans="1:7" x14ac:dyDescent="0.35">
      <c r="A17" s="6" t="s">
        <v>21</v>
      </c>
      <c r="B17" s="12" t="s">
        <v>22</v>
      </c>
      <c r="C17" s="31">
        <f>[3]Sheet1!$I$6</f>
        <v>12468</v>
      </c>
      <c r="D17" s="31">
        <f>[3]Sheet1!$I$7</f>
        <v>12079</v>
      </c>
      <c r="E17" s="7">
        <f>IFERROR((D17-C17)/C17, "")</f>
        <v>-3.1199871671478988E-2</v>
      </c>
      <c r="F17" s="6"/>
    </row>
    <row r="18" spans="1:7" s="19" customFormat="1" x14ac:dyDescent="0.35">
      <c r="A18" s="12" t="s">
        <v>107</v>
      </c>
      <c r="B18" s="12" t="s">
        <v>374</v>
      </c>
      <c r="C18" s="31">
        <v>318886</v>
      </c>
      <c r="D18" s="31">
        <v>22945</v>
      </c>
      <c r="E18" s="7">
        <f>IFERROR((D18-C18)/C18, "")</f>
        <v>-0.9280463864829438</v>
      </c>
      <c r="F18" s="6"/>
      <c r="G18" s="68"/>
    </row>
    <row r="19" spans="1:7" s="19" customFormat="1" x14ac:dyDescent="0.35">
      <c r="A19" s="15"/>
      <c r="B19" s="35"/>
      <c r="C19" s="36"/>
      <c r="D19" s="36"/>
      <c r="E19" s="16"/>
      <c r="F19" s="15"/>
    </row>
    <row r="20" spans="1:7" s="19" customFormat="1" x14ac:dyDescent="0.35">
      <c r="A20" s="15"/>
      <c r="B20" s="35"/>
      <c r="C20" s="36"/>
      <c r="D20" s="36"/>
      <c r="E20" s="16"/>
      <c r="F20" s="15"/>
    </row>
    <row r="21" spans="1:7" x14ac:dyDescent="0.35">
      <c r="A21" s="135" t="s">
        <v>26</v>
      </c>
      <c r="B21" s="135" t="s">
        <v>18</v>
      </c>
      <c r="C21" s="133" t="s">
        <v>95</v>
      </c>
      <c r="D21" s="134"/>
      <c r="E21" s="76" t="s">
        <v>3</v>
      </c>
      <c r="F21" s="135" t="s">
        <v>30</v>
      </c>
    </row>
    <row r="22" spans="1:7" x14ac:dyDescent="0.35">
      <c r="A22" s="136"/>
      <c r="B22" s="136"/>
      <c r="C22" s="117">
        <v>2021</v>
      </c>
      <c r="D22" s="117">
        <v>2022</v>
      </c>
      <c r="E22" s="117" t="s">
        <v>211</v>
      </c>
      <c r="F22" s="136"/>
    </row>
    <row r="23" spans="1:7" x14ac:dyDescent="0.35">
      <c r="A23" s="6" t="s">
        <v>11</v>
      </c>
      <c r="B23" s="21"/>
      <c r="C23" s="57">
        <f>C7/C16</f>
        <v>15251.595398792919</v>
      </c>
      <c r="D23" s="57">
        <f>D7/D16</f>
        <v>18213.686675727939</v>
      </c>
      <c r="E23" s="7">
        <f>IFERROR((D23-C23)/C23, "")</f>
        <v>0.19421517549367021</v>
      </c>
      <c r="F23" s="6"/>
    </row>
    <row r="24" spans="1:7" x14ac:dyDescent="0.35">
      <c r="A24" s="6" t="s">
        <v>21</v>
      </c>
      <c r="B24" s="21"/>
      <c r="C24" s="57">
        <f>C8/C17</f>
        <v>19236.48</v>
      </c>
      <c r="D24" s="57">
        <f>D8/D17</f>
        <v>14360.809999999998</v>
      </c>
      <c r="E24" s="7">
        <f>IFERROR((D24-C24)/C24, "")</f>
        <v>-0.25345957264530733</v>
      </c>
      <c r="F24" s="6"/>
    </row>
    <row r="25" spans="1:7" x14ac:dyDescent="0.35">
      <c r="A25" s="12" t="s">
        <v>55</v>
      </c>
      <c r="B25" s="94"/>
      <c r="C25" s="123">
        <f>C9/THCE_Statewide!B28</f>
        <v>92.819688814155583</v>
      </c>
      <c r="D25" s="123">
        <f>D9/THCE_Statewide!C28</f>
        <v>172.73892532466832</v>
      </c>
      <c r="E25" s="7">
        <f>IFERROR((D25-C25)/C25, "")</f>
        <v>0.86101599274403673</v>
      </c>
      <c r="F25" s="70" t="s">
        <v>54</v>
      </c>
    </row>
    <row r="26" spans="1:7" s="19" customFormat="1" x14ac:dyDescent="0.35">
      <c r="A26" s="12" t="s">
        <v>107</v>
      </c>
      <c r="B26" s="94"/>
      <c r="C26" s="123">
        <f>C10/C18</f>
        <v>7.1626443305758167</v>
      </c>
      <c r="D26" s="123">
        <f t="shared" ref="D26" si="1">D10/D18</f>
        <v>42.798648943124867</v>
      </c>
      <c r="E26" s="7">
        <f t="shared" ref="E26:E27" si="2">IFERROR((D26-C26)/C26, "")</f>
        <v>4.9752581543699534</v>
      </c>
      <c r="F26" s="6"/>
    </row>
    <row r="27" spans="1:7" x14ac:dyDescent="0.35">
      <c r="A27" s="12" t="s">
        <v>221</v>
      </c>
      <c r="B27" s="12"/>
      <c r="C27" s="100">
        <f>C11/THCE_Statewide!B28</f>
        <v>89.841256996151813</v>
      </c>
      <c r="D27" s="100">
        <f>D11/THCE_Statewide!C28</f>
        <v>100.92384696188284</v>
      </c>
      <c r="E27" s="69">
        <f t="shared" si="2"/>
        <v>0.12335746778571602</v>
      </c>
      <c r="F27" s="70" t="s">
        <v>54</v>
      </c>
    </row>
  </sheetData>
  <mergeCells count="12">
    <mergeCell ref="A21:A22"/>
    <mergeCell ref="B21:B22"/>
    <mergeCell ref="C21:D21"/>
    <mergeCell ref="F21:F22"/>
    <mergeCell ref="F5:F6"/>
    <mergeCell ref="F14:F15"/>
    <mergeCell ref="A14:A15"/>
    <mergeCell ref="B14:B15"/>
    <mergeCell ref="C14:D14"/>
    <mergeCell ref="A5:A6"/>
    <mergeCell ref="B5:B6"/>
    <mergeCell ref="C5:D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BDB03-06ED-4D49-95CF-C3BCABD3023D}">
  <sheetPr>
    <tabColor theme="5"/>
  </sheetPr>
  <dimension ref="A1:K55"/>
  <sheetViews>
    <sheetView zoomScale="85" zoomScaleNormal="85" workbookViewId="0"/>
  </sheetViews>
  <sheetFormatPr defaultRowHeight="14.5" x14ac:dyDescent="0.35"/>
  <cols>
    <col min="1" max="1" width="37.7265625" style="19" customWidth="1"/>
    <col min="2" max="2" width="19.7265625" style="19" customWidth="1"/>
    <col min="3" max="3" width="20" style="19" bestFit="1" customWidth="1"/>
    <col min="4" max="4" width="16.453125" style="19" customWidth="1"/>
    <col min="5" max="5" width="17.7265625" style="19" customWidth="1"/>
    <col min="7" max="7" width="38.1796875" style="19" customWidth="1"/>
    <col min="8" max="8" width="19.7265625" style="19" customWidth="1"/>
    <col min="9" max="9" width="20" style="19" bestFit="1" customWidth="1"/>
    <col min="10" max="10" width="16.453125" style="19" customWidth="1"/>
    <col min="11" max="11" width="20.7265625" style="19" customWidth="1"/>
  </cols>
  <sheetData>
    <row r="1" spans="1:11" ht="18.5" x14ac:dyDescent="0.45">
      <c r="A1" s="1" t="s">
        <v>364</v>
      </c>
      <c r="B1" s="1"/>
      <c r="C1" s="1"/>
      <c r="D1" s="1"/>
      <c r="G1" s="1"/>
      <c r="H1" s="1"/>
      <c r="I1" s="1"/>
      <c r="J1" s="1"/>
    </row>
    <row r="2" spans="1:11" ht="15.5" x14ac:dyDescent="0.35">
      <c r="A2" s="2" t="s">
        <v>141</v>
      </c>
      <c r="B2" s="3"/>
      <c r="C2" s="3"/>
      <c r="D2" s="3"/>
      <c r="G2" s="2"/>
      <c r="H2" s="3"/>
      <c r="I2" s="3"/>
      <c r="J2" s="3"/>
    </row>
    <row r="3" spans="1:11" ht="15.5" x14ac:dyDescent="0.35">
      <c r="A3" s="4" t="s">
        <v>212</v>
      </c>
      <c r="B3" s="5"/>
      <c r="C3" s="5"/>
      <c r="D3" s="5"/>
      <c r="G3" s="4"/>
      <c r="H3" s="5"/>
      <c r="I3" s="5"/>
      <c r="J3" s="5"/>
    </row>
    <row r="4" spans="1:11" ht="15.5" x14ac:dyDescent="0.35">
      <c r="A4" s="4"/>
      <c r="B4" s="5"/>
      <c r="C4" s="5"/>
      <c r="D4" s="5"/>
      <c r="G4" s="4"/>
      <c r="H4" s="5"/>
      <c r="I4" s="5"/>
      <c r="J4" s="5"/>
    </row>
    <row r="5" spans="1:11" x14ac:dyDescent="0.35">
      <c r="A5" s="33" t="s">
        <v>110</v>
      </c>
      <c r="G5" s="33" t="s">
        <v>112</v>
      </c>
    </row>
    <row r="6" spans="1:11" x14ac:dyDescent="0.35">
      <c r="A6" s="132" t="s">
        <v>8</v>
      </c>
      <c r="B6" s="132" t="s">
        <v>2</v>
      </c>
      <c r="C6" s="132"/>
      <c r="D6" s="76" t="s">
        <v>3</v>
      </c>
      <c r="E6" s="135" t="s">
        <v>30</v>
      </c>
      <c r="G6" s="132" t="s">
        <v>8</v>
      </c>
      <c r="H6" s="132" t="s">
        <v>2</v>
      </c>
      <c r="I6" s="132"/>
      <c r="J6" s="76" t="s">
        <v>3</v>
      </c>
      <c r="K6" s="135" t="s">
        <v>30</v>
      </c>
    </row>
    <row r="7" spans="1:11" x14ac:dyDescent="0.35">
      <c r="A7" s="132"/>
      <c r="B7" s="75">
        <v>2021</v>
      </c>
      <c r="C7" s="75">
        <v>2022</v>
      </c>
      <c r="D7" s="75" t="s">
        <v>211</v>
      </c>
      <c r="E7" s="136"/>
      <c r="G7" s="132"/>
      <c r="H7" s="75">
        <v>2021</v>
      </c>
      <c r="I7" s="75">
        <v>2022</v>
      </c>
      <c r="J7" s="75" t="s">
        <v>211</v>
      </c>
      <c r="K7" s="136"/>
    </row>
    <row r="8" spans="1:11" x14ac:dyDescent="0.35">
      <c r="A8" s="37" t="s">
        <v>111</v>
      </c>
      <c r="B8" s="60">
        <f>(TME_Comm_ServCat!B8+TME_Maid_ServCat!H8+TME_Maid_ServCat!N8+TME_Mcare_ServCat!B8)/12+TME_Mcare_ServCat!H8</f>
        <v>3543150.3333333335</v>
      </c>
      <c r="C8" s="60">
        <f>(TME_Comm_ServCat!C8+TME_Maid_ServCat!I8+TME_Maid_ServCat!O8+TME_Mcare_ServCat!C8)/12+TME_Mcare_ServCat!I8</f>
        <v>3636558.4166666665</v>
      </c>
      <c r="D8" s="40">
        <f t="shared" ref="D8:D24" si="0">IFERROR((C8-B8)/B8, "")</f>
        <v>2.6363003131582154E-2</v>
      </c>
      <c r="E8" s="38"/>
      <c r="G8" s="37" t="s">
        <v>111</v>
      </c>
      <c r="H8" s="60">
        <f>B8-TME_Mcare_ServCat!H8</f>
        <v>3074493.3333333335</v>
      </c>
      <c r="I8" s="60">
        <f>C8-TME_Mcare_ServCat!I8</f>
        <v>3177496.4166666665</v>
      </c>
      <c r="J8" s="40">
        <f t="shared" ref="J8:J18" si="1">IFERROR((I8-H8)/H8, "")</f>
        <v>3.3502457857554749E-2</v>
      </c>
      <c r="K8" s="38"/>
    </row>
    <row r="9" spans="1:11" s="77" customFormat="1" x14ac:dyDescent="0.35">
      <c r="A9" s="6" t="s">
        <v>33</v>
      </c>
      <c r="B9" s="23">
        <f>TME_Comm_ServCat!B10+TME_Maid_ServCat!B10+TME_Mcare_ServCat!B10+TME_Mcare_ServCat!H9</f>
        <v>5383849655.2473812</v>
      </c>
      <c r="C9" s="23">
        <f>TME_Comm_ServCat!C10+TME_Maid_ServCat!C10+TME_Mcare_ServCat!C10+TME_Mcare_ServCat!I9</f>
        <v>5435246690.9578247</v>
      </c>
      <c r="D9" s="7">
        <f t="shared" si="0"/>
        <v>9.546521355838616E-3</v>
      </c>
      <c r="E9" s="6"/>
      <c r="G9" s="37" t="s">
        <v>134</v>
      </c>
      <c r="H9" s="81">
        <f>(TME_Comm_ServCat!B9*TME_Comm_ServCat!B8+TME_Maid_ServCat!H9*TME_Maid_ServCat!H8+TME_Maid_ServCat!N9*TME_Maid_ServCat!N8+TME_Mcare_ServCat!B9*TME_Mcare_ServCat!B8)/(TME_Comm_ServCat!B8+TME_Maid_ServCat!H8+TME_Maid_ServCat!N8+TME_Mcare_ServCat!B8)</f>
        <v>1.0173052075936824</v>
      </c>
      <c r="I9" s="81">
        <f>(TME_Comm_ServCat!C9*TME_Comm_ServCat!C8+TME_Maid_ServCat!I9*TME_Maid_ServCat!I8+TME_Maid_ServCat!O9*TME_Maid_ServCat!O8+TME_Mcare_ServCat!C9*TME_Mcare_ServCat!C8)/(TME_Comm_ServCat!C8+TME_Maid_ServCat!I8+TME_Maid_ServCat!O8+TME_Mcare_ServCat!C8)</f>
        <v>1.0199341698598223</v>
      </c>
      <c r="J9" s="40">
        <f t="shared" si="1"/>
        <v>2.5842414316923253E-3</v>
      </c>
      <c r="K9" s="38"/>
    </row>
    <row r="10" spans="1:11" x14ac:dyDescent="0.35">
      <c r="A10" s="6" t="s">
        <v>34</v>
      </c>
      <c r="B10" s="23">
        <f>TME_Comm_ServCat!B11+TME_Maid_ServCat!B11+TME_Mcare_ServCat!B11+TME_Mcare_ServCat!H10</f>
        <v>5095828392.6536369</v>
      </c>
      <c r="C10" s="23">
        <f>TME_Comm_ServCat!C11+TME_Maid_ServCat!C11+TME_Mcare_ServCat!C11+TME_Mcare_ServCat!I10</f>
        <v>5425426594.2806921</v>
      </c>
      <c r="D10" s="7">
        <f t="shared" si="0"/>
        <v>6.4680004158346058E-2</v>
      </c>
      <c r="E10" s="6"/>
      <c r="G10" s="6" t="s">
        <v>33</v>
      </c>
      <c r="H10" s="23">
        <f>TME_Comm_ServCat!B10+TME_Maid_ServCat!B10+TME_Mcare_ServCat!B10</f>
        <v>4059083447.2473812</v>
      </c>
      <c r="I10" s="23">
        <f>TME_Comm_ServCat!C10+TME_Maid_ServCat!C10+TME_Mcare_ServCat!C10</f>
        <v>4077285319.9578247</v>
      </c>
      <c r="J10" s="7">
        <f t="shared" si="1"/>
        <v>4.4842322034021938E-3</v>
      </c>
      <c r="K10" s="6"/>
    </row>
    <row r="11" spans="1:11" x14ac:dyDescent="0.35">
      <c r="A11" s="6" t="s">
        <v>109</v>
      </c>
      <c r="B11" s="23">
        <f>SUM(TME_Comm_ServCat!B12:B15)+SUM(TME_Maid_ServCat!B12:B15)+SUM(TME_Mcare_ServCat!B12:B15)+SUM(TME_Mcare_ServCat!H11:H12)</f>
        <v>7678436172.692626</v>
      </c>
      <c r="C11" s="23">
        <f>SUM(TME_Comm_ServCat!C12:C15)+SUM(TME_Maid_ServCat!C12:C15)+SUM(TME_Mcare_ServCat!C12:C15)+SUM(TME_Mcare_ServCat!I11:I12)</f>
        <v>7923728755.6407156</v>
      </c>
      <c r="D11" s="7">
        <f t="shared" si="0"/>
        <v>3.1945643283516664E-2</v>
      </c>
      <c r="E11" s="6"/>
      <c r="G11" s="6" t="s">
        <v>34</v>
      </c>
      <c r="H11" s="23">
        <f>TME_Comm_ServCat!B11+TME_Maid_ServCat!B11+TME_Mcare_ServCat!B11</f>
        <v>4211225088.6536374</v>
      </c>
      <c r="I11" s="23">
        <f>TME_Comm_ServCat!C11+TME_Maid_ServCat!C11+TME_Mcare_ServCat!C11</f>
        <v>4494313550.2806921</v>
      </c>
      <c r="J11" s="7">
        <f t="shared" si="1"/>
        <v>6.7222353511756927E-2</v>
      </c>
      <c r="K11" s="6"/>
    </row>
    <row r="12" spans="1:11" x14ac:dyDescent="0.35">
      <c r="A12" s="6" t="s">
        <v>39</v>
      </c>
      <c r="B12" s="23">
        <f>TME_Comm_ServCat!B16+TME_Maid_ServCat!B16+TME_Mcare_ServCat!B16+SUM(TME_Mcare_ServCat!H13:H14)</f>
        <v>900113589.11440063</v>
      </c>
      <c r="C12" s="23">
        <f>TME_Comm_ServCat!C16+TME_Maid_ServCat!C16+TME_Mcare_ServCat!C16+SUM(TME_Mcare_ServCat!I13:I14)</f>
        <v>828966848.79757857</v>
      </c>
      <c r="D12" s="7">
        <f t="shared" si="0"/>
        <v>-7.9041957789818013E-2</v>
      </c>
      <c r="E12" s="6"/>
      <c r="G12" s="6" t="s">
        <v>35</v>
      </c>
      <c r="H12" s="23">
        <f>TME_Comm_ServCat!B12+TME_Maid_ServCat!B12+TME_Mcare_ServCat!B12</f>
        <v>1480981981.2817271</v>
      </c>
      <c r="I12" s="23">
        <f>TME_Comm_ServCat!C12+TME_Maid_ServCat!C12+TME_Mcare_ServCat!C12</f>
        <v>1519815724.9457164</v>
      </c>
      <c r="J12" s="7">
        <f t="shared" si="1"/>
        <v>2.6221617922981309E-2</v>
      </c>
      <c r="K12" s="6"/>
    </row>
    <row r="13" spans="1:11" x14ac:dyDescent="0.35">
      <c r="A13" s="12" t="s">
        <v>60</v>
      </c>
      <c r="B13" s="23">
        <f>TME_Comm_ServCat!B17+TME_Maid_ServCat!B17+TME_Mcare_ServCat!B17+TME_Mcare_ServCat!H19</f>
        <v>5108248646.4435635</v>
      </c>
      <c r="C13" s="23">
        <f>TME_Comm_ServCat!C17+TME_Maid_ServCat!C17+TME_Mcare_ServCat!C17+TME_Mcare_ServCat!I19</f>
        <v>5470319175.8731537</v>
      </c>
      <c r="D13" s="7">
        <f t="shared" si="0"/>
        <v>7.0879582120903409E-2</v>
      </c>
      <c r="E13" s="6"/>
      <c r="G13" s="6" t="s">
        <v>36</v>
      </c>
      <c r="H13" s="23">
        <f>TME_Comm_ServCat!B13+TME_Maid_ServCat!B13+TME_Mcare_ServCat!B13</f>
        <v>2945329851.3307581</v>
      </c>
      <c r="I13" s="23">
        <f>TME_Comm_ServCat!C13+TME_Maid_ServCat!C13+TME_Mcare_ServCat!C13</f>
        <v>2970263568.6614294</v>
      </c>
      <c r="J13" s="7">
        <f t="shared" si="1"/>
        <v>8.4655093280658414E-3</v>
      </c>
      <c r="K13" s="6"/>
    </row>
    <row r="14" spans="1:11" x14ac:dyDescent="0.35">
      <c r="A14" s="12" t="s">
        <v>61</v>
      </c>
      <c r="B14" s="23">
        <f>TME_Comm_ServCat!B18+TME_Maid_ServCat!B18+TME_Mcare_ServCat!B18+TME_Mcare_ServCat!H19</f>
        <v>4036708541.7227578</v>
      </c>
      <c r="C14" s="23">
        <f>TME_Comm_ServCat!C18+TME_Maid_ServCat!C18+TME_Mcare_ServCat!C18+TME_Mcare_ServCat!I19</f>
        <v>4199358612.694169</v>
      </c>
      <c r="D14" s="7">
        <f t="shared" si="0"/>
        <v>4.0292745758155869E-2</v>
      </c>
      <c r="E14" s="46"/>
      <c r="G14" s="6" t="s">
        <v>37</v>
      </c>
      <c r="H14" s="23">
        <f>TME_Comm_ServCat!B14+TME_Maid_ServCat!B14+TME_Mcare_ServCat!B14</f>
        <v>843335534.90200937</v>
      </c>
      <c r="I14" s="23">
        <f>TME_Comm_ServCat!C14+TME_Maid_ServCat!C14+TME_Mcare_ServCat!C14</f>
        <v>978905727.07553577</v>
      </c>
      <c r="J14" s="7">
        <f t="shared" si="1"/>
        <v>0.16075474892597627</v>
      </c>
      <c r="K14" s="6"/>
    </row>
    <row r="15" spans="1:11" x14ac:dyDescent="0.35">
      <c r="A15" s="12" t="s">
        <v>40</v>
      </c>
      <c r="B15" s="23">
        <f>TME_Comm_ServCat!B19+TME_Maid_ServCat!B19+TME_Mcare_ServCat!B19+SUM(TME_Mcare_ServCat!H15:H18)</f>
        <v>2206376022.1355038</v>
      </c>
      <c r="C15" s="23">
        <f>TME_Comm_ServCat!C19+TME_Maid_ServCat!C19+TME_Mcare_ServCat!C19+SUM(TME_Mcare_ServCat!I15:I18)</f>
        <v>2255281824.6316342</v>
      </c>
      <c r="D15" s="7">
        <f t="shared" si="0"/>
        <v>2.2165669861112611E-2</v>
      </c>
      <c r="E15" s="6"/>
      <c r="G15" s="6" t="s">
        <v>38</v>
      </c>
      <c r="H15" s="23">
        <f>TME_Comm_ServCat!B15+TME_Maid_ServCat!B15+TME_Mcare_ServCat!B15</f>
        <v>1264693999.1781311</v>
      </c>
      <c r="I15" s="23">
        <f>TME_Comm_ServCat!C15+TME_Maid_ServCat!C15+TME_Mcare_ServCat!C15</f>
        <v>1339527360.9580333</v>
      </c>
      <c r="J15" s="7">
        <f t="shared" si="1"/>
        <v>5.9171121100070945E-2</v>
      </c>
      <c r="K15" s="6"/>
    </row>
    <row r="16" spans="1:11" x14ac:dyDescent="0.35">
      <c r="A16" s="12" t="s">
        <v>48</v>
      </c>
      <c r="B16" s="23">
        <f>TME_Comm_ServCat!B20+TME_Maid_ServCat!B20+TME_Mcare_ServCat!B20</f>
        <v>957650687.43895745</v>
      </c>
      <c r="C16" s="23">
        <f>TME_Comm_ServCat!C20+TME_Maid_ServCat!C20+TME_Mcare_ServCat!C20</f>
        <v>1245691778.6522977</v>
      </c>
      <c r="D16" s="7">
        <f t="shared" si="0"/>
        <v>0.30077886957262856</v>
      </c>
      <c r="E16" s="6"/>
      <c r="G16" s="6" t="s">
        <v>39</v>
      </c>
      <c r="H16" s="23">
        <f>TME_Comm_ServCat!B16+TME_Maid_ServCat!B16+TME_Mcare_ServCat!B16</f>
        <v>550469801.11440063</v>
      </c>
      <c r="I16" s="23">
        <f>TME_Comm_ServCat!C16+TME_Maid_ServCat!C16+TME_Mcare_ServCat!C16</f>
        <v>484351363.79757851</v>
      </c>
      <c r="J16" s="7">
        <f t="shared" si="1"/>
        <v>-0.12011274221214024</v>
      </c>
      <c r="K16" s="6"/>
    </row>
    <row r="17" spans="1:11" x14ac:dyDescent="0.35">
      <c r="A17" s="12" t="s">
        <v>49</v>
      </c>
      <c r="B17" s="23">
        <f>TME_Comm_ServCat!B21+TME_Maid_ServCat!B21+TME_Mcare_ServCat!B21</f>
        <v>341752631.37135571</v>
      </c>
      <c r="C17" s="23">
        <f>TME_Comm_ServCat!C21+TME_Maid_ServCat!C21+TME_Mcare_ServCat!C21</f>
        <v>428151827.51113582</v>
      </c>
      <c r="D17" s="7">
        <f t="shared" si="0"/>
        <v>0.25281208748293993</v>
      </c>
      <c r="E17" s="6"/>
      <c r="G17" s="12" t="s">
        <v>60</v>
      </c>
      <c r="H17" s="23">
        <f>TME_Comm_ServCat!B17+TME_Maid_ServCat!B17+TME_Mcare_ServCat!B17</f>
        <v>4080379078.4435635</v>
      </c>
      <c r="I17" s="23">
        <f>TME_Comm_ServCat!C17+TME_Maid_ServCat!C17+TME_Mcare_ServCat!C17</f>
        <v>4452718706.8731537</v>
      </c>
      <c r="J17" s="7">
        <f t="shared" si="1"/>
        <v>9.1251234571964573E-2</v>
      </c>
      <c r="K17" s="6"/>
    </row>
    <row r="18" spans="1:11" x14ac:dyDescent="0.35">
      <c r="A18" s="12" t="s">
        <v>50</v>
      </c>
      <c r="B18" s="23">
        <f>TME_Comm_ServCat!B22+TME_Maid_ServCat!B22+TME_Mcare_ServCat!B22</f>
        <v>128520463.7951902</v>
      </c>
      <c r="C18" s="23">
        <f>TME_Comm_ServCat!C22+TME_Maid_ServCat!C22+TME_Mcare_ServCat!C22</f>
        <v>131927596.44596896</v>
      </c>
      <c r="D18" s="7">
        <f t="shared" si="0"/>
        <v>2.6510429157868207E-2</v>
      </c>
      <c r="E18" s="6"/>
      <c r="G18" s="12" t="s">
        <v>61</v>
      </c>
      <c r="H18" s="23">
        <f>TME_Comm_ServCat!B18+TME_Maid_ServCat!B18+TME_Mcare_ServCat!B18</f>
        <v>3008838973.7227578</v>
      </c>
      <c r="I18" s="23">
        <f>TME_Comm_ServCat!C18+TME_Maid_ServCat!C18+TME_Mcare_ServCat!C18</f>
        <v>3181758143.694169</v>
      </c>
      <c r="J18" s="7">
        <f t="shared" si="1"/>
        <v>5.747039688118067E-2</v>
      </c>
      <c r="K18" s="6"/>
    </row>
    <row r="19" spans="1:11" x14ac:dyDescent="0.35">
      <c r="A19" s="12" t="s">
        <v>51</v>
      </c>
      <c r="B19" s="23">
        <f>TME_Comm_ServCat!B23+TME_Maid_ServCat!B23+TME_Mcare_ServCat!B23</f>
        <v>22891929.820286859</v>
      </c>
      <c r="C19" s="23">
        <f>TME_Comm_ServCat!C23+TME_Maid_ServCat!C23+TME_Mcare_ServCat!C23</f>
        <v>22019893.916403748</v>
      </c>
      <c r="D19" s="7">
        <f t="shared" si="0"/>
        <v>-3.8093595023618816E-2</v>
      </c>
      <c r="E19" s="6"/>
      <c r="G19" s="12" t="s">
        <v>40</v>
      </c>
      <c r="H19" s="23">
        <f>TME_Comm_ServCat!B19+TME_Maid_ServCat!B19+TME_Mcare_ServCat!B19</f>
        <v>1239991012.1355038</v>
      </c>
      <c r="I19" s="23">
        <f>TME_Comm_ServCat!C19+TME_Maid_ServCat!C19+TME_Mcare_ServCat!C19</f>
        <v>1284565434.6316342</v>
      </c>
      <c r="J19" s="7">
        <f t="shared" ref="J19:J28" si="2">IFERROR((I19-H19)/H19, "")</f>
        <v>3.5947375472798554E-2</v>
      </c>
      <c r="K19" s="6"/>
    </row>
    <row r="20" spans="1:11" x14ac:dyDescent="0.35">
      <c r="A20" s="12" t="s">
        <v>52</v>
      </c>
      <c r="B20" s="23">
        <f>TME_Comm_ServCat!B24+TME_Maid_ServCat!B24+TME_Mcare_ServCat!B24</f>
        <v>-27685743.091053322</v>
      </c>
      <c r="C20" s="23">
        <f>TME_Comm_ServCat!C24+TME_Maid_ServCat!C24+TME_Mcare_ServCat!C24</f>
        <v>-15392026.395819986</v>
      </c>
      <c r="D20" s="7">
        <f t="shared" si="0"/>
        <v>-0.44404503266542494</v>
      </c>
      <c r="E20" s="6"/>
      <c r="G20" s="12" t="s">
        <v>48</v>
      </c>
      <c r="H20" s="23">
        <f>TME_Comm_ServCat!B20+TME_Maid_ServCat!B20+TME_Mcare_ServCat!B20</f>
        <v>957650687.43895745</v>
      </c>
      <c r="I20" s="23">
        <f>TME_Comm_ServCat!C20+TME_Maid_ServCat!C20+TME_Mcare_ServCat!C20</f>
        <v>1245691778.6522977</v>
      </c>
      <c r="J20" s="7">
        <f t="shared" si="2"/>
        <v>0.30077886957262856</v>
      </c>
      <c r="K20" s="6"/>
    </row>
    <row r="21" spans="1:11" x14ac:dyDescent="0.35">
      <c r="A21" s="12" t="s">
        <v>53</v>
      </c>
      <c r="B21" s="23">
        <f>TME_Comm_ServCat!B25+TME_Maid_ServCat!B25+TME_Mcare_ServCat!B25</f>
        <v>69778140.1347913</v>
      </c>
      <c r="C21" s="23">
        <f>TME_Comm_ServCat!C25+TME_Maid_ServCat!C25+TME_Mcare_ServCat!C25</f>
        <v>40792236.692637771</v>
      </c>
      <c r="D21" s="7">
        <f t="shared" si="0"/>
        <v>-0.41540091762493381</v>
      </c>
      <c r="E21" s="6"/>
      <c r="G21" s="12" t="s">
        <v>49</v>
      </c>
      <c r="H21" s="23">
        <f>TME_Comm_ServCat!B21+TME_Maid_ServCat!B21+TME_Mcare_ServCat!B21</f>
        <v>341752631.37135571</v>
      </c>
      <c r="I21" s="23">
        <f>TME_Comm_ServCat!C21+TME_Maid_ServCat!C21+TME_Mcare_ServCat!C21</f>
        <v>428151827.51113582</v>
      </c>
      <c r="J21" s="7">
        <f t="shared" si="2"/>
        <v>0.25281208748293993</v>
      </c>
      <c r="K21" s="6"/>
    </row>
    <row r="22" spans="1:11" x14ac:dyDescent="0.35">
      <c r="A22" s="37" t="s">
        <v>62</v>
      </c>
      <c r="B22" s="39">
        <f>SUM(B9:B13)+B15</f>
        <v>26372852478.287109</v>
      </c>
      <c r="C22" s="39">
        <f>SUM(C9:C13)+C15</f>
        <v>27338969890.181599</v>
      </c>
      <c r="D22" s="40">
        <f t="shared" si="0"/>
        <v>3.6633026810046362E-2</v>
      </c>
      <c r="E22" s="37"/>
      <c r="G22" s="12" t="s">
        <v>50</v>
      </c>
      <c r="H22" s="23">
        <f>TME_Comm_ServCat!B22+TME_Maid_ServCat!B22+TME_Mcare_ServCat!B22</f>
        <v>128520463.7951902</v>
      </c>
      <c r="I22" s="23">
        <f>TME_Comm_ServCat!C22+TME_Maid_ServCat!C22+TME_Mcare_ServCat!C22</f>
        <v>131927596.44596896</v>
      </c>
      <c r="J22" s="7">
        <f t="shared" si="2"/>
        <v>2.6510429157868207E-2</v>
      </c>
      <c r="K22" s="6"/>
    </row>
    <row r="23" spans="1:11" x14ac:dyDescent="0.35">
      <c r="A23" s="37" t="s">
        <v>63</v>
      </c>
      <c r="B23" s="39">
        <f>SUM(B9:B12)+SUM(B14:B15)</f>
        <v>25301312373.566303</v>
      </c>
      <c r="C23" s="39">
        <f>SUM(C9:C12)+SUM(C14:C15)</f>
        <v>26068009327.002617</v>
      </c>
      <c r="D23" s="40">
        <f t="shared" si="0"/>
        <v>3.0302655534869601E-2</v>
      </c>
      <c r="E23" s="37"/>
      <c r="G23" s="12" t="s">
        <v>51</v>
      </c>
      <c r="H23" s="23">
        <f>TME_Comm_ServCat!B23+TME_Maid_ServCat!B23+TME_Mcare_ServCat!B23</f>
        <v>22891929.820286859</v>
      </c>
      <c r="I23" s="23">
        <f>TME_Comm_ServCat!C23+TME_Maid_ServCat!C23+TME_Mcare_ServCat!C23</f>
        <v>22019893.916403748</v>
      </c>
      <c r="J23" s="7">
        <f t="shared" si="2"/>
        <v>-3.8093595023618816E-2</v>
      </c>
      <c r="K23" s="6"/>
    </row>
    <row r="24" spans="1:11" x14ac:dyDescent="0.35">
      <c r="A24" s="37" t="s">
        <v>56</v>
      </c>
      <c r="B24" s="39">
        <f>SUM(B16:B21)</f>
        <v>1492908109.4695282</v>
      </c>
      <c r="C24" s="39">
        <f t="shared" ref="C24" si="3">SUM(C16:C21)</f>
        <v>1853191306.822624</v>
      </c>
      <c r="D24" s="40">
        <f t="shared" si="0"/>
        <v>0.24132978786022832</v>
      </c>
      <c r="E24" s="37"/>
      <c r="G24" s="12" t="s">
        <v>52</v>
      </c>
      <c r="H24" s="23">
        <f>TME_Comm_ServCat!B24+TME_Maid_ServCat!B24+TME_Mcare_ServCat!B24</f>
        <v>-27685743.091053322</v>
      </c>
      <c r="I24" s="23">
        <f>TME_Comm_ServCat!C24+TME_Maid_ServCat!C24+TME_Mcare_ServCat!C24</f>
        <v>-15392026.395819986</v>
      </c>
      <c r="J24" s="7">
        <f t="shared" si="2"/>
        <v>-0.44404503266542494</v>
      </c>
      <c r="K24" s="6"/>
    </row>
    <row r="25" spans="1:11" x14ac:dyDescent="0.35">
      <c r="G25" s="12" t="s">
        <v>53</v>
      </c>
      <c r="H25" s="23">
        <f>TME_Comm_ServCat!B25+TME_Maid_ServCat!B25+TME_Mcare_ServCat!B25</f>
        <v>69778140.1347913</v>
      </c>
      <c r="I25" s="23">
        <f>TME_Comm_ServCat!C25+TME_Maid_ServCat!C25+TME_Mcare_ServCat!C25</f>
        <v>40792236.692637771</v>
      </c>
      <c r="J25" s="7">
        <f t="shared" si="2"/>
        <v>-0.41540091762493381</v>
      </c>
      <c r="K25" s="6"/>
    </row>
    <row r="26" spans="1:11" x14ac:dyDescent="0.35">
      <c r="G26" s="37" t="s">
        <v>62</v>
      </c>
      <c r="H26" s="39">
        <f>SUM(H10:H16) + H17 +H19</f>
        <v>20675489794.287117</v>
      </c>
      <c r="I26" s="39">
        <f t="shared" ref="I26" si="4">SUM(I10:I16) + I17 +I19</f>
        <v>21601746757.181595</v>
      </c>
      <c r="J26" s="40">
        <f t="shared" si="2"/>
        <v>4.4799759140429829E-2</v>
      </c>
      <c r="K26" s="38"/>
    </row>
    <row r="27" spans="1:11" x14ac:dyDescent="0.35">
      <c r="A27" s="132" t="s">
        <v>8</v>
      </c>
      <c r="B27" s="132" t="s">
        <v>67</v>
      </c>
      <c r="C27" s="132"/>
      <c r="D27" s="76" t="s">
        <v>3</v>
      </c>
      <c r="E27" s="135" t="s">
        <v>30</v>
      </c>
      <c r="G27" s="37" t="s">
        <v>63</v>
      </c>
      <c r="H27" s="39">
        <f>SUM(H10:H16) + H18 +H19</f>
        <v>19603949689.566307</v>
      </c>
      <c r="I27" s="39">
        <f t="shared" ref="I27" si="5">SUM(I10:I16) + I18 +I19</f>
        <v>20330786194.002609</v>
      </c>
      <c r="J27" s="40">
        <f t="shared" si="2"/>
        <v>3.7076023757760514E-2</v>
      </c>
      <c r="K27" s="38"/>
    </row>
    <row r="28" spans="1:11" x14ac:dyDescent="0.35">
      <c r="A28" s="132"/>
      <c r="B28" s="75">
        <v>2021</v>
      </c>
      <c r="C28" s="75">
        <v>2022</v>
      </c>
      <c r="D28" s="75" t="s">
        <v>211</v>
      </c>
      <c r="E28" s="136"/>
      <c r="G28" s="37" t="s">
        <v>56</v>
      </c>
      <c r="H28" s="39">
        <f>SUM(H20:H25)</f>
        <v>1492908109.4695282</v>
      </c>
      <c r="I28" s="39">
        <f t="shared" ref="I28" si="6">SUM(I20:I25)</f>
        <v>1853191306.822624</v>
      </c>
      <c r="J28" s="40">
        <f t="shared" si="2"/>
        <v>0.24132978786022832</v>
      </c>
      <c r="K28" s="38"/>
    </row>
    <row r="29" spans="1:11" x14ac:dyDescent="0.35">
      <c r="A29" s="6" t="s">
        <v>33</v>
      </c>
      <c r="B29" s="23">
        <f>B9/$B$8</f>
        <v>1519.5092357772892</v>
      </c>
      <c r="C29" s="23">
        <f>C9/$C$8</f>
        <v>1494.6127817025053</v>
      </c>
      <c r="D29" s="7">
        <f t="shared" ref="D29:D46" si="7">IFERROR((C29-B29)/B29, "")</f>
        <v>-1.638453619668084E-2</v>
      </c>
      <c r="E29" s="6"/>
      <c r="G29" s="17"/>
      <c r="H29" s="55"/>
      <c r="I29" s="55"/>
      <c r="J29" s="56"/>
      <c r="K29" s="14"/>
    </row>
    <row r="30" spans="1:11" x14ac:dyDescent="0.35">
      <c r="A30" s="6" t="s">
        <v>34</v>
      </c>
      <c r="B30" s="23">
        <f t="shared" ref="B30:B41" si="8">B10/$B$8</f>
        <v>1438.2196388092773</v>
      </c>
      <c r="C30" s="23">
        <f t="shared" ref="C30:C41" si="9">C10/$C$8</f>
        <v>1491.9123997611273</v>
      </c>
      <c r="D30" s="7">
        <f t="shared" si="7"/>
        <v>3.7332796398401993E-2</v>
      </c>
      <c r="E30" s="6"/>
      <c r="G30" s="17"/>
      <c r="H30" s="55"/>
      <c r="I30" s="55"/>
      <c r="J30" s="56"/>
      <c r="K30" s="14"/>
    </row>
    <row r="31" spans="1:11" x14ac:dyDescent="0.35">
      <c r="A31" s="6" t="s">
        <v>109</v>
      </c>
      <c r="B31" s="23">
        <f t="shared" si="8"/>
        <v>2167.121191685053</v>
      </c>
      <c r="C31" s="23">
        <f t="shared" si="9"/>
        <v>2178.9086954648028</v>
      </c>
      <c r="D31" s="7">
        <f t="shared" si="7"/>
        <v>5.4392453107730554E-3</v>
      </c>
      <c r="E31" s="6"/>
      <c r="G31" s="132" t="s">
        <v>8</v>
      </c>
      <c r="H31" s="132" t="s">
        <v>67</v>
      </c>
      <c r="I31" s="132"/>
      <c r="J31" s="76" t="s">
        <v>3</v>
      </c>
      <c r="K31" s="135" t="s">
        <v>30</v>
      </c>
    </row>
    <row r="32" spans="1:11" x14ac:dyDescent="0.35">
      <c r="A32" s="6" t="s">
        <v>39</v>
      </c>
      <c r="B32" s="23">
        <f t="shared" si="8"/>
        <v>254.04329605952384</v>
      </c>
      <c r="C32" s="23">
        <f t="shared" si="9"/>
        <v>227.95367317581116</v>
      </c>
      <c r="D32" s="7">
        <f t="shared" si="7"/>
        <v>-0.10269754521528381</v>
      </c>
      <c r="E32" s="6"/>
      <c r="G32" s="132"/>
      <c r="H32" s="75">
        <v>2021</v>
      </c>
      <c r="I32" s="75">
        <v>2022</v>
      </c>
      <c r="J32" s="75" t="s">
        <v>211</v>
      </c>
      <c r="K32" s="136"/>
    </row>
    <row r="33" spans="1:11" x14ac:dyDescent="0.35">
      <c r="A33" s="12" t="s">
        <v>60</v>
      </c>
      <c r="B33" s="23">
        <f t="shared" si="8"/>
        <v>1441.7250655119149</v>
      </c>
      <c r="C33" s="23">
        <f t="shared" si="9"/>
        <v>1504.2571984550559</v>
      </c>
      <c r="D33" s="7">
        <f t="shared" si="7"/>
        <v>4.3373132949545895E-2</v>
      </c>
      <c r="E33" s="6"/>
      <c r="G33" s="6" t="s">
        <v>33</v>
      </c>
      <c r="H33" s="23">
        <f>H10/$H$8</f>
        <v>1320.244673565958</v>
      </c>
      <c r="I33" s="23">
        <f>I10/$I$8</f>
        <v>1283.1754265942104</v>
      </c>
      <c r="J33" s="7">
        <f t="shared" ref="J33:J55" si="10">IFERROR((I33-H33)/H33, "")</f>
        <v>-2.8077558435910362E-2</v>
      </c>
      <c r="K33" s="46"/>
    </row>
    <row r="34" spans="1:11" x14ac:dyDescent="0.35">
      <c r="A34" s="12" t="s">
        <v>61</v>
      </c>
      <c r="B34" s="23">
        <f t="shared" si="8"/>
        <v>1139.2992568636209</v>
      </c>
      <c r="C34" s="23">
        <f t="shared" si="9"/>
        <v>1154.7617641581501</v>
      </c>
      <c r="D34" s="7">
        <f t="shared" si="7"/>
        <v>1.3571945387813117E-2</v>
      </c>
      <c r="E34" s="6"/>
      <c r="G34" s="6" t="s">
        <v>34</v>
      </c>
      <c r="H34" s="23">
        <f t="shared" ref="H34:H48" si="11">H11/$H$8</f>
        <v>1369.7297837650119</v>
      </c>
      <c r="I34" s="23">
        <f t="shared" ref="I34:I48" si="12">I11/$I$8</f>
        <v>1414.4197068821322</v>
      </c>
      <c r="J34" s="7">
        <f t="shared" si="10"/>
        <v>3.2626817089630597E-2</v>
      </c>
      <c r="K34" s="6"/>
    </row>
    <row r="35" spans="1:11" x14ac:dyDescent="0.35">
      <c r="A35" s="12" t="s">
        <v>40</v>
      </c>
      <c r="B35" s="23">
        <f t="shared" si="8"/>
        <v>622.71589251472267</v>
      </c>
      <c r="C35" s="23">
        <f t="shared" si="9"/>
        <v>620.16928266447735</v>
      </c>
      <c r="D35" s="7">
        <f t="shared" si="7"/>
        <v>-4.0895212100036599E-3</v>
      </c>
      <c r="E35" s="6"/>
      <c r="G35" s="6" t="s">
        <v>35</v>
      </c>
      <c r="H35" s="23">
        <f t="shared" si="11"/>
        <v>481.69952597557329</v>
      </c>
      <c r="I35" s="23">
        <f t="shared" si="12"/>
        <v>478.30603898526812</v>
      </c>
      <c r="J35" s="7">
        <f t="shared" si="10"/>
        <v>-7.0448211121496088E-3</v>
      </c>
      <c r="K35" s="6"/>
    </row>
    <row r="36" spans="1:11" x14ac:dyDescent="0.35">
      <c r="A36" s="12" t="s">
        <v>48</v>
      </c>
      <c r="B36" s="23">
        <f t="shared" si="8"/>
        <v>270.28226220873233</v>
      </c>
      <c r="C36" s="23">
        <f t="shared" si="9"/>
        <v>342.54689074790684</v>
      </c>
      <c r="D36" s="7">
        <f t="shared" si="7"/>
        <v>0.26736726246344023</v>
      </c>
      <c r="E36" s="6"/>
      <c r="G36" s="6" t="s">
        <v>36</v>
      </c>
      <c r="H36" s="23">
        <f t="shared" si="11"/>
        <v>957.98869342073419</v>
      </c>
      <c r="I36" s="23">
        <f t="shared" si="12"/>
        <v>934.78109151649858</v>
      </c>
      <c r="J36" s="7">
        <f t="shared" si="10"/>
        <v>-2.4225340093907755E-2</v>
      </c>
      <c r="K36" s="6"/>
    </row>
    <row r="37" spans="1:11" x14ac:dyDescent="0.35">
      <c r="A37" s="12" t="s">
        <v>49</v>
      </c>
      <c r="B37" s="23">
        <f t="shared" si="8"/>
        <v>96.454454149519776</v>
      </c>
      <c r="C37" s="23">
        <f t="shared" si="9"/>
        <v>117.73544611544762</v>
      </c>
      <c r="D37" s="7">
        <f t="shared" si="7"/>
        <v>0.22063254780270602</v>
      </c>
      <c r="E37" s="46"/>
      <c r="G37" s="6" t="s">
        <v>37</v>
      </c>
      <c r="H37" s="23">
        <f t="shared" si="11"/>
        <v>274.30065492699373</v>
      </c>
      <c r="I37" s="23">
        <f t="shared" si="12"/>
        <v>308.07453375587153</v>
      </c>
      <c r="J37" s="7">
        <f t="shared" si="10"/>
        <v>0.12312722635630184</v>
      </c>
      <c r="K37" s="6"/>
    </row>
    <row r="38" spans="1:11" x14ac:dyDescent="0.35">
      <c r="A38" s="12" t="s">
        <v>50</v>
      </c>
      <c r="B38" s="23">
        <f t="shared" si="8"/>
        <v>36.272935581110502</v>
      </c>
      <c r="C38" s="23">
        <f t="shared" si="9"/>
        <v>36.278145798877638</v>
      </c>
      <c r="D38" s="7">
        <f t="shared" si="7"/>
        <v>1.4363926392131025E-4</v>
      </c>
      <c r="E38" s="6"/>
      <c r="G38" s="6" t="s">
        <v>38</v>
      </c>
      <c r="H38" s="23">
        <f t="shared" si="11"/>
        <v>411.35037941583795</v>
      </c>
      <c r="I38" s="23">
        <f t="shared" si="12"/>
        <v>421.56691473573915</v>
      </c>
      <c r="J38" s="7">
        <f t="shared" si="10"/>
        <v>2.4836576872518709E-2</v>
      </c>
      <c r="K38" s="6"/>
    </row>
    <row r="39" spans="1:11" x14ac:dyDescent="0.35">
      <c r="A39" s="12" t="s">
        <v>51</v>
      </c>
      <c r="B39" s="23">
        <f t="shared" si="8"/>
        <v>6.4608971301397009</v>
      </c>
      <c r="C39" s="23">
        <f t="shared" si="9"/>
        <v>6.0551464856125072</v>
      </c>
      <c r="D39" s="7">
        <f t="shared" si="7"/>
        <v>-6.2800975832658132E-2</v>
      </c>
      <c r="E39" s="6"/>
      <c r="G39" s="6" t="s">
        <v>39</v>
      </c>
      <c r="H39" s="23">
        <f t="shared" si="11"/>
        <v>179.04407049651562</v>
      </c>
      <c r="I39" s="23">
        <f t="shared" si="12"/>
        <v>152.43175767470555</v>
      </c>
      <c r="J39" s="7">
        <f t="shared" si="10"/>
        <v>-0.14863554402002924</v>
      </c>
      <c r="K39" s="6"/>
    </row>
    <row r="40" spans="1:11" x14ac:dyDescent="0.35">
      <c r="A40" s="12" t="s">
        <v>52</v>
      </c>
      <c r="B40" s="23">
        <f>B20/$B$8</f>
        <v>-7.8138776191884194</v>
      </c>
      <c r="C40" s="23">
        <f t="shared" si="9"/>
        <v>-4.232580542437316</v>
      </c>
      <c r="D40" s="7">
        <f t="shared" si="7"/>
        <v>-0.45832520693139178</v>
      </c>
      <c r="E40" s="6"/>
      <c r="G40" s="12" t="s">
        <v>60</v>
      </c>
      <c r="H40" s="23">
        <f t="shared" si="11"/>
        <v>1327.1712233702128</v>
      </c>
      <c r="I40" s="23">
        <f t="shared" si="12"/>
        <v>1401.329261464361</v>
      </c>
      <c r="J40" s="7">
        <f t="shared" si="10"/>
        <v>5.5876767660642611E-2</v>
      </c>
      <c r="K40" s="6"/>
    </row>
    <row r="41" spans="1:11" x14ac:dyDescent="0.35">
      <c r="A41" s="12" t="s">
        <v>53</v>
      </c>
      <c r="B41" s="23">
        <f t="shared" si="8"/>
        <v>19.693813011074035</v>
      </c>
      <c r="C41" s="23">
        <f t="shared" si="9"/>
        <v>11.217264242390105</v>
      </c>
      <c r="D41" s="7">
        <f t="shared" si="7"/>
        <v>-0.43041684024914217</v>
      </c>
      <c r="E41" s="6"/>
      <c r="G41" s="12" t="s">
        <v>61</v>
      </c>
      <c r="H41" s="23">
        <f t="shared" si="11"/>
        <v>978.64547016617075</v>
      </c>
      <c r="I41" s="23">
        <f t="shared" si="12"/>
        <v>1001.3412216628</v>
      </c>
      <c r="J41" s="7">
        <f t="shared" si="10"/>
        <v>2.3190984057562286E-2</v>
      </c>
      <c r="K41" s="46"/>
    </row>
    <row r="42" spans="1:11" x14ac:dyDescent="0.35">
      <c r="A42" s="37" t="s">
        <v>62</v>
      </c>
      <c r="B42" s="53">
        <f>B22/$B$8</f>
        <v>7443.3343203577797</v>
      </c>
      <c r="C42" s="53">
        <f>C22/$C$8</f>
        <v>7517.8140312237801</v>
      </c>
      <c r="D42" s="40">
        <f t="shared" si="7"/>
        <v>1.0006229420905607E-2</v>
      </c>
      <c r="E42" s="38"/>
      <c r="G42" s="12" t="s">
        <v>40</v>
      </c>
      <c r="H42" s="23">
        <f t="shared" si="11"/>
        <v>403.31556380092019</v>
      </c>
      <c r="I42" s="23">
        <f t="shared" si="12"/>
        <v>404.26967215251807</v>
      </c>
      <c r="J42" s="7">
        <f t="shared" si="10"/>
        <v>2.3656621197709017E-3</v>
      </c>
      <c r="K42" s="6"/>
    </row>
    <row r="43" spans="1:11" x14ac:dyDescent="0.35">
      <c r="A43" s="37" t="s">
        <v>63</v>
      </c>
      <c r="B43" s="53">
        <f t="shared" ref="B43:B44" si="13">B23/$B$8</f>
        <v>7140.9085117094855</v>
      </c>
      <c r="C43" s="53">
        <f t="shared" ref="C43:C44" si="14">C23/$C$8</f>
        <v>7168.3185969268752</v>
      </c>
      <c r="D43" s="40">
        <f t="shared" si="7"/>
        <v>3.8384590941675416E-3</v>
      </c>
      <c r="E43" s="38"/>
      <c r="G43" s="12" t="s">
        <v>48</v>
      </c>
      <c r="H43" s="23">
        <f t="shared" si="11"/>
        <v>311.48244071834841</v>
      </c>
      <c r="I43" s="23">
        <f t="shared" si="12"/>
        <v>392.03562028217272</v>
      </c>
      <c r="J43" s="7">
        <f t="shared" si="10"/>
        <v>0.25861226519880409</v>
      </c>
      <c r="K43" s="6"/>
    </row>
    <row r="44" spans="1:11" x14ac:dyDescent="0.35">
      <c r="A44" s="37" t="s">
        <v>56</v>
      </c>
      <c r="B44" s="53">
        <f t="shared" si="13"/>
        <v>421.35048446138791</v>
      </c>
      <c r="C44" s="53">
        <f t="shared" si="14"/>
        <v>509.6003128477974</v>
      </c>
      <c r="D44" s="40">
        <f t="shared" si="7"/>
        <v>0.20944518077205773</v>
      </c>
      <c r="E44" s="38"/>
      <c r="G44" s="12" t="s">
        <v>49</v>
      </c>
      <c r="H44" s="23">
        <f t="shared" si="11"/>
        <v>111.15738247538533</v>
      </c>
      <c r="I44" s="23">
        <f t="shared" si="12"/>
        <v>134.74502292603242</v>
      </c>
      <c r="J44" s="7">
        <f t="shared" si="10"/>
        <v>0.21220039483990483</v>
      </c>
      <c r="K44" s="6"/>
    </row>
    <row r="45" spans="1:11" x14ac:dyDescent="0.35">
      <c r="A45" s="37" t="s">
        <v>201</v>
      </c>
      <c r="B45" s="53">
        <f>B42+B44</f>
        <v>7864.6848048191678</v>
      </c>
      <c r="C45" s="53">
        <f>C42+C44</f>
        <v>8027.4143440715779</v>
      </c>
      <c r="D45" s="40">
        <f t="shared" si="7"/>
        <v>2.0691171139203945E-2</v>
      </c>
      <c r="E45" s="38"/>
      <c r="G45" s="12" t="s">
        <v>50</v>
      </c>
      <c r="H45" s="23">
        <f t="shared" si="11"/>
        <v>41.802160506183199</v>
      </c>
      <c r="I45" s="23">
        <f t="shared" si="12"/>
        <v>41.519353335531626</v>
      </c>
      <c r="J45" s="7">
        <f t="shared" si="10"/>
        <v>-6.7653721058207328E-3</v>
      </c>
      <c r="K45" s="6"/>
    </row>
    <row r="46" spans="1:11" x14ac:dyDescent="0.35">
      <c r="A46" s="37" t="s">
        <v>203</v>
      </c>
      <c r="B46" s="53">
        <f>B43+B44</f>
        <v>7562.2589961708736</v>
      </c>
      <c r="C46" s="53">
        <f>C43+C44</f>
        <v>7677.918909774673</v>
      </c>
      <c r="D46" s="40">
        <f t="shared" si="7"/>
        <v>1.5294360278107828E-2</v>
      </c>
      <c r="E46" s="38"/>
      <c r="G46" s="12" t="s">
        <v>51</v>
      </c>
      <c r="H46" s="23">
        <f t="shared" si="11"/>
        <v>7.4457568575917739</v>
      </c>
      <c r="I46" s="23">
        <f t="shared" si="12"/>
        <v>6.929950825720705</v>
      </c>
      <c r="J46" s="7">
        <f t="shared" si="10"/>
        <v>-6.9275164598632782E-2</v>
      </c>
      <c r="K46" s="6"/>
    </row>
    <row r="47" spans="1:11" x14ac:dyDescent="0.35">
      <c r="A47" s="50"/>
      <c r="G47" s="12" t="s">
        <v>52</v>
      </c>
      <c r="H47" s="23">
        <f t="shared" si="11"/>
        <v>-9.0049774351069178</v>
      </c>
      <c r="I47" s="23">
        <f t="shared" si="12"/>
        <v>-4.8440735653029936</v>
      </c>
      <c r="J47" s="7">
        <f t="shared" si="10"/>
        <v>-0.46206710675166962</v>
      </c>
      <c r="K47" s="6"/>
    </row>
    <row r="48" spans="1:11" x14ac:dyDescent="0.35">
      <c r="G48" s="12" t="s">
        <v>53</v>
      </c>
      <c r="H48" s="23">
        <f t="shared" si="11"/>
        <v>22.695817674497466</v>
      </c>
      <c r="I48" s="23">
        <f t="shared" si="12"/>
        <v>12.837854506671835</v>
      </c>
      <c r="J48" s="7">
        <f t="shared" si="10"/>
        <v>-0.43435153159970508</v>
      </c>
      <c r="K48" s="6"/>
    </row>
    <row r="49" spans="7:11" x14ac:dyDescent="0.35">
      <c r="G49" s="37" t="s">
        <v>62</v>
      </c>
      <c r="H49" s="53">
        <f>H26/$H$8</f>
        <v>6724.8445687377589</v>
      </c>
      <c r="I49" s="53">
        <f>I26/$I$8</f>
        <v>6798.3544037613037</v>
      </c>
      <c r="J49" s="40">
        <f t="shared" si="10"/>
        <v>1.0931083130943278E-2</v>
      </c>
      <c r="K49" s="38"/>
    </row>
    <row r="50" spans="7:11" x14ac:dyDescent="0.35">
      <c r="G50" s="37" t="s">
        <v>63</v>
      </c>
      <c r="H50" s="53">
        <f t="shared" ref="H50:H51" si="15">H27/$H$8</f>
        <v>6376.3188155337157</v>
      </c>
      <c r="I50" s="53">
        <f t="shared" ref="I50:I51" si="16">I27/$I$8</f>
        <v>6398.3663639597426</v>
      </c>
      <c r="J50" s="40">
        <f t="shared" si="10"/>
        <v>3.4577236590359289E-3</v>
      </c>
      <c r="K50" s="38"/>
    </row>
    <row r="51" spans="7:11" x14ac:dyDescent="0.35">
      <c r="G51" s="37" t="s">
        <v>56</v>
      </c>
      <c r="H51" s="53">
        <f t="shared" si="15"/>
        <v>485.57858079689925</v>
      </c>
      <c r="I51" s="53">
        <f t="shared" si="16"/>
        <v>583.22372831082623</v>
      </c>
      <c r="J51" s="40">
        <f t="shared" si="10"/>
        <v>0.20109031035446059</v>
      </c>
      <c r="K51" s="38"/>
    </row>
    <row r="52" spans="7:11" x14ac:dyDescent="0.35">
      <c r="G52" s="37" t="s">
        <v>201</v>
      </c>
      <c r="H52" s="53">
        <f>H49+H51</f>
        <v>7210.4231495346585</v>
      </c>
      <c r="I52" s="53">
        <f>I49+I51</f>
        <v>7381.5781320721298</v>
      </c>
      <c r="J52" s="40">
        <f t="shared" si="10"/>
        <v>2.3737162020583669E-2</v>
      </c>
      <c r="K52" s="38"/>
    </row>
    <row r="53" spans="7:11" x14ac:dyDescent="0.35">
      <c r="G53" s="37" t="s">
        <v>202</v>
      </c>
      <c r="H53" s="53">
        <f>H49/H9+H51</f>
        <v>7096.02795089754</v>
      </c>
      <c r="I53" s="53">
        <f>I49/I9+I51</f>
        <v>7248.7072513264884</v>
      </c>
      <c r="J53" s="40">
        <f t="shared" si="10"/>
        <v>2.1516163899782382E-2</v>
      </c>
      <c r="K53" s="38"/>
    </row>
    <row r="54" spans="7:11" x14ac:dyDescent="0.35">
      <c r="G54" s="37" t="s">
        <v>203</v>
      </c>
      <c r="H54" s="53">
        <f>H50+H51</f>
        <v>6861.8973963306153</v>
      </c>
      <c r="I54" s="53">
        <f>I50+I51</f>
        <v>6981.5900922705687</v>
      </c>
      <c r="J54" s="40">
        <f t="shared" si="10"/>
        <v>1.7443090303850772E-2</v>
      </c>
      <c r="K54" s="38"/>
    </row>
    <row r="55" spans="7:11" x14ac:dyDescent="0.35">
      <c r="G55" s="37" t="s">
        <v>204</v>
      </c>
      <c r="H55" s="53">
        <f>H50/H9+H51</f>
        <v>6753.4309105968805</v>
      </c>
      <c r="I55" s="53">
        <f>I50/I9+I51</f>
        <v>6856.5368038391425</v>
      </c>
      <c r="J55" s="40">
        <f t="shared" si="10"/>
        <v>1.5267187094559221E-2</v>
      </c>
      <c r="K55" s="38"/>
    </row>
  </sheetData>
  <mergeCells count="12">
    <mergeCell ref="G31:G32"/>
    <mergeCell ref="H31:I31"/>
    <mergeCell ref="K31:K32"/>
    <mergeCell ref="G6:G7"/>
    <mergeCell ref="H6:I6"/>
    <mergeCell ref="K6:K7"/>
    <mergeCell ref="A6:A7"/>
    <mergeCell ref="B6:C6"/>
    <mergeCell ref="E6:E7"/>
    <mergeCell ref="A27:A28"/>
    <mergeCell ref="B27:C27"/>
    <mergeCell ref="E27:E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Q55"/>
  <sheetViews>
    <sheetView zoomScale="85" zoomScaleNormal="85" workbookViewId="0"/>
  </sheetViews>
  <sheetFormatPr defaultRowHeight="14.5" x14ac:dyDescent="0.35"/>
  <cols>
    <col min="1" max="1" width="39" customWidth="1"/>
    <col min="2" max="2" width="19.7265625" style="19" customWidth="1"/>
    <col min="3" max="3" width="20" style="19" bestFit="1" customWidth="1"/>
    <col min="4" max="4" width="16.453125" style="19" customWidth="1"/>
    <col min="5" max="5" width="20.7265625" style="19" customWidth="1"/>
    <col min="6" max="6" width="14.26953125" customWidth="1"/>
    <col min="7" max="7" width="38.453125" customWidth="1"/>
    <col min="8" max="9" width="19.7265625" customWidth="1"/>
    <col min="10" max="10" width="16.453125" customWidth="1"/>
    <col min="11" max="11" width="52.453125" style="19" customWidth="1"/>
    <col min="13" max="13" width="38.26953125" style="19" customWidth="1"/>
    <col min="14" max="15" width="19.7265625" style="19" customWidth="1"/>
    <col min="16" max="16" width="16.453125" style="19" customWidth="1"/>
    <col min="17" max="17" width="14.7265625" style="19" customWidth="1"/>
  </cols>
  <sheetData>
    <row r="1" spans="1:17" ht="18.5" x14ac:dyDescent="0.45">
      <c r="A1" s="1" t="s">
        <v>364</v>
      </c>
      <c r="B1" s="1"/>
      <c r="C1" s="1"/>
      <c r="D1" s="1"/>
    </row>
    <row r="2" spans="1:17" ht="15.5" x14ac:dyDescent="0.35">
      <c r="A2" s="2" t="s">
        <v>141</v>
      </c>
      <c r="B2" s="3"/>
      <c r="C2" s="3"/>
      <c r="D2" s="3"/>
      <c r="G2" s="10"/>
      <c r="M2" s="10"/>
    </row>
    <row r="3" spans="1:17" ht="15.75" customHeight="1" x14ac:dyDescent="0.35">
      <c r="A3" s="4" t="s">
        <v>210</v>
      </c>
      <c r="B3" s="5"/>
      <c r="C3" s="5"/>
      <c r="D3" s="5"/>
      <c r="G3" s="10"/>
      <c r="M3" s="10"/>
    </row>
    <row r="4" spans="1:17" s="19" customFormat="1" ht="15.75" customHeight="1" x14ac:dyDescent="0.35">
      <c r="A4" s="4"/>
      <c r="B4" s="5"/>
      <c r="C4" s="5"/>
      <c r="D4" s="5"/>
      <c r="G4" s="10"/>
      <c r="M4" s="10"/>
    </row>
    <row r="5" spans="1:17" x14ac:dyDescent="0.35">
      <c r="A5" s="33" t="s">
        <v>23</v>
      </c>
      <c r="G5" s="33" t="s">
        <v>25</v>
      </c>
      <c r="H5" s="19"/>
      <c r="I5" s="19"/>
      <c r="J5" s="19"/>
      <c r="M5" s="33" t="s">
        <v>24</v>
      </c>
    </row>
    <row r="6" spans="1:17" x14ac:dyDescent="0.35">
      <c r="A6" s="132" t="s">
        <v>8</v>
      </c>
      <c r="B6" s="132" t="s">
        <v>2</v>
      </c>
      <c r="C6" s="132"/>
      <c r="D6" s="76" t="s">
        <v>3</v>
      </c>
      <c r="E6" s="135" t="s">
        <v>30</v>
      </c>
      <c r="G6" s="132" t="s">
        <v>8</v>
      </c>
      <c r="H6" s="132" t="s">
        <v>2</v>
      </c>
      <c r="I6" s="132"/>
      <c r="J6" s="76" t="s">
        <v>3</v>
      </c>
      <c r="K6" s="135" t="s">
        <v>30</v>
      </c>
      <c r="M6" s="132" t="s">
        <v>8</v>
      </c>
      <c r="N6" s="132" t="s">
        <v>2</v>
      </c>
      <c r="O6" s="132"/>
      <c r="P6" s="76" t="s">
        <v>3</v>
      </c>
      <c r="Q6" s="135" t="s">
        <v>30</v>
      </c>
    </row>
    <row r="7" spans="1:17" x14ac:dyDescent="0.35">
      <c r="A7" s="132"/>
      <c r="B7" s="75">
        <v>2021</v>
      </c>
      <c r="C7" s="75">
        <v>2022</v>
      </c>
      <c r="D7" s="75" t="s">
        <v>211</v>
      </c>
      <c r="E7" s="136"/>
      <c r="G7" s="132"/>
      <c r="H7" s="75">
        <v>2021</v>
      </c>
      <c r="I7" s="75">
        <v>2022</v>
      </c>
      <c r="J7" s="75" t="s">
        <v>211</v>
      </c>
      <c r="K7" s="136"/>
      <c r="M7" s="132"/>
      <c r="N7" s="75">
        <v>2021</v>
      </c>
      <c r="O7" s="75">
        <v>2022</v>
      </c>
      <c r="P7" s="75" t="s">
        <v>211</v>
      </c>
      <c r="Q7" s="136"/>
    </row>
    <row r="8" spans="1:17" s="19" customFormat="1" x14ac:dyDescent="0.35">
      <c r="A8" s="37" t="s">
        <v>29</v>
      </c>
      <c r="B8" s="85">
        <f>H8+N8</f>
        <v>18587774</v>
      </c>
      <c r="C8" s="85">
        <f t="shared" ref="C8:C25" si="0">I8+O8</f>
        <v>18503876</v>
      </c>
      <c r="D8" s="40">
        <f>IFERROR((C8-B8)/B8, "")</f>
        <v>-4.5136120118525217E-3</v>
      </c>
      <c r="E8" s="38"/>
      <c r="G8" s="37" t="s">
        <v>29</v>
      </c>
      <c r="H8" s="85">
        <v>15957772</v>
      </c>
      <c r="I8" s="85">
        <v>15912116</v>
      </c>
      <c r="J8" s="40">
        <f t="shared" ref="J8:J28" si="1">IFERROR((I8-H8)/H8, "")</f>
        <v>-2.8610510289280985E-3</v>
      </c>
      <c r="K8" s="38"/>
      <c r="M8" s="37" t="s">
        <v>29</v>
      </c>
      <c r="N8" s="85">
        <v>2630002</v>
      </c>
      <c r="O8" s="85">
        <v>2591760</v>
      </c>
      <c r="P8" s="40">
        <f t="shared" ref="P8:P28" si="2">IFERROR((O8-N8)/N8, "")</f>
        <v>-1.4540673353100112E-2</v>
      </c>
      <c r="Q8" s="38"/>
    </row>
    <row r="9" spans="1:17" s="77" customFormat="1" x14ac:dyDescent="0.35">
      <c r="A9" s="37" t="s">
        <v>134</v>
      </c>
      <c r="B9" s="86">
        <f>(H8*H9+N8*N9)/(H8+N8)</f>
        <v>1.0230246677256669</v>
      </c>
      <c r="C9" s="86">
        <f>(I8*I9+O8*O9)/(I8+O8)</f>
        <v>1.0188170769040459</v>
      </c>
      <c r="D9" s="40">
        <f>IFERROR((C9-B9)/B9, "")</f>
        <v>-4.1128928308005715E-3</v>
      </c>
      <c r="E9" s="38"/>
      <c r="G9" s="37" t="s">
        <v>134</v>
      </c>
      <c r="H9" s="86">
        <v>1.0190396590358399</v>
      </c>
      <c r="I9" s="86">
        <v>1.0146283720031899</v>
      </c>
      <c r="J9" s="40">
        <f t="shared" si="1"/>
        <v>-4.3288668831826978E-3</v>
      </c>
      <c r="K9" s="38"/>
      <c r="M9" s="37" t="s">
        <v>134</v>
      </c>
      <c r="N9" s="86">
        <v>1.0472040638212901</v>
      </c>
      <c r="O9" s="86">
        <v>1.04453363949942</v>
      </c>
      <c r="P9" s="40">
        <f t="shared" si="2"/>
        <v>-2.5500515268490733E-3</v>
      </c>
      <c r="Q9" s="38"/>
    </row>
    <row r="10" spans="1:17" x14ac:dyDescent="0.35">
      <c r="A10" s="6" t="s">
        <v>33</v>
      </c>
      <c r="B10" s="23">
        <f t="shared" ref="B10:B25" si="3">H10+N10</f>
        <v>1774225729.3173599</v>
      </c>
      <c r="C10" s="23">
        <f t="shared" si="0"/>
        <v>1691105517.3047101</v>
      </c>
      <c r="D10" s="7">
        <f t="shared" ref="D10:D17" si="4">IFERROR((C10-B10)/B10, "")</f>
        <v>-4.6848724285286178E-2</v>
      </c>
      <c r="E10" s="6"/>
      <c r="G10" s="6" t="s">
        <v>33</v>
      </c>
      <c r="H10" s="23">
        <v>1530921018.8373599</v>
      </c>
      <c r="I10" s="23">
        <v>1460920631.1347101</v>
      </c>
      <c r="J10" s="7">
        <f t="shared" si="1"/>
        <v>-4.5724362551250883E-2</v>
      </c>
      <c r="K10" s="6"/>
      <c r="M10" s="6" t="s">
        <v>33</v>
      </c>
      <c r="N10" s="23">
        <v>243304710.47999999</v>
      </c>
      <c r="O10" s="23">
        <v>230184886.16999999</v>
      </c>
      <c r="P10" s="7">
        <f t="shared" si="2"/>
        <v>-5.3923429119464052E-2</v>
      </c>
      <c r="Q10" s="6"/>
    </row>
    <row r="11" spans="1:17" x14ac:dyDescent="0.35">
      <c r="A11" s="6" t="s">
        <v>34</v>
      </c>
      <c r="B11" s="23">
        <f t="shared" si="3"/>
        <v>2363585122.894681</v>
      </c>
      <c r="C11" s="23">
        <f t="shared" si="0"/>
        <v>2473034664.0026188</v>
      </c>
      <c r="D11" s="7">
        <f t="shared" si="4"/>
        <v>4.6306578954048855E-2</v>
      </c>
      <c r="E11" s="6"/>
      <c r="G11" s="6" t="s">
        <v>34</v>
      </c>
      <c r="H11" s="23">
        <v>1948218116.0446801</v>
      </c>
      <c r="I11" s="23">
        <v>2026826604.8426199</v>
      </c>
      <c r="J11" s="7">
        <f t="shared" si="1"/>
        <v>4.0348915837787533E-2</v>
      </c>
      <c r="K11" s="6"/>
      <c r="M11" s="6" t="s">
        <v>34</v>
      </c>
      <c r="N11" s="23">
        <v>415367006.85000098</v>
      </c>
      <c r="O11" s="23">
        <v>446208059.15999901</v>
      </c>
      <c r="P11" s="7">
        <f t="shared" si="2"/>
        <v>7.4250125314203108E-2</v>
      </c>
      <c r="Q11" s="6"/>
    </row>
    <row r="12" spans="1:17" x14ac:dyDescent="0.35">
      <c r="A12" s="6" t="s">
        <v>35</v>
      </c>
      <c r="B12" s="23">
        <f t="shared" si="3"/>
        <v>852578905.81649792</v>
      </c>
      <c r="C12" s="23">
        <f t="shared" si="0"/>
        <v>854686695.98825002</v>
      </c>
      <c r="D12" s="7">
        <f t="shared" si="4"/>
        <v>2.4722523128032428E-3</v>
      </c>
      <c r="E12" s="6"/>
      <c r="G12" s="6" t="s">
        <v>35</v>
      </c>
      <c r="H12" s="23">
        <v>753898358.64649796</v>
      </c>
      <c r="I12" s="23">
        <v>753362588.08825004</v>
      </c>
      <c r="J12" s="7">
        <f t="shared" si="1"/>
        <v>-7.1066683207775228E-4</v>
      </c>
      <c r="K12" s="6"/>
      <c r="M12" s="6" t="s">
        <v>35</v>
      </c>
      <c r="N12" s="23">
        <v>98680547.170000002</v>
      </c>
      <c r="O12" s="23">
        <v>101324107.90000001</v>
      </c>
      <c r="P12" s="7">
        <f t="shared" si="2"/>
        <v>2.6789076528384678E-2</v>
      </c>
      <c r="Q12" s="6"/>
    </row>
    <row r="13" spans="1:17" x14ac:dyDescent="0.35">
      <c r="A13" s="6" t="s">
        <v>36</v>
      </c>
      <c r="B13" s="23">
        <f t="shared" si="3"/>
        <v>1538554616.661819</v>
      </c>
      <c r="C13" s="23">
        <f t="shared" si="0"/>
        <v>1509831213.989341</v>
      </c>
      <c r="D13" s="7">
        <f t="shared" si="4"/>
        <v>-1.8669082242136283E-2</v>
      </c>
      <c r="E13" s="6"/>
      <c r="G13" s="6" t="s">
        <v>36</v>
      </c>
      <c r="H13" s="23">
        <v>1328573027.2618201</v>
      </c>
      <c r="I13" s="23">
        <v>1300605398.3693399</v>
      </c>
      <c r="J13" s="7">
        <f t="shared" si="1"/>
        <v>-2.1050878136613407E-2</v>
      </c>
      <c r="K13" s="6"/>
      <c r="M13" s="6" t="s">
        <v>36</v>
      </c>
      <c r="N13" s="23">
        <v>209981589.39999899</v>
      </c>
      <c r="O13" s="23">
        <v>209225815.62000099</v>
      </c>
      <c r="P13" s="7">
        <f t="shared" si="2"/>
        <v>-3.5992383054035881E-3</v>
      </c>
      <c r="Q13" s="6"/>
    </row>
    <row r="14" spans="1:17" x14ac:dyDescent="0.35">
      <c r="A14" s="6" t="s">
        <v>37</v>
      </c>
      <c r="B14" s="23">
        <f t="shared" si="3"/>
        <v>322653172.7665931</v>
      </c>
      <c r="C14" s="23">
        <f t="shared" si="0"/>
        <v>366947725.29494989</v>
      </c>
      <c r="D14" s="7">
        <f t="shared" si="4"/>
        <v>0.13728224690478844</v>
      </c>
      <c r="E14" s="6"/>
      <c r="G14" s="6" t="s">
        <v>37</v>
      </c>
      <c r="H14" s="24">
        <v>280604196.20659298</v>
      </c>
      <c r="I14" s="24">
        <v>323929208.11495</v>
      </c>
      <c r="J14" s="7">
        <f t="shared" si="1"/>
        <v>0.15439901645825449</v>
      </c>
      <c r="K14" s="6"/>
      <c r="M14" s="6" t="s">
        <v>37</v>
      </c>
      <c r="N14" s="24">
        <v>42048976.560000099</v>
      </c>
      <c r="O14" s="24">
        <v>43018517.179999903</v>
      </c>
      <c r="P14" s="7">
        <f t="shared" si="2"/>
        <v>2.3057413029217405E-2</v>
      </c>
      <c r="Q14" s="6"/>
    </row>
    <row r="15" spans="1:17" x14ac:dyDescent="0.35">
      <c r="A15" s="6" t="s">
        <v>38</v>
      </c>
      <c r="B15" s="23">
        <f t="shared" si="3"/>
        <v>679506682.92646301</v>
      </c>
      <c r="C15" s="23">
        <f t="shared" si="0"/>
        <v>708028939.52605319</v>
      </c>
      <c r="D15" s="7">
        <f t="shared" si="4"/>
        <v>4.1974946407814642E-2</v>
      </c>
      <c r="E15" s="6"/>
      <c r="G15" s="6" t="s">
        <v>38</v>
      </c>
      <c r="H15" s="25">
        <v>601374373.36646295</v>
      </c>
      <c r="I15" s="25">
        <v>628326101.65605295</v>
      </c>
      <c r="J15" s="7">
        <f t="shared" si="1"/>
        <v>4.4816888585916301E-2</v>
      </c>
      <c r="K15" s="6"/>
      <c r="M15" s="6" t="s">
        <v>38</v>
      </c>
      <c r="N15" s="25">
        <v>78132309.560000107</v>
      </c>
      <c r="O15" s="25">
        <v>79702837.870000198</v>
      </c>
      <c r="P15" s="7">
        <f t="shared" si="2"/>
        <v>2.0100881681912101E-2</v>
      </c>
      <c r="Q15" s="6"/>
    </row>
    <row r="16" spans="1:17" x14ac:dyDescent="0.35">
      <c r="A16" s="6" t="s">
        <v>39</v>
      </c>
      <c r="B16" s="23">
        <f t="shared" si="3"/>
        <v>59449905.213491902</v>
      </c>
      <c r="C16" s="23">
        <f t="shared" si="0"/>
        <v>62152842.784793407</v>
      </c>
      <c r="D16" s="7">
        <f t="shared" si="4"/>
        <v>4.5465801191691135E-2</v>
      </c>
      <c r="E16" s="6"/>
      <c r="G16" s="6" t="s">
        <v>39</v>
      </c>
      <c r="H16" s="25">
        <v>55838905.103491902</v>
      </c>
      <c r="I16" s="25">
        <v>57098444.304793403</v>
      </c>
      <c r="J16" s="7">
        <f t="shared" si="1"/>
        <v>2.2556660073600451E-2</v>
      </c>
      <c r="K16" s="6"/>
      <c r="M16" s="6" t="s">
        <v>39</v>
      </c>
      <c r="N16" s="25">
        <v>3611000.11</v>
      </c>
      <c r="O16" s="25">
        <v>5054398.4800000004</v>
      </c>
      <c r="P16" s="7">
        <f t="shared" si="2"/>
        <v>0.39972260482706012</v>
      </c>
      <c r="Q16" s="6"/>
    </row>
    <row r="17" spans="1:17" x14ac:dyDescent="0.35">
      <c r="A17" s="12" t="s">
        <v>60</v>
      </c>
      <c r="B17" s="23">
        <f t="shared" si="3"/>
        <v>1863945397.1463859</v>
      </c>
      <c r="C17" s="23">
        <f t="shared" si="0"/>
        <v>2000922426.8953381</v>
      </c>
      <c r="D17" s="7">
        <f t="shared" si="4"/>
        <v>7.3487683683576596E-2</v>
      </c>
      <c r="E17" s="6"/>
      <c r="G17" s="12" t="s">
        <v>60</v>
      </c>
      <c r="H17" s="25">
        <v>1599521244.4663799</v>
      </c>
      <c r="I17" s="25">
        <v>1722971316.03528</v>
      </c>
      <c r="J17" s="7">
        <f t="shared" si="1"/>
        <v>7.7179388517646469E-2</v>
      </c>
      <c r="K17" s="6"/>
      <c r="M17" s="12" t="s">
        <v>60</v>
      </c>
      <c r="N17" s="25">
        <v>264424152.680006</v>
      </c>
      <c r="O17" s="25">
        <v>277951110.86005801</v>
      </c>
      <c r="P17" s="7">
        <f t="shared" si="2"/>
        <v>5.1156288270011847E-2</v>
      </c>
      <c r="Q17" s="6"/>
    </row>
    <row r="18" spans="1:17" s="19" customFormat="1" x14ac:dyDescent="0.35">
      <c r="A18" s="12" t="s">
        <v>61</v>
      </c>
      <c r="B18" s="23">
        <f t="shared" si="3"/>
        <v>1526692511.6475961</v>
      </c>
      <c r="C18" s="23">
        <f t="shared" si="0"/>
        <v>1563400203.5365081</v>
      </c>
      <c r="D18" s="7">
        <f t="shared" ref="D18:D23" si="5">IFERROR((C18-B18)/B18, "")</f>
        <v>2.4043932624846161E-2</v>
      </c>
      <c r="E18" s="6"/>
      <c r="G18" s="12" t="s">
        <v>61</v>
      </c>
      <c r="H18" s="25">
        <v>1263462676.7375901</v>
      </c>
      <c r="I18" s="25">
        <v>1287338232.9964499</v>
      </c>
      <c r="J18" s="7">
        <f t="shared" si="1"/>
        <v>1.8896922480139564E-2</v>
      </c>
      <c r="K18" s="6"/>
      <c r="M18" s="12" t="s">
        <v>61</v>
      </c>
      <c r="N18" s="25">
        <v>263229834.91000599</v>
      </c>
      <c r="O18" s="25">
        <v>276061970.54005802</v>
      </c>
      <c r="P18" s="7">
        <f t="shared" si="2"/>
        <v>4.8748788808225821E-2</v>
      </c>
      <c r="Q18" s="6"/>
    </row>
    <row r="19" spans="1:17" x14ac:dyDescent="0.35">
      <c r="A19" s="12" t="s">
        <v>40</v>
      </c>
      <c r="B19" s="23">
        <f t="shared" si="3"/>
        <v>533498783.47074801</v>
      </c>
      <c r="C19" s="23">
        <f t="shared" si="0"/>
        <v>523989478.53802001</v>
      </c>
      <c r="D19" s="7">
        <f t="shared" si="5"/>
        <v>-1.7824417275825694E-2</v>
      </c>
      <c r="E19" s="6"/>
      <c r="G19" s="12" t="s">
        <v>40</v>
      </c>
      <c r="H19" s="25">
        <v>418459658.36074901</v>
      </c>
      <c r="I19" s="25">
        <v>415187332.77802002</v>
      </c>
      <c r="J19" s="7">
        <f t="shared" si="1"/>
        <v>-7.8199308280941862E-3</v>
      </c>
      <c r="K19" s="6"/>
      <c r="M19" s="12" t="s">
        <v>40</v>
      </c>
      <c r="N19" s="25">
        <v>115039125.109999</v>
      </c>
      <c r="O19" s="25">
        <v>108802145.76000001</v>
      </c>
      <c r="P19" s="7">
        <f t="shared" si="2"/>
        <v>-5.4216157711867788E-2</v>
      </c>
      <c r="Q19" s="6"/>
    </row>
    <row r="20" spans="1:17" x14ac:dyDescent="0.35">
      <c r="A20" s="12" t="s">
        <v>48</v>
      </c>
      <c r="B20" s="23">
        <f t="shared" si="3"/>
        <v>46756635.208800003</v>
      </c>
      <c r="C20" s="23">
        <f t="shared" si="0"/>
        <v>52831370.201213494</v>
      </c>
      <c r="D20" s="7">
        <f t="shared" si="5"/>
        <v>0.12992241561621554</v>
      </c>
      <c r="E20" s="6"/>
      <c r="G20" s="12" t="s">
        <v>48</v>
      </c>
      <c r="H20" s="25">
        <v>43823086.8288</v>
      </c>
      <c r="I20" s="25">
        <v>45378313.511213496</v>
      </c>
      <c r="J20" s="7">
        <f t="shared" si="1"/>
        <v>3.5488752503655678E-2</v>
      </c>
      <c r="K20" s="6"/>
      <c r="M20" s="12" t="s">
        <v>48</v>
      </c>
      <c r="N20" s="25">
        <v>2933548.38</v>
      </c>
      <c r="O20" s="25">
        <v>7453056.6900000004</v>
      </c>
      <c r="P20" s="7">
        <f t="shared" si="2"/>
        <v>1.5406285237402495</v>
      </c>
      <c r="Q20" s="6"/>
    </row>
    <row r="21" spans="1:17" x14ac:dyDescent="0.35">
      <c r="A21" s="12" t="s">
        <v>49</v>
      </c>
      <c r="B21" s="23">
        <f t="shared" si="3"/>
        <v>22703577.144311301</v>
      </c>
      <c r="C21" s="23">
        <f t="shared" si="0"/>
        <v>32659074.7579403</v>
      </c>
      <c r="D21" s="7">
        <f t="shared" si="5"/>
        <v>0.43849907661460685</v>
      </c>
      <c r="E21" s="6"/>
      <c r="G21" s="12" t="s">
        <v>49</v>
      </c>
      <c r="H21" s="25">
        <v>22201313.074311301</v>
      </c>
      <c r="I21" s="25">
        <v>31647059.107940301</v>
      </c>
      <c r="J21" s="7">
        <f t="shared" si="1"/>
        <v>0.42545889074275006</v>
      </c>
      <c r="K21" s="6"/>
      <c r="M21" s="12" t="s">
        <v>49</v>
      </c>
      <c r="N21" s="25">
        <v>502264.07</v>
      </c>
      <c r="O21" s="25">
        <v>1012015.65</v>
      </c>
      <c r="P21" s="7">
        <f t="shared" si="2"/>
        <v>1.0149075166774322</v>
      </c>
      <c r="Q21" s="6"/>
    </row>
    <row r="22" spans="1:17" x14ac:dyDescent="0.35">
      <c r="A22" s="12" t="s">
        <v>50</v>
      </c>
      <c r="B22" s="23">
        <f t="shared" si="3"/>
        <v>19930510.8151435</v>
      </c>
      <c r="C22" s="23">
        <f t="shared" si="0"/>
        <v>19526548.5540355</v>
      </c>
      <c r="D22" s="7">
        <f t="shared" si="5"/>
        <v>-2.0268535255055443E-2</v>
      </c>
      <c r="E22" s="6"/>
      <c r="G22" s="12" t="s">
        <v>50</v>
      </c>
      <c r="H22" s="25">
        <v>19160035.125143498</v>
      </c>
      <c r="I22" s="25">
        <v>19270657.9640355</v>
      </c>
      <c r="J22" s="7">
        <f t="shared" si="1"/>
        <v>5.773624013185266E-3</v>
      </c>
      <c r="K22" s="6"/>
      <c r="M22" s="12" t="s">
        <v>50</v>
      </c>
      <c r="N22" s="25">
        <v>770475.69</v>
      </c>
      <c r="O22" s="25">
        <v>255890.59</v>
      </c>
      <c r="P22" s="7">
        <f t="shared" si="2"/>
        <v>-0.6678797354398035</v>
      </c>
      <c r="Q22" s="6"/>
    </row>
    <row r="23" spans="1:17" x14ac:dyDescent="0.35">
      <c r="A23" s="12" t="s">
        <v>51</v>
      </c>
      <c r="B23" s="23">
        <f t="shared" si="3"/>
        <v>0</v>
      </c>
      <c r="C23" s="23">
        <f t="shared" si="0"/>
        <v>0</v>
      </c>
      <c r="D23" s="7" t="str">
        <f t="shared" si="5"/>
        <v/>
      </c>
      <c r="E23" s="6"/>
      <c r="G23" s="12" t="s">
        <v>51</v>
      </c>
      <c r="H23" s="25">
        <v>0</v>
      </c>
      <c r="I23" s="25">
        <v>0</v>
      </c>
      <c r="J23" s="7" t="str">
        <f t="shared" si="1"/>
        <v/>
      </c>
      <c r="K23" s="6"/>
      <c r="M23" s="12" t="s">
        <v>51</v>
      </c>
      <c r="N23" s="25">
        <v>0</v>
      </c>
      <c r="O23" s="25">
        <v>0</v>
      </c>
      <c r="P23" s="7" t="str">
        <f t="shared" si="2"/>
        <v/>
      </c>
      <c r="Q23" s="6"/>
    </row>
    <row r="24" spans="1:17" x14ac:dyDescent="0.35">
      <c r="A24" s="12" t="s">
        <v>52</v>
      </c>
      <c r="B24" s="23">
        <f t="shared" si="3"/>
        <v>-17932204.2022481</v>
      </c>
      <c r="C24" s="23">
        <f t="shared" si="0"/>
        <v>-8823106.7216683403</v>
      </c>
      <c r="D24" s="7">
        <f>IFERROR((C24-B24)/B24, "")</f>
        <v>-0.50797422212255328</v>
      </c>
      <c r="E24" s="6"/>
      <c r="G24" s="12" t="s">
        <v>52</v>
      </c>
      <c r="H24" s="25">
        <v>-17932204.2022481</v>
      </c>
      <c r="I24" s="25">
        <v>-8823106.7216683403</v>
      </c>
      <c r="J24" s="7">
        <f t="shared" si="1"/>
        <v>-0.50797422212255328</v>
      </c>
      <c r="K24" s="6"/>
      <c r="M24" s="12" t="s">
        <v>52</v>
      </c>
      <c r="N24" s="25">
        <v>0</v>
      </c>
      <c r="O24" s="25">
        <v>0</v>
      </c>
      <c r="P24" s="7" t="str">
        <f t="shared" si="2"/>
        <v/>
      </c>
      <c r="Q24" s="6"/>
    </row>
    <row r="25" spans="1:17" x14ac:dyDescent="0.35">
      <c r="A25" s="12" t="s">
        <v>53</v>
      </c>
      <c r="B25" s="23">
        <f t="shared" si="3"/>
        <v>41127964.299496904</v>
      </c>
      <c r="C25" s="23">
        <f t="shared" si="0"/>
        <v>19367473.8956898</v>
      </c>
      <c r="D25" s="7">
        <f>IFERROR((C25-B25)/B25, "")</f>
        <v>-0.52909232864883826</v>
      </c>
      <c r="E25" s="6"/>
      <c r="G25" s="12" t="s">
        <v>53</v>
      </c>
      <c r="H25" s="25">
        <v>41018834.909496903</v>
      </c>
      <c r="I25" s="25">
        <v>19111766.9156898</v>
      </c>
      <c r="J25" s="7">
        <f t="shared" si="1"/>
        <v>-0.53407338463275222</v>
      </c>
      <c r="K25" s="6"/>
      <c r="M25" s="12" t="s">
        <v>53</v>
      </c>
      <c r="N25" s="25">
        <v>109129.39</v>
      </c>
      <c r="O25" s="25">
        <v>255706.98</v>
      </c>
      <c r="P25" s="7">
        <f t="shared" si="2"/>
        <v>1.3431541219097809</v>
      </c>
      <c r="Q25" s="6"/>
    </row>
    <row r="26" spans="1:17" x14ac:dyDescent="0.35">
      <c r="A26" s="37" t="s">
        <v>62</v>
      </c>
      <c r="B26" s="39">
        <f>SUM(B10:B16) + B17 +B19</f>
        <v>9987998316.2140388</v>
      </c>
      <c r="C26" s="39">
        <f t="shared" ref="C26" si="6">SUM(C10:C16) + C17 +C19</f>
        <v>10190699504.324074</v>
      </c>
      <c r="D26" s="40">
        <f>IFERROR((C26-B26)/B26, "")</f>
        <v>2.0294475598877457E-2</v>
      </c>
      <c r="E26" s="38"/>
      <c r="G26" s="37" t="s">
        <v>62</v>
      </c>
      <c r="H26" s="39">
        <f>SUM(H10:H16) + H17 +H19</f>
        <v>8517408898.294034</v>
      </c>
      <c r="I26" s="39">
        <f t="shared" ref="I26" si="7">SUM(I10:I19)</f>
        <v>9976565858.320467</v>
      </c>
      <c r="J26" s="40">
        <f t="shared" si="1"/>
        <v>0.17131465419239059</v>
      </c>
      <c r="K26" s="38"/>
      <c r="M26" s="37" t="s">
        <v>62</v>
      </c>
      <c r="N26" s="39">
        <f>SUM(N10:N16) + N17 +N19</f>
        <v>1470589417.9200051</v>
      </c>
      <c r="O26" s="39">
        <f t="shared" ref="O26" si="8">SUM(O10:O19)</f>
        <v>1777533849.5401161</v>
      </c>
      <c r="P26" s="40">
        <f t="shared" si="2"/>
        <v>0.20872204565041125</v>
      </c>
      <c r="Q26" s="38"/>
    </row>
    <row r="27" spans="1:17" s="19" customFormat="1" x14ac:dyDescent="0.35">
      <c r="A27" s="37" t="s">
        <v>63</v>
      </c>
      <c r="B27" s="39">
        <f>SUM(B10:B16) + B18 +B19</f>
        <v>9650745430.71525</v>
      </c>
      <c r="C27" s="39">
        <f t="shared" ref="C27" si="9">SUM(C10:C16) + C18 +C19</f>
        <v>9753177280.9652443</v>
      </c>
      <c r="D27" s="40">
        <f>IFERROR((C27-B27)/B27, "")</f>
        <v>1.0613879620530276E-2</v>
      </c>
      <c r="E27" s="38"/>
      <c r="G27" s="37" t="s">
        <v>63</v>
      </c>
      <c r="H27" s="39">
        <f>SUM(H10:H16) + H18 +H19</f>
        <v>8181350330.5652437</v>
      </c>
      <c r="I27" s="39">
        <f t="shared" ref="I27" si="10">SUM(I10:I16) + I18 +I19</f>
        <v>8253594542.2851858</v>
      </c>
      <c r="J27" s="40">
        <f t="shared" si="1"/>
        <v>8.8303530347600689E-3</v>
      </c>
      <c r="K27" s="38"/>
      <c r="M27" s="37" t="s">
        <v>63</v>
      </c>
      <c r="N27" s="39">
        <f>SUM(N10:N16) + N18 +N19</f>
        <v>1469395100.1500051</v>
      </c>
      <c r="O27" s="39">
        <f t="shared" ref="O27" si="11">SUM(O10:O16) + O18 +O19</f>
        <v>1499582738.6800582</v>
      </c>
      <c r="P27" s="40">
        <f t="shared" si="2"/>
        <v>2.0544262415854928E-2</v>
      </c>
      <c r="Q27" s="38"/>
    </row>
    <row r="28" spans="1:17" x14ac:dyDescent="0.35">
      <c r="A28" s="37" t="s">
        <v>56</v>
      </c>
      <c r="B28" s="39">
        <f>SUM(B20:B25)</f>
        <v>112586483.2655036</v>
      </c>
      <c r="C28" s="39">
        <f t="shared" ref="C28" si="12">SUM(C20:C25)</f>
        <v>115561360.68721075</v>
      </c>
      <c r="D28" s="40">
        <f>IFERROR((C28-B28)/B28, "")</f>
        <v>2.6423042406358323E-2</v>
      </c>
      <c r="E28" s="38"/>
      <c r="G28" s="37" t="s">
        <v>56</v>
      </c>
      <c r="H28" s="39">
        <f>SUM(H20:H25)</f>
        <v>108271065.73550361</v>
      </c>
      <c r="I28" s="39">
        <f t="shared" ref="I28" si="13">SUM(I20:I25)</f>
        <v>106584690.77721074</v>
      </c>
      <c r="J28" s="40">
        <f t="shared" si="1"/>
        <v>-1.5575490523133232E-2</v>
      </c>
      <c r="K28" s="38"/>
      <c r="M28" s="37" t="s">
        <v>56</v>
      </c>
      <c r="N28" s="39">
        <f>SUM(N20:N25)</f>
        <v>4315417.5299999993</v>
      </c>
      <c r="O28" s="39">
        <f t="shared" ref="O28" si="14">SUM(O20:O25)</f>
        <v>8976669.9100000001</v>
      </c>
      <c r="P28" s="40">
        <f t="shared" si="2"/>
        <v>1.080139371821109</v>
      </c>
      <c r="Q28" s="38"/>
    </row>
    <row r="29" spans="1:17" s="19" customFormat="1" x14ac:dyDescent="0.35">
      <c r="A29" s="17"/>
      <c r="B29" s="55"/>
      <c r="C29" s="55"/>
      <c r="D29" s="56"/>
      <c r="E29" s="14"/>
      <c r="F29" s="13"/>
      <c r="G29" s="17"/>
      <c r="H29" s="55"/>
      <c r="I29" s="55"/>
      <c r="J29" s="56"/>
      <c r="K29" s="14"/>
      <c r="L29" s="13"/>
      <c r="M29" s="17"/>
      <c r="N29" s="55"/>
      <c r="O29" s="55"/>
      <c r="P29" s="56"/>
      <c r="Q29" s="14"/>
    </row>
    <row r="30" spans="1:17" s="19" customFormat="1" x14ac:dyDescent="0.35">
      <c r="A30" s="17"/>
      <c r="B30" s="55"/>
      <c r="C30" s="55"/>
      <c r="D30" s="56"/>
      <c r="E30" s="14"/>
      <c r="F30" s="13"/>
      <c r="G30" s="17"/>
      <c r="H30" s="55"/>
      <c r="I30" s="55"/>
      <c r="J30" s="56"/>
      <c r="K30" s="14"/>
      <c r="L30" s="13"/>
      <c r="M30" s="17"/>
      <c r="N30" s="55"/>
      <c r="O30" s="55"/>
      <c r="P30" s="56"/>
      <c r="Q30" s="14"/>
    </row>
    <row r="31" spans="1:17" s="19" customFormat="1" x14ac:dyDescent="0.35">
      <c r="A31" s="132" t="s">
        <v>8</v>
      </c>
      <c r="B31" s="132" t="s">
        <v>67</v>
      </c>
      <c r="C31" s="132"/>
      <c r="D31" s="76" t="s">
        <v>3</v>
      </c>
      <c r="E31" s="135" t="s">
        <v>30</v>
      </c>
      <c r="G31" s="132" t="s">
        <v>8</v>
      </c>
      <c r="H31" s="132" t="s">
        <v>67</v>
      </c>
      <c r="I31" s="132"/>
      <c r="J31" s="76" t="s">
        <v>3</v>
      </c>
      <c r="K31" s="135" t="s">
        <v>30</v>
      </c>
      <c r="M31" s="132" t="s">
        <v>8</v>
      </c>
      <c r="N31" s="132" t="s">
        <v>67</v>
      </c>
      <c r="O31" s="132"/>
      <c r="P31" s="76" t="s">
        <v>3</v>
      </c>
      <c r="Q31" s="135" t="s">
        <v>30</v>
      </c>
    </row>
    <row r="32" spans="1:17" s="19" customFormat="1" x14ac:dyDescent="0.35">
      <c r="A32" s="132"/>
      <c r="B32" s="75">
        <v>2021</v>
      </c>
      <c r="C32" s="75">
        <v>2022</v>
      </c>
      <c r="D32" s="75" t="s">
        <v>211</v>
      </c>
      <c r="E32" s="136"/>
      <c r="G32" s="132"/>
      <c r="H32" s="75">
        <v>2021</v>
      </c>
      <c r="I32" s="75">
        <v>2022</v>
      </c>
      <c r="J32" s="75" t="s">
        <v>211</v>
      </c>
      <c r="K32" s="136"/>
      <c r="M32" s="132"/>
      <c r="N32" s="75">
        <v>2021</v>
      </c>
      <c r="O32" s="75">
        <v>2022</v>
      </c>
      <c r="P32" s="75" t="s">
        <v>211</v>
      </c>
      <c r="Q32" s="136"/>
    </row>
    <row r="33" spans="1:17" s="19" customFormat="1" x14ac:dyDescent="0.35">
      <c r="A33" s="6" t="s">
        <v>33</v>
      </c>
      <c r="B33" s="23">
        <f>B10/($B$8/12)</f>
        <v>1145.4146554508527</v>
      </c>
      <c r="C33" s="23">
        <f>C10/($C$8/12)</f>
        <v>1096.7035343112179</v>
      </c>
      <c r="D33" s="7">
        <f t="shared" ref="D33:D55" si="15">IFERROR((C33-B33)/B33, "")</f>
        <v>-4.2527062935528208E-2</v>
      </c>
      <c r="E33" s="46"/>
      <c r="G33" s="6" t="s">
        <v>33</v>
      </c>
      <c r="H33" s="23">
        <f>H10/($H$8/12)</f>
        <v>1151.2291456506784</v>
      </c>
      <c r="I33" s="23">
        <f>I10/($I$8/12)</f>
        <v>1101.7420670900412</v>
      </c>
      <c r="J33" s="7">
        <f t="shared" ref="J33:J55" si="16">IFERROR((I33-H33)/H33, "")</f>
        <v>-4.2986297513052406E-2</v>
      </c>
      <c r="K33" s="6"/>
      <c r="M33" s="6" t="s">
        <v>33</v>
      </c>
      <c r="N33" s="23">
        <f>N10/($N$8/12)</f>
        <v>1110.1347169165649</v>
      </c>
      <c r="O33" s="23">
        <f>O10/($O$8/12)</f>
        <v>1065.7694516621909</v>
      </c>
      <c r="P33" s="7">
        <f t="shared" ref="P33:P55" si="17">IFERROR((O33-N33)/N33, "")</f>
        <v>-3.9963857159246351E-2</v>
      </c>
      <c r="Q33" s="6"/>
    </row>
    <row r="34" spans="1:17" s="19" customFormat="1" x14ac:dyDescent="0.35">
      <c r="A34" s="6" t="s">
        <v>34</v>
      </c>
      <c r="B34" s="23">
        <f t="shared" ref="B34:B51" si="18">B11/($B$8/12)</f>
        <v>1525.8966175689552</v>
      </c>
      <c r="C34" s="23">
        <f t="shared" ref="C34:C51" si="19">C11/($C$8/12)</f>
        <v>1603.7945762299437</v>
      </c>
      <c r="D34" s="7">
        <f t="shared" si="15"/>
        <v>5.1050613628788828E-2</v>
      </c>
      <c r="E34" s="6"/>
      <c r="G34" s="6" t="s">
        <v>34</v>
      </c>
      <c r="H34" s="23">
        <f t="shared" ref="H34:H48" si="20">H11/($H$8/12)</f>
        <v>1465.0301679041513</v>
      </c>
      <c r="I34" s="23">
        <f t="shared" ref="I34:I48" si="21">I11/($I$8/12)</f>
        <v>1528.5157082886674</v>
      </c>
      <c r="J34" s="7">
        <f t="shared" si="16"/>
        <v>4.3333947501802958E-2</v>
      </c>
      <c r="K34" s="6"/>
      <c r="M34" s="6" t="s">
        <v>34</v>
      </c>
      <c r="N34" s="23">
        <f>N11/($N$8/12)</f>
        <v>1895.2092364188361</v>
      </c>
      <c r="O34" s="23">
        <f t="shared" ref="O34:O51" si="22">O11/($O$8/12)</f>
        <v>2065.9693451245439</v>
      </c>
      <c r="P34" s="7">
        <f t="shared" si="17"/>
        <v>9.0100926812901147E-2</v>
      </c>
      <c r="Q34" s="6"/>
    </row>
    <row r="35" spans="1:17" s="19" customFormat="1" x14ac:dyDescent="0.35">
      <c r="A35" s="6" t="s">
        <v>35</v>
      </c>
      <c r="B35" s="23">
        <f t="shared" si="18"/>
        <v>550.41269975619321</v>
      </c>
      <c r="C35" s="23">
        <f t="shared" si="19"/>
        <v>554.27524221730619</v>
      </c>
      <c r="D35" s="7">
        <f t="shared" si="15"/>
        <v>7.0175387719503997E-3</v>
      </c>
      <c r="E35" s="6"/>
      <c r="G35" s="6" t="s">
        <v>35</v>
      </c>
      <c r="H35" s="23">
        <f t="shared" si="20"/>
        <v>566.92001262820247</v>
      </c>
      <c r="I35" s="23">
        <f t="shared" si="21"/>
        <v>568.1426063673116</v>
      </c>
      <c r="J35" s="7">
        <f t="shared" si="16"/>
        <v>2.156554208487487E-3</v>
      </c>
      <c r="K35" s="6"/>
      <c r="M35" s="6" t="s">
        <v>35</v>
      </c>
      <c r="N35" s="23">
        <f t="shared" ref="N35:N51" si="23">N12/($N$8/12)</f>
        <v>450.25310476569979</v>
      </c>
      <c r="O35" s="23">
        <f t="shared" si="22"/>
        <v>469.13653069728679</v>
      </c>
      <c r="P35" s="7">
        <f t="shared" si="17"/>
        <v>4.193957960914773E-2</v>
      </c>
      <c r="Q35" s="6"/>
    </row>
    <row r="36" spans="1:17" s="19" customFormat="1" x14ac:dyDescent="0.35">
      <c r="A36" s="6" t="s">
        <v>36</v>
      </c>
      <c r="B36" s="23">
        <f t="shared" si="18"/>
        <v>993.26876902752463</v>
      </c>
      <c r="C36" s="23">
        <f t="shared" si="19"/>
        <v>979.1448325676248</v>
      </c>
      <c r="D36" s="7">
        <f t="shared" si="15"/>
        <v>-1.4219652223363556E-2</v>
      </c>
      <c r="E36" s="6"/>
      <c r="G36" s="6" t="s">
        <v>36</v>
      </c>
      <c r="H36" s="23">
        <f t="shared" si="20"/>
        <v>999.0665568565488</v>
      </c>
      <c r="I36" s="23">
        <f t="shared" si="21"/>
        <v>980.84156629024562</v>
      </c>
      <c r="J36" s="7">
        <f t="shared" si="16"/>
        <v>-1.8242018453351168E-2</v>
      </c>
      <c r="K36" s="6"/>
      <c r="M36" s="6" t="s">
        <v>36</v>
      </c>
      <c r="N36" s="23">
        <f t="shared" si="23"/>
        <v>958.09017361963515</v>
      </c>
      <c r="O36" s="23">
        <f t="shared" si="22"/>
        <v>968.72773229003144</v>
      </c>
      <c r="P36" s="7">
        <f t="shared" si="17"/>
        <v>1.1102878375432992E-2</v>
      </c>
      <c r="Q36" s="6"/>
    </row>
    <row r="37" spans="1:17" s="19" customFormat="1" x14ac:dyDescent="0.35">
      <c r="A37" s="6" t="s">
        <v>37</v>
      </c>
      <c r="B37" s="23">
        <f t="shared" si="18"/>
        <v>208.30025549047008</v>
      </c>
      <c r="C37" s="23">
        <f t="shared" si="19"/>
        <v>237.97028814608348</v>
      </c>
      <c r="D37" s="7">
        <f t="shared" si="15"/>
        <v>0.14243877227011287</v>
      </c>
      <c r="E37" s="6"/>
      <c r="G37" s="6" t="s">
        <v>37</v>
      </c>
      <c r="H37" s="23">
        <f t="shared" si="20"/>
        <v>211.01005544377472</v>
      </c>
      <c r="I37" s="23">
        <f t="shared" si="21"/>
        <v>244.28872296930211</v>
      </c>
      <c r="J37" s="7">
        <f t="shared" si="16"/>
        <v>0.15771128752863989</v>
      </c>
      <c r="K37" s="6"/>
      <c r="M37" s="6" t="s">
        <v>37</v>
      </c>
      <c r="N37" s="23">
        <f t="shared" si="23"/>
        <v>191.8583022826603</v>
      </c>
      <c r="O37" s="23">
        <f t="shared" si="22"/>
        <v>199.17824418927634</v>
      </c>
      <c r="P37" s="7">
        <f t="shared" si="17"/>
        <v>3.8152854578227945E-2</v>
      </c>
      <c r="Q37" s="6"/>
    </row>
    <row r="38" spans="1:17" s="19" customFormat="1" x14ac:dyDescent="0.35">
      <c r="A38" s="6" t="s">
        <v>38</v>
      </c>
      <c r="B38" s="23">
        <f t="shared" si="18"/>
        <v>438.67975773309678</v>
      </c>
      <c r="C38" s="23">
        <f t="shared" si="19"/>
        <v>459.16581338486259</v>
      </c>
      <c r="D38" s="7">
        <f t="shared" si="15"/>
        <v>4.6699341126722367E-2</v>
      </c>
      <c r="E38" s="6"/>
      <c r="G38" s="6" t="s">
        <v>38</v>
      </c>
      <c r="H38" s="23">
        <f t="shared" si="20"/>
        <v>452.2243130430461</v>
      </c>
      <c r="I38" s="23">
        <f t="shared" si="21"/>
        <v>473.84730100463287</v>
      </c>
      <c r="J38" s="7">
        <f t="shared" si="16"/>
        <v>4.7814740025993549E-2</v>
      </c>
      <c r="K38" s="6"/>
      <c r="M38" s="6" t="s">
        <v>38</v>
      </c>
      <c r="N38" s="23">
        <f t="shared" si="23"/>
        <v>356.49695883121046</v>
      </c>
      <c r="O38" s="23">
        <f t="shared" si="22"/>
        <v>369.0287891008436</v>
      </c>
      <c r="P38" s="7">
        <f t="shared" si="17"/>
        <v>3.5152698947893524E-2</v>
      </c>
      <c r="Q38" s="6"/>
    </row>
    <row r="39" spans="1:17" s="19" customFormat="1" x14ac:dyDescent="0.35">
      <c r="A39" s="6" t="s">
        <v>39</v>
      </c>
      <c r="B39" s="23">
        <f t="shared" si="18"/>
        <v>38.380005188458973</v>
      </c>
      <c r="C39" s="23">
        <f t="shared" si="19"/>
        <v>40.306912639142247</v>
      </c>
      <c r="D39" s="7">
        <f t="shared" si="15"/>
        <v>5.02060237152522E-2</v>
      </c>
      <c r="E39" s="6"/>
      <c r="G39" s="6" t="s">
        <v>39</v>
      </c>
      <c r="H39" s="23">
        <f t="shared" si="20"/>
        <v>41.990000937593472</v>
      </c>
      <c r="I39" s="23">
        <f t="shared" si="21"/>
        <v>43.060352982439341</v>
      </c>
      <c r="J39" s="7">
        <f t="shared" si="16"/>
        <v>2.5490641127554423E-2</v>
      </c>
      <c r="K39" s="6"/>
      <c r="M39" s="6" t="s">
        <v>39</v>
      </c>
      <c r="N39" s="23">
        <f t="shared" si="23"/>
        <v>16.476033599974446</v>
      </c>
      <c r="O39" s="23">
        <f t="shared" si="22"/>
        <v>23.402159829613854</v>
      </c>
      <c r="P39" s="7">
        <f t="shared" si="17"/>
        <v>0.42037582574790028</v>
      </c>
      <c r="Q39" s="6"/>
    </row>
    <row r="40" spans="1:17" s="19" customFormat="1" x14ac:dyDescent="0.35">
      <c r="A40" s="12" t="s">
        <v>60</v>
      </c>
      <c r="B40" s="23">
        <f t="shared" si="18"/>
        <v>1203.3363847525061</v>
      </c>
      <c r="C40" s="23">
        <f t="shared" si="19"/>
        <v>1297.6237585435645</v>
      </c>
      <c r="D40" s="7">
        <f t="shared" si="15"/>
        <v>7.8354959582187605E-2</v>
      </c>
      <c r="E40" s="6"/>
      <c r="G40" s="12" t="s">
        <v>60</v>
      </c>
      <c r="H40" s="23">
        <f t="shared" si="20"/>
        <v>1202.815464063314</v>
      </c>
      <c r="I40" s="23">
        <f t="shared" si="21"/>
        <v>1299.365577301181</v>
      </c>
      <c r="J40" s="7">
        <f t="shared" si="16"/>
        <v>8.0270096388438808E-2</v>
      </c>
      <c r="K40" s="6"/>
      <c r="M40" s="12" t="s">
        <v>60</v>
      </c>
      <c r="N40" s="23">
        <f t="shared" si="23"/>
        <v>1206.4971175535502</v>
      </c>
      <c r="O40" s="23">
        <f t="shared" si="22"/>
        <v>1286.929858598287</v>
      </c>
      <c r="P40" s="7">
        <f t="shared" si="17"/>
        <v>6.6666335024349335E-2</v>
      </c>
      <c r="Q40" s="6"/>
    </row>
    <row r="41" spans="1:17" s="19" customFormat="1" x14ac:dyDescent="0.35">
      <c r="A41" s="12" t="s">
        <v>61</v>
      </c>
      <c r="B41" s="23">
        <f t="shared" si="18"/>
        <v>985.61076435355585</v>
      </c>
      <c r="C41" s="23">
        <f t="shared" si="19"/>
        <v>1013.8850067109234</v>
      </c>
      <c r="D41" s="7">
        <f t="shared" si="15"/>
        <v>2.8687026745200128E-2</v>
      </c>
      <c r="E41" s="46"/>
      <c r="G41" s="12" t="s">
        <v>61</v>
      </c>
      <c r="H41" s="23">
        <f t="shared" si="20"/>
        <v>950.10457104231602</v>
      </c>
      <c r="I41" s="23">
        <f t="shared" si="21"/>
        <v>970.8362354797689</v>
      </c>
      <c r="J41" s="7">
        <f t="shared" si="16"/>
        <v>2.1820402794935637E-2</v>
      </c>
      <c r="K41" s="46"/>
      <c r="M41" s="12" t="s">
        <v>61</v>
      </c>
      <c r="N41" s="23">
        <f t="shared" si="23"/>
        <v>1201.047763051158</v>
      </c>
      <c r="O41" s="23">
        <f t="shared" si="22"/>
        <v>1278.1830287066302</v>
      </c>
      <c r="P41" s="7">
        <f t="shared" si="17"/>
        <v>6.422331236812498E-2</v>
      </c>
      <c r="Q41" s="46"/>
    </row>
    <row r="42" spans="1:17" s="19" customFormat="1" x14ac:dyDescent="0.35">
      <c r="A42" s="12" t="s">
        <v>40</v>
      </c>
      <c r="B42" s="23">
        <f t="shared" si="18"/>
        <v>344.41915431341999</v>
      </c>
      <c r="C42" s="23">
        <f t="shared" si="19"/>
        <v>339.81387156162526</v>
      </c>
      <c r="D42" s="7">
        <f t="shared" si="15"/>
        <v>-1.3371157480991734E-2</v>
      </c>
      <c r="E42" s="6"/>
      <c r="G42" s="12" t="s">
        <v>40</v>
      </c>
      <c r="H42" s="23">
        <f t="shared" si="20"/>
        <v>314.67525042524659</v>
      </c>
      <c r="I42" s="23">
        <f t="shared" si="21"/>
        <v>313.1103363836865</v>
      </c>
      <c r="J42" s="7">
        <f t="shared" si="16"/>
        <v>-4.9731081152562511E-3</v>
      </c>
      <c r="K42" s="6"/>
      <c r="M42" s="12" t="s">
        <v>40</v>
      </c>
      <c r="N42" s="23">
        <f t="shared" si="23"/>
        <v>524.89294735136627</v>
      </c>
      <c r="O42" s="23">
        <f t="shared" si="22"/>
        <v>503.76028224835636</v>
      </c>
      <c r="P42" s="7">
        <f t="shared" si="17"/>
        <v>-4.0260905027675271E-2</v>
      </c>
      <c r="Q42" s="6"/>
    </row>
    <row r="43" spans="1:17" s="19" customFormat="1" x14ac:dyDescent="0.35">
      <c r="A43" s="12" t="s">
        <v>48</v>
      </c>
      <c r="B43" s="23">
        <f t="shared" si="18"/>
        <v>30.185412331008543</v>
      </c>
      <c r="C43" s="23">
        <f t="shared" si="19"/>
        <v>34.261818573284962</v>
      </c>
      <c r="D43" s="7">
        <f t="shared" si="15"/>
        <v>0.13504557093920674</v>
      </c>
      <c r="E43" s="6"/>
      <c r="G43" s="12" t="s">
        <v>48</v>
      </c>
      <c r="H43" s="23">
        <f t="shared" si="20"/>
        <v>32.95428973077194</v>
      </c>
      <c r="I43" s="23">
        <f t="shared" si="21"/>
        <v>34.221706411300794</v>
      </c>
      <c r="J43" s="7">
        <f t="shared" si="16"/>
        <v>3.8459839094798325E-2</v>
      </c>
      <c r="K43" s="6"/>
      <c r="M43" s="12" t="s">
        <v>48</v>
      </c>
      <c r="N43" s="23">
        <f t="shared" si="23"/>
        <v>13.385001441063542</v>
      </c>
      <c r="O43" s="23">
        <f t="shared" si="22"/>
        <v>34.508087276599689</v>
      </c>
      <c r="P43" s="7">
        <f t="shared" si="17"/>
        <v>1.5781160673418464</v>
      </c>
      <c r="Q43" s="6"/>
    </row>
    <row r="44" spans="1:17" s="19" customFormat="1" x14ac:dyDescent="0.35">
      <c r="A44" s="12" t="s">
        <v>49</v>
      </c>
      <c r="B44" s="23">
        <f t="shared" si="18"/>
        <v>14.65710341279895</v>
      </c>
      <c r="C44" s="23">
        <f t="shared" si="19"/>
        <v>21.179827247830865</v>
      </c>
      <c r="D44" s="7">
        <f t="shared" si="15"/>
        <v>0.44502134230260726</v>
      </c>
      <c r="E44" s="6"/>
      <c r="G44" s="12" t="s">
        <v>49</v>
      </c>
      <c r="H44" s="23">
        <f t="shared" si="20"/>
        <v>16.695047209080041</v>
      </c>
      <c r="I44" s="23">
        <f t="shared" si="21"/>
        <v>23.866386424991095</v>
      </c>
      <c r="J44" s="7">
        <f t="shared" si="16"/>
        <v>0.42954890310287547</v>
      </c>
      <c r="K44" s="6"/>
      <c r="M44" s="12" t="s">
        <v>49</v>
      </c>
      <c r="N44" s="23">
        <f t="shared" si="23"/>
        <v>2.2916974359715314</v>
      </c>
      <c r="O44" s="23">
        <f t="shared" si="22"/>
        <v>4.68569149921289</v>
      </c>
      <c r="P44" s="7">
        <f t="shared" si="17"/>
        <v>1.0446379289273238</v>
      </c>
      <c r="Q44" s="6"/>
    </row>
    <row r="45" spans="1:17" s="19" customFormat="1" x14ac:dyDescent="0.35">
      <c r="A45" s="12" t="s">
        <v>50</v>
      </c>
      <c r="B45" s="23">
        <f t="shared" si="18"/>
        <v>12.866851608036658</v>
      </c>
      <c r="C45" s="23">
        <f t="shared" si="19"/>
        <v>12.663216217425257</v>
      </c>
      <c r="D45" s="7">
        <f t="shared" si="15"/>
        <v>-1.5826357279523626E-2</v>
      </c>
      <c r="E45" s="6"/>
      <c r="G45" s="12" t="s">
        <v>50</v>
      </c>
      <c r="H45" s="23">
        <f t="shared" si="20"/>
        <v>14.408052797202641</v>
      </c>
      <c r="I45" s="23">
        <f t="shared" si="21"/>
        <v>14.532818612460215</v>
      </c>
      <c r="J45" s="7">
        <f t="shared" si="16"/>
        <v>8.6594501709347602E-3</v>
      </c>
      <c r="K45" s="6"/>
      <c r="M45" s="12" t="s">
        <v>50</v>
      </c>
      <c r="N45" s="23">
        <f t="shared" si="23"/>
        <v>3.5154757600944788</v>
      </c>
      <c r="O45" s="23">
        <f t="shared" si="22"/>
        <v>1.1847883600333364</v>
      </c>
      <c r="P45" s="7">
        <f t="shared" si="17"/>
        <v>-0.6629792264585278</v>
      </c>
      <c r="Q45" s="6"/>
    </row>
    <row r="46" spans="1:17" s="19" customFormat="1" x14ac:dyDescent="0.35">
      <c r="A46" s="12" t="s">
        <v>51</v>
      </c>
      <c r="B46" s="23">
        <f t="shared" si="18"/>
        <v>0</v>
      </c>
      <c r="C46" s="23">
        <f t="shared" si="19"/>
        <v>0</v>
      </c>
      <c r="D46" s="7" t="str">
        <f t="shared" si="15"/>
        <v/>
      </c>
      <c r="E46" s="6"/>
      <c r="G46" s="12" t="s">
        <v>51</v>
      </c>
      <c r="H46" s="23">
        <f t="shared" si="20"/>
        <v>0</v>
      </c>
      <c r="I46" s="23">
        <f t="shared" si="21"/>
        <v>0</v>
      </c>
      <c r="J46" s="7" t="str">
        <f t="shared" si="16"/>
        <v/>
      </c>
      <c r="K46" s="6"/>
      <c r="M46" s="12" t="s">
        <v>51</v>
      </c>
      <c r="N46" s="23">
        <f t="shared" si="23"/>
        <v>0</v>
      </c>
      <c r="O46" s="23">
        <f t="shared" si="22"/>
        <v>0</v>
      </c>
      <c r="P46" s="7" t="str">
        <f t="shared" si="17"/>
        <v/>
      </c>
      <c r="Q46" s="6"/>
    </row>
    <row r="47" spans="1:17" s="19" customFormat="1" x14ac:dyDescent="0.35">
      <c r="A47" s="12" t="s">
        <v>52</v>
      </c>
      <c r="B47" s="23">
        <f t="shared" si="18"/>
        <v>-11.576773551635457</v>
      </c>
      <c r="C47" s="23">
        <f t="shared" si="19"/>
        <v>-5.7218974370569757</v>
      </c>
      <c r="D47" s="7">
        <f t="shared" si="15"/>
        <v>-0.50574333932197879</v>
      </c>
      <c r="E47" s="6"/>
      <c r="G47" s="12" t="s">
        <v>52</v>
      </c>
      <c r="H47" s="23">
        <f t="shared" si="20"/>
        <v>-13.4847427590128</v>
      </c>
      <c r="I47" s="23">
        <f t="shared" si="21"/>
        <v>-6.6538781303517442</v>
      </c>
      <c r="J47" s="7">
        <f t="shared" si="16"/>
        <v>-0.50656247217586037</v>
      </c>
      <c r="K47" s="6"/>
      <c r="M47" s="12" t="s">
        <v>52</v>
      </c>
      <c r="N47" s="23">
        <f t="shared" si="23"/>
        <v>0</v>
      </c>
      <c r="O47" s="23">
        <f t="shared" si="22"/>
        <v>0</v>
      </c>
      <c r="P47" s="7" t="str">
        <f t="shared" si="17"/>
        <v/>
      </c>
      <c r="Q47" s="6"/>
    </row>
    <row r="48" spans="1:17" s="19" customFormat="1" x14ac:dyDescent="0.35">
      <c r="A48" s="12" t="s">
        <v>53</v>
      </c>
      <c r="B48" s="23">
        <f t="shared" si="18"/>
        <v>26.551623211793022</v>
      </c>
      <c r="C48" s="23">
        <f t="shared" si="19"/>
        <v>12.560054269077332</v>
      </c>
      <c r="D48" s="7">
        <f t="shared" si="15"/>
        <v>-0.5269571969709661</v>
      </c>
      <c r="E48" s="6"/>
      <c r="G48" s="12" t="s">
        <v>53</v>
      </c>
      <c r="H48" s="23">
        <f t="shared" si="20"/>
        <v>30.845535261060434</v>
      </c>
      <c r="I48" s="23">
        <f t="shared" si="21"/>
        <v>14.412992149395944</v>
      </c>
      <c r="J48" s="7">
        <f t="shared" si="16"/>
        <v>-0.53273651997243887</v>
      </c>
      <c r="K48" s="6"/>
      <c r="M48" s="12" t="s">
        <v>53</v>
      </c>
      <c r="N48" s="23">
        <f t="shared" si="23"/>
        <v>0.49792839701262581</v>
      </c>
      <c r="O48" s="23">
        <f t="shared" si="22"/>
        <v>1.1839382350217613</v>
      </c>
      <c r="P48" s="7">
        <f t="shared" si="17"/>
        <v>1.3777278864289006</v>
      </c>
      <c r="Q48" s="6"/>
    </row>
    <row r="49" spans="1:17" s="19" customFormat="1" x14ac:dyDescent="0.35">
      <c r="A49" s="37" t="s">
        <v>62</v>
      </c>
      <c r="B49" s="53">
        <f t="shared" si="18"/>
        <v>6448.1082992814772</v>
      </c>
      <c r="C49" s="53">
        <f t="shared" si="19"/>
        <v>6608.79882960137</v>
      </c>
      <c r="D49" s="40">
        <f t="shared" si="15"/>
        <v>2.4920569392080275E-2</v>
      </c>
      <c r="E49" s="38"/>
      <c r="G49" s="37" t="s">
        <v>62</v>
      </c>
      <c r="H49" s="39">
        <f>SUM(H33:H39) + H40 +H42</f>
        <v>6404.9609669525553</v>
      </c>
      <c r="I49" s="39">
        <f>SUM(I33:I39) + I40 +I42</f>
        <v>6552.9142386775075</v>
      </c>
      <c r="J49" s="40">
        <f t="shared" si="16"/>
        <v>2.3099792877480645E-2</v>
      </c>
      <c r="K49" s="38"/>
      <c r="M49" s="37" t="s">
        <v>62</v>
      </c>
      <c r="N49" s="53">
        <f t="shared" si="23"/>
        <v>6709.9085913394974</v>
      </c>
      <c r="O49" s="53">
        <f t="shared" si="22"/>
        <v>8230.0854224470604</v>
      </c>
      <c r="P49" s="40">
        <f t="shared" si="17"/>
        <v>0.22655701048888513</v>
      </c>
      <c r="Q49" s="37"/>
    </row>
    <row r="50" spans="1:17" s="19" customFormat="1" x14ac:dyDescent="0.35">
      <c r="A50" s="37" t="s">
        <v>63</v>
      </c>
      <c r="B50" s="53">
        <f t="shared" si="18"/>
        <v>6230.3826788825272</v>
      </c>
      <c r="C50" s="53">
        <f t="shared" si="19"/>
        <v>6325.0600777687296</v>
      </c>
      <c r="D50" s="40">
        <f t="shared" si="15"/>
        <v>1.5196080845419846E-2</v>
      </c>
      <c r="E50" s="38"/>
      <c r="G50" s="37" t="s">
        <v>63</v>
      </c>
      <c r="H50" s="39">
        <f>SUM(H33:H39) + H41 +H42</f>
        <v>6152.2500739315574</v>
      </c>
      <c r="I50" s="39">
        <f>SUM(I33:I39) + I41 +I42</f>
        <v>6224.384896856096</v>
      </c>
      <c r="J50" s="40">
        <f t="shared" si="16"/>
        <v>1.1724949743215059E-2</v>
      </c>
      <c r="K50" s="38"/>
      <c r="M50" s="37" t="s">
        <v>63</v>
      </c>
      <c r="N50" s="53">
        <f t="shared" si="23"/>
        <v>6704.459236837105</v>
      </c>
      <c r="O50" s="53">
        <f t="shared" si="22"/>
        <v>6943.1555638487744</v>
      </c>
      <c r="P50" s="40">
        <f t="shared" si="17"/>
        <v>3.5602621863993426E-2</v>
      </c>
      <c r="Q50" s="37"/>
    </row>
    <row r="51" spans="1:17" s="19" customFormat="1" x14ac:dyDescent="0.35">
      <c r="A51" s="37" t="s">
        <v>56</v>
      </c>
      <c r="B51" s="53">
        <f t="shared" si="18"/>
        <v>72.68421701200171</v>
      </c>
      <c r="C51" s="53">
        <f t="shared" si="19"/>
        <v>74.943018870561446</v>
      </c>
      <c r="D51" s="40">
        <f t="shared" si="15"/>
        <v>3.1076923593835497E-2</v>
      </c>
      <c r="E51" s="38"/>
      <c r="G51" s="37" t="s">
        <v>56</v>
      </c>
      <c r="H51" s="39">
        <f>SUM(H43:H48)</f>
        <v>81.418182239102251</v>
      </c>
      <c r="I51" s="39">
        <f t="shared" ref="I51" si="24">SUM(I43:I48)</f>
        <v>80.380025467796315</v>
      </c>
      <c r="J51" s="40">
        <f t="shared" si="16"/>
        <v>-1.2750920528502609E-2</v>
      </c>
      <c r="K51" s="38"/>
      <c r="M51" s="37" t="s">
        <v>56</v>
      </c>
      <c r="N51" s="53">
        <f t="shared" si="23"/>
        <v>19.690103034142176</v>
      </c>
      <c r="O51" s="53">
        <f t="shared" si="22"/>
        <v>41.562505370867676</v>
      </c>
      <c r="P51" s="40">
        <f t="shared" si="17"/>
        <v>1.1108322947218341</v>
      </c>
      <c r="Q51" s="37"/>
    </row>
    <row r="52" spans="1:17" x14ac:dyDescent="0.35">
      <c r="A52" s="37" t="s">
        <v>201</v>
      </c>
      <c r="B52" s="53">
        <f>B49+B51</f>
        <v>6520.7925162934789</v>
      </c>
      <c r="C52" s="53">
        <f>C49+C51</f>
        <v>6683.741848471931</v>
      </c>
      <c r="D52" s="40">
        <f t="shared" si="15"/>
        <v>2.498919138606101E-2</v>
      </c>
      <c r="E52" s="38"/>
      <c r="G52" s="37" t="s">
        <v>201</v>
      </c>
      <c r="H52" s="53">
        <f>H49+H51</f>
        <v>6486.3791491916572</v>
      </c>
      <c r="I52" s="53">
        <f>I49+I51</f>
        <v>6633.2942641453037</v>
      </c>
      <c r="J52" s="40">
        <f t="shared" si="16"/>
        <v>2.2649788360268035E-2</v>
      </c>
      <c r="K52" s="38"/>
      <c r="M52" s="37" t="s">
        <v>201</v>
      </c>
      <c r="N52" s="53">
        <f>N49+N51</f>
        <v>6729.5986943736398</v>
      </c>
      <c r="O52" s="53">
        <f>O49+O51</f>
        <v>8271.6479278179286</v>
      </c>
      <c r="P52" s="40">
        <f t="shared" si="17"/>
        <v>0.22914430762915139</v>
      </c>
      <c r="Q52" s="38"/>
    </row>
    <row r="53" spans="1:17" x14ac:dyDescent="0.35">
      <c r="A53" s="37" t="s">
        <v>202</v>
      </c>
      <c r="B53" s="53">
        <f>B49/B9+B51</f>
        <v>6375.6683998045464</v>
      </c>
      <c r="C53" s="53">
        <f>C49/C9+C51</f>
        <v>6561.6804120874203</v>
      </c>
      <c r="D53" s="40">
        <f t="shared" si="15"/>
        <v>2.9175295924828263E-2</v>
      </c>
      <c r="E53" s="38"/>
      <c r="G53" s="37" t="s">
        <v>202</v>
      </c>
      <c r="H53" s="53">
        <f>H49/H9+H51</f>
        <v>6366.7093484460993</v>
      </c>
      <c r="I53" s="53">
        <f>I49/I9+I51</f>
        <v>6538.817833332394</v>
      </c>
      <c r="J53" s="40">
        <f t="shared" si="16"/>
        <v>2.7032565092405331E-2</v>
      </c>
      <c r="K53" s="82" t="s">
        <v>135</v>
      </c>
      <c r="M53" s="37" t="s">
        <v>202</v>
      </c>
      <c r="N53" s="53">
        <f>N49/N9+N51</f>
        <v>6427.1409745049514</v>
      </c>
      <c r="O53" s="53">
        <f>O49/O9+O51</f>
        <v>7920.758647288545</v>
      </c>
      <c r="P53" s="40">
        <f t="shared" si="17"/>
        <v>0.23239223765410547</v>
      </c>
      <c r="Q53" s="38"/>
    </row>
    <row r="54" spans="1:17" x14ac:dyDescent="0.35">
      <c r="A54" s="37" t="s">
        <v>203</v>
      </c>
      <c r="B54" s="53">
        <f>B50+B51</f>
        <v>6303.0668958945289</v>
      </c>
      <c r="C54" s="53">
        <f>C50+C51</f>
        <v>6400.0030966392915</v>
      </c>
      <c r="D54" s="40">
        <f t="shared" si="15"/>
        <v>1.537921179416666E-2</v>
      </c>
      <c r="E54" s="38"/>
      <c r="G54" s="37" t="s">
        <v>203</v>
      </c>
      <c r="H54" s="53">
        <f>H50+H51</f>
        <v>6233.6682561706593</v>
      </c>
      <c r="I54" s="53">
        <f>I50+I51</f>
        <v>6304.7649223238923</v>
      </c>
      <c r="J54" s="40">
        <f t="shared" si="16"/>
        <v>1.1405269454763639E-2</v>
      </c>
      <c r="K54" s="38"/>
      <c r="M54" s="37" t="s">
        <v>203</v>
      </c>
      <c r="N54" s="53">
        <f>N50+N51</f>
        <v>6724.1493398712473</v>
      </c>
      <c r="O54" s="53">
        <f>O50+O51</f>
        <v>6984.7180692196416</v>
      </c>
      <c r="P54" s="40">
        <f t="shared" si="17"/>
        <v>3.875118117965292E-2</v>
      </c>
      <c r="Q54" s="38"/>
    </row>
    <row r="55" spans="1:17" x14ac:dyDescent="0.35">
      <c r="A55" s="37" t="s">
        <v>204</v>
      </c>
      <c r="B55" s="53">
        <f>B50/B9+B51</f>
        <v>6162.8430132153981</v>
      </c>
      <c r="C55" s="53">
        <f>C50/C9+C51</f>
        <v>6283.1821828519442</v>
      </c>
      <c r="D55" s="40">
        <f t="shared" si="15"/>
        <v>1.952656742650993E-2</v>
      </c>
      <c r="E55" s="38"/>
      <c r="G55" s="37" t="s">
        <v>204</v>
      </c>
      <c r="H55" s="53">
        <f>H50/H9+H51</f>
        <v>6118.7200864186534</v>
      </c>
      <c r="I55" s="53">
        <f>I50/I9+I51</f>
        <v>6215.0250527571843</v>
      </c>
      <c r="J55" s="40">
        <f t="shared" si="16"/>
        <v>1.573939728870636E-2</v>
      </c>
      <c r="K55" s="82" t="s">
        <v>136</v>
      </c>
      <c r="M55" s="37" t="s">
        <v>204</v>
      </c>
      <c r="N55" s="53">
        <f>N50/N9+N51</f>
        <v>6421.9372566330903</v>
      </c>
      <c r="O55" s="53">
        <f>O50/O9+O51</f>
        <v>6688.696978872551</v>
      </c>
      <c r="P55" s="40">
        <f t="shared" si="17"/>
        <v>4.1538824124127009E-2</v>
      </c>
      <c r="Q55" s="38"/>
    </row>
  </sheetData>
  <mergeCells count="18">
    <mergeCell ref="Q31:Q32"/>
    <mergeCell ref="H31:I31"/>
    <mergeCell ref="K31:K32"/>
    <mergeCell ref="M31:M32"/>
    <mergeCell ref="N31:O31"/>
    <mergeCell ref="G6:G7"/>
    <mergeCell ref="A6:A7"/>
    <mergeCell ref="B6:C6"/>
    <mergeCell ref="E6:E7"/>
    <mergeCell ref="A31:A32"/>
    <mergeCell ref="B31:C31"/>
    <mergeCell ref="E31:E32"/>
    <mergeCell ref="G31:G32"/>
    <mergeCell ref="N6:O6"/>
    <mergeCell ref="Q6:Q7"/>
    <mergeCell ref="H6:I6"/>
    <mergeCell ref="K6:K7"/>
    <mergeCell ref="M6:M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D712A58CC08C4881FD312BDEE7828F" ma:contentTypeVersion="18" ma:contentTypeDescription="Create a new document." ma:contentTypeScope="" ma:versionID="3e465648bc2416bf3331cb4bfc901fe2">
  <xsd:schema xmlns:xsd="http://www.w3.org/2001/XMLSchema" xmlns:xs="http://www.w3.org/2001/XMLSchema" xmlns:p="http://schemas.microsoft.com/office/2006/metadata/properties" xmlns:ns1="http://schemas.microsoft.com/sharepoint/v3" xmlns:ns2="59da1016-2a1b-4f8a-9768-d7a4932f6f16" xmlns:ns3="5b6704dc-846a-4f54-9541-bd5523c0ad09" targetNamespace="http://schemas.microsoft.com/office/2006/metadata/properties" ma:root="true" ma:fieldsID="95cf926887d78b97aa7756545dadeee2" ns1:_="" ns2:_="" ns3:_="">
    <xsd:import namespace="http://schemas.microsoft.com/sharepoint/v3"/>
    <xsd:import namespace="59da1016-2a1b-4f8a-9768-d7a4932f6f16"/>
    <xsd:import namespace="5b6704dc-846a-4f54-9541-bd5523c0ad09"/>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b6704dc-846a-4f54-9541-bd5523c0ad09"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IATopic xmlns="59da1016-2a1b-4f8a-9768-d7a4932f6f16" xsi:nil="true"/>
    <Meta_x0020_Keywords xmlns="5b6704dc-846a-4f54-9541-bd5523c0ad09" xsi:nil="true"/>
    <IASubtopic xmlns="59da1016-2a1b-4f8a-9768-d7a4932f6f16" xsi:nil="true"/>
    <URL xmlns="http://schemas.microsoft.com/sharepoint/v3">
      <Url xsi:nil="true"/>
      <Description xsi:nil="true"/>
    </URL>
    <Meta_x0020_Description xmlns="5b6704dc-846a-4f54-9541-bd5523c0ad09" xsi:nil="true"/>
  </documentManagement>
</p:properties>
</file>

<file path=customXml/itemProps1.xml><?xml version="1.0" encoding="utf-8"?>
<ds:datastoreItem xmlns:ds="http://schemas.openxmlformats.org/officeDocument/2006/customXml" ds:itemID="{3CCB416B-8801-4499-A9F8-0F790C86E420}"/>
</file>

<file path=customXml/itemProps2.xml><?xml version="1.0" encoding="utf-8"?>
<ds:datastoreItem xmlns:ds="http://schemas.openxmlformats.org/officeDocument/2006/customXml" ds:itemID="{1B6F8345-278D-4A69-87C0-C62F6A53DDF7}"/>
</file>

<file path=customXml/itemProps3.xml><?xml version="1.0" encoding="utf-8"?>
<ds:datastoreItem xmlns:ds="http://schemas.openxmlformats.org/officeDocument/2006/customXml" ds:itemID="{B975CB98-0F28-4A0A-A88F-E83A5B36A2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Index</vt:lpstr>
      <vt:lpstr>THCE_Statewide</vt:lpstr>
      <vt:lpstr>THCE_Comm</vt:lpstr>
      <vt:lpstr>THCE_Mcare</vt:lpstr>
      <vt:lpstr>THCE_Maid</vt:lpstr>
      <vt:lpstr>THCE_NCPHI</vt:lpstr>
      <vt:lpstr>THCE_Other</vt:lpstr>
      <vt:lpstr>TME_StatewideServCat</vt:lpstr>
      <vt:lpstr>TME_Comm_ServCat</vt:lpstr>
      <vt:lpstr>TME_Mcare_ServCat</vt:lpstr>
      <vt:lpstr>TME_Maid_ServCat</vt:lpstr>
      <vt:lpstr>TME_Payer</vt:lpstr>
      <vt:lpstr>TME_Provider</vt:lpstr>
      <vt:lpstr>Comm MM Full vs Partial</vt:lpstr>
      <vt:lpstr>Entity 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2019-10-04T13:40:41Z</dcterms:created>
  <dcterms:modified xsi:type="dcterms:W3CDTF">2024-05-27T17:48:44Z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a67c04-f371-4d71-a575-202b566caae1_Enabled">
    <vt:lpwstr>true</vt:lpwstr>
  </property>
  <property fmtid="{D5CDD505-2E9C-101B-9397-08002B2CF9AE}" pid="3" name="MSIP_Label_11a67c04-f371-4d71-a575-202b566caae1_SetDate">
    <vt:lpwstr>2024-03-04T22:50:22Z</vt:lpwstr>
  </property>
  <property fmtid="{D5CDD505-2E9C-101B-9397-08002B2CF9AE}" pid="4" name="MSIP_Label_11a67c04-f371-4d71-a575-202b566caae1_Method">
    <vt:lpwstr>Privileged</vt:lpwstr>
  </property>
  <property fmtid="{D5CDD505-2E9C-101B-9397-08002B2CF9AE}" pid="5" name="MSIP_Label_11a67c04-f371-4d71-a575-202b566caae1_Name">
    <vt:lpwstr>Level 2 - Limited (Items)</vt:lpwstr>
  </property>
  <property fmtid="{D5CDD505-2E9C-101B-9397-08002B2CF9AE}" pid="6" name="MSIP_Label_11a67c04-f371-4d71-a575-202b566caae1_SiteId">
    <vt:lpwstr>658e63e8-8d39-499c-8f48-13adc9452f4c</vt:lpwstr>
  </property>
  <property fmtid="{D5CDD505-2E9C-101B-9397-08002B2CF9AE}" pid="7" name="MSIP_Label_11a67c04-f371-4d71-a575-202b566caae1_ActionId">
    <vt:lpwstr>86d0baef-db80-45c0-be9b-2c4ead01a1d4</vt:lpwstr>
  </property>
  <property fmtid="{D5CDD505-2E9C-101B-9397-08002B2CF9AE}" pid="8" name="MSIP_Label_11a67c04-f371-4d71-a575-202b566caae1_ContentBits">
    <vt:lpwstr>0</vt:lpwstr>
  </property>
  <property fmtid="{D5CDD505-2E9C-101B-9397-08002B2CF9AE}" pid="9" name="ContentTypeId">
    <vt:lpwstr>0x01010024D712A58CC08C4881FD312BDEE7828F</vt:lpwstr>
  </property>
</Properties>
</file>