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U:\Quality Education Commission\QEC 2024\Report\2024QEMReportAppendices\"/>
    </mc:Choice>
  </mc:AlternateContent>
  <xr:revisionPtr revIDLastSave="0" documentId="13_ncr:1_{5D2EA401-263A-49F6-A174-B1D40AD6B14E}" xr6:coauthVersionLast="47" xr6:coauthVersionMax="47" xr10:uidLastSave="{00000000-0000-0000-0000-000000000000}"/>
  <workbookProtection workbookAlgorithmName="SHA-512" workbookHashValue="tjStpLmX4+M7GlxXOmqsuTo/s8gORTow5H/1zVl8liqyeN8MMWJaQxQPA79TApH6LQqnOl1/dMoYH3fDRKAPfQ==" workbookSaltValue="byl26otYIVfeWTp1QLmVnQ==" workbookSpinCount="100000" lockStructure="1"/>
  <bookViews>
    <workbookView xWindow="-28920" yWindow="-120" windowWidth="29040" windowHeight="15840" tabRatio="685" xr2:uid="{00000000-000D-0000-FFFF-FFFF00000000}"/>
  </bookViews>
  <sheets>
    <sheet name="Notes" sheetId="36" r:id="rId1"/>
    <sheet name="K-12 Output Tables" sheetId="25" r:id="rId2"/>
    <sheet name="Scale-Up" sheetId="21" r:id="rId3"/>
    <sheet name="Staffing_ClassSize_Report" sheetId="24" r:id="rId4"/>
    <sheet name="K-12_assumptions" sheetId="1" r:id="rId5"/>
    <sheet name="ES_Detail" sheetId="12" r:id="rId6"/>
    <sheet name="MS_Detail" sheetId="19" r:id="rId7"/>
    <sheet name="HS_Detail" sheetId="20" r:id="rId8"/>
    <sheet name="1.Years" sheetId="2" r:id="rId9"/>
    <sheet name="2.StudentAssumptions" sheetId="4" r:id="rId10"/>
    <sheet name="11.Enrollment" sheetId="22" r:id="rId11"/>
    <sheet name="3.SalaryHistory" sheetId="5" r:id="rId12"/>
    <sheet name="Salary_Assumptions" sheetId="9" r:id="rId13"/>
    <sheet name="District total salaries" sheetId="34" r:id="rId14"/>
    <sheet name="7.PayrollBenefits" sheetId="13" r:id="rId15"/>
    <sheet name="RIPROS" sheetId="35" r:id="rId16"/>
    <sheet name="4.PerStudentExpenditures" sheetId="8" r:id="rId17"/>
    <sheet name="centralized sped expenditures" sheetId="32" r:id="rId18"/>
    <sheet name="5.LocalAndFedRevenues" sheetId="6" r:id="rId19"/>
    <sheet name="Food service" sheetId="33" r:id="rId20"/>
    <sheet name="12.RevenueForecasts" sheetId="23" r:id="rId21"/>
    <sheet name="6.GrowthFactors" sheetId="11" r:id="rId22"/>
    <sheet name="computer cost growth" sheetId="30" r:id="rId23"/>
    <sheet name="textbook cost growth" sheetId="31" r:id="rId24"/>
    <sheet name="8.OtherStaffingAssumptions" sheetId="14" r:id="rId25"/>
    <sheet name="9.ComputerAssumptions" sheetId="16" r:id="rId26"/>
    <sheet name="10.CostShares" sheetId="18" r:id="rId27"/>
    <sheet name="Raw Data" sheetId="29" r:id="rId28"/>
  </sheets>
  <externalReferences>
    <externalReference r:id="rId29"/>
  </externalReferences>
  <definedNames>
    <definedName name="_xlnm._FilterDatabase" localSheetId="24" hidden="1">'8.OtherStaffingAssumptions'!$A$1:$J$99</definedName>
    <definedName name="_xlnm._FilterDatabase" localSheetId="5" hidden="1">ES_Detail!$A$3:$AD$5</definedName>
    <definedName name="_xlnm._FilterDatabase" localSheetId="7" hidden="1">HS_Detail!$A$3:$AD$5</definedName>
    <definedName name="_xlnm._FilterDatabase" localSheetId="6" hidden="1">MS_Detail!$A$3:$AD$5</definedName>
    <definedName name="Biennium_1">'Scale-Up'!$A$47:$O$72</definedName>
    <definedName name="Biennium_2">'Scale-Up'!#REF!</definedName>
    <definedName name="Computers_per_school">[1]Parameters!$B$76:$F$80</definedName>
    <definedName name="_xlnm.Print_Area" localSheetId="11">'3.SalaryHistory'!$A$3:$G$13</definedName>
    <definedName name="_xlnm.Print_Area" localSheetId="1">'K-12 Output Tables'!$D$1:$H$21</definedName>
    <definedName name="SalaryCostShares">[1]SalaryParameters!$A$80:$C$95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36" l="1"/>
  <c r="B11" i="4" l="1"/>
  <c r="H11" i="4"/>
  <c r="D26" i="6" l="1"/>
  <c r="B23" i="36"/>
  <c r="B9" i="36" l="1"/>
  <c r="B8" i="36"/>
  <c r="J29" i="29"/>
  <c r="I29" i="29"/>
  <c r="O1" i="21" l="1"/>
  <c r="H23" i="25" l="1"/>
  <c r="G23" i="25"/>
  <c r="N7" i="1" l="1"/>
  <c r="M7" i="1"/>
  <c r="M73" i="1"/>
  <c r="N150" i="1"/>
  <c r="M65" i="1"/>
  <c r="M20" i="1"/>
  <c r="N179" i="1"/>
  <c r="N13" i="1"/>
  <c r="N139" i="1"/>
  <c r="N70" i="1"/>
  <c r="N61" i="1"/>
  <c r="N118" i="1"/>
  <c r="M98" i="1"/>
  <c r="N26" i="1"/>
  <c r="N151" i="1"/>
  <c r="M52" i="1"/>
  <c r="N140" i="1"/>
  <c r="M103" i="1"/>
  <c r="N181" i="1"/>
  <c r="M61" i="1"/>
  <c r="M64" i="1"/>
  <c r="M164" i="1"/>
  <c r="M125" i="1"/>
  <c r="M134" i="1"/>
  <c r="M124" i="1"/>
  <c r="M14" i="1"/>
  <c r="M154" i="1"/>
  <c r="N14" i="1"/>
  <c r="M184" i="1"/>
  <c r="M109" i="1"/>
  <c r="N141" i="1"/>
  <c r="M27" i="1"/>
  <c r="M93" i="1"/>
  <c r="M145" i="1"/>
  <c r="N130" i="1"/>
  <c r="M92" i="1"/>
  <c r="M70" i="1"/>
  <c r="M38" i="1"/>
  <c r="M42" i="1"/>
  <c r="M166" i="1"/>
  <c r="M135" i="1"/>
  <c r="M188" i="1"/>
  <c r="N173" i="1"/>
  <c r="N120" i="1"/>
  <c r="M130" i="1"/>
  <c r="M129" i="1"/>
  <c r="M21" i="1"/>
  <c r="M84" i="1"/>
  <c r="M74" i="1"/>
  <c r="M141" i="1"/>
  <c r="N129" i="1"/>
  <c r="M144" i="1"/>
  <c r="M120" i="1"/>
  <c r="M187" i="1"/>
  <c r="N107" i="1"/>
  <c r="M155" i="1"/>
  <c r="M66" i="1"/>
  <c r="M173" i="1"/>
  <c r="M48" i="1"/>
  <c r="N172" i="1"/>
  <c r="M88" i="1"/>
  <c r="N73" i="1"/>
  <c r="M60" i="1"/>
  <c r="M13" i="1"/>
  <c r="M51" i="1"/>
  <c r="M172" i="1"/>
  <c r="M185" i="1"/>
  <c r="M17" i="1"/>
  <c r="N97" i="1"/>
  <c r="N47" i="1"/>
  <c r="N94" i="1"/>
  <c r="N27" i="1"/>
  <c r="M165" i="1"/>
  <c r="N38" i="1"/>
  <c r="M177" i="1"/>
  <c r="M53" i="1"/>
  <c r="N98" i="1"/>
  <c r="M151" i="1"/>
  <c r="M108" i="1"/>
  <c r="M37" i="1"/>
  <c r="M178" i="1"/>
  <c r="N48" i="1"/>
  <c r="M156" i="1"/>
  <c r="N119" i="1"/>
  <c r="M150" i="1"/>
  <c r="N28" i="1"/>
  <c r="N84" i="1"/>
  <c r="M47" i="1"/>
  <c r="M31" i="1"/>
  <c r="N69" i="1"/>
  <c r="M112" i="1"/>
  <c r="M107" i="1"/>
  <c r="M80" i="1"/>
  <c r="N46" i="1"/>
  <c r="M146" i="1"/>
  <c r="M123" i="1"/>
  <c r="M89" i="1"/>
  <c r="M115" i="1"/>
  <c r="M140" i="1"/>
  <c r="M28" i="1"/>
  <c r="M75" i="1"/>
  <c r="M119" i="1"/>
  <c r="N108" i="1"/>
  <c r="M99" i="1"/>
  <c r="M41" i="1"/>
  <c r="M97" i="1"/>
  <c r="M33" i="1"/>
  <c r="M186" i="1"/>
  <c r="N37" i="1"/>
  <c r="M181" i="1"/>
  <c r="M32" i="1"/>
  <c r="M102" i="1"/>
  <c r="N60" i="1"/>
  <c r="M174" i="1"/>
  <c r="M43" i="1"/>
  <c r="M136" i="1"/>
  <c r="N88" i="1"/>
  <c r="N184" i="1"/>
  <c r="N131" i="12" l="1"/>
  <c r="O131" i="12"/>
  <c r="N165" i="1"/>
  <c r="N42" i="1"/>
  <c r="N178" i="1"/>
  <c r="M46" i="1"/>
  <c r="N92" i="1"/>
  <c r="M128" i="1"/>
  <c r="N124" i="1"/>
  <c r="N166" i="1"/>
  <c r="N99" i="1"/>
  <c r="N174" i="1"/>
  <c r="N53" i="1"/>
  <c r="N80" i="1"/>
  <c r="N21" i="1"/>
  <c r="N149" i="1"/>
  <c r="N103" i="1"/>
  <c r="N66" i="1"/>
  <c r="M179" i="1"/>
  <c r="N33" i="1"/>
  <c r="N83" i="1"/>
  <c r="N36" i="1"/>
  <c r="N156" i="1"/>
  <c r="N52" i="1"/>
  <c r="N102" i="1"/>
  <c r="N188" i="1"/>
  <c r="N187" i="1"/>
  <c r="N135" i="1"/>
  <c r="N169" i="1"/>
  <c r="N155" i="1"/>
  <c r="N64" i="1"/>
  <c r="N115" i="1"/>
  <c r="N125" i="1"/>
  <c r="N93" i="1"/>
  <c r="N145" i="1"/>
  <c r="M94" i="1"/>
  <c r="N177" i="1"/>
  <c r="N112" i="1"/>
  <c r="N59" i="1"/>
  <c r="M139" i="1"/>
  <c r="N31" i="1"/>
  <c r="N136" i="1"/>
  <c r="N43" i="1"/>
  <c r="N154" i="1"/>
  <c r="M118" i="1"/>
  <c r="N17" i="1"/>
  <c r="N185" i="1"/>
  <c r="M169" i="1"/>
  <c r="M59" i="1"/>
  <c r="N65" i="1"/>
  <c r="M26" i="1"/>
  <c r="M83" i="1"/>
  <c r="N146" i="1"/>
  <c r="N32" i="1"/>
  <c r="M149" i="1"/>
  <c r="N74" i="1"/>
  <c r="N51" i="1"/>
  <c r="N128" i="1"/>
  <c r="N186" i="1"/>
  <c r="M104" i="1"/>
  <c r="N75" i="1"/>
  <c r="N123" i="1"/>
  <c r="N144" i="1"/>
  <c r="N164" i="1"/>
  <c r="N89" i="1"/>
  <c r="M69" i="1"/>
  <c r="N134" i="1"/>
  <c r="N20" i="1"/>
  <c r="N41" i="1"/>
  <c r="N109" i="1"/>
  <c r="N104" i="1"/>
  <c r="M36" i="1"/>
  <c r="L34" i="5" l="1"/>
  <c r="D12" i="5"/>
  <c r="D11" i="5"/>
  <c r="D10" i="5"/>
  <c r="D9" i="5"/>
  <c r="C12" i="5"/>
  <c r="C11" i="5"/>
  <c r="C10" i="5"/>
  <c r="C9" i="5"/>
  <c r="E146" i="1" l="1"/>
  <c r="F146" i="1" s="1"/>
  <c r="E145" i="1"/>
  <c r="F145" i="1" s="1"/>
  <c r="E144" i="1"/>
  <c r="F144" i="1" s="1"/>
  <c r="F155" i="1"/>
  <c r="F156" i="1"/>
  <c r="F154" i="1"/>
  <c r="E156" i="1"/>
  <c r="E155" i="1"/>
  <c r="E154" i="1"/>
  <c r="E172" i="1"/>
  <c r="F172" i="1" s="1"/>
  <c r="D18" i="23"/>
  <c r="E18" i="23"/>
  <c r="F18" i="23"/>
  <c r="G18" i="23"/>
  <c r="H18" i="23"/>
  <c r="C18" i="23"/>
  <c r="D13" i="23"/>
  <c r="E13" i="23"/>
  <c r="F13" i="23"/>
  <c r="G13" i="23"/>
  <c r="H13" i="23"/>
  <c r="C13" i="23"/>
  <c r="D10" i="23"/>
  <c r="E10" i="23"/>
  <c r="F10" i="23"/>
  <c r="G10" i="23"/>
  <c r="H10" i="23"/>
  <c r="C10" i="23"/>
  <c r="D23" i="29"/>
  <c r="E23" i="29"/>
  <c r="F23" i="29"/>
  <c r="G23" i="29"/>
  <c r="H23" i="29"/>
  <c r="I23" i="29"/>
  <c r="J23" i="29"/>
  <c r="K23" i="29"/>
  <c r="L23" i="29"/>
  <c r="M23" i="29"/>
  <c r="N23" i="29"/>
  <c r="O23" i="29"/>
  <c r="P23" i="29"/>
  <c r="C23" i="29"/>
  <c r="C46" i="29" l="1"/>
  <c r="D46" i="29"/>
  <c r="E46" i="29"/>
  <c r="F46" i="29"/>
  <c r="G46" i="29"/>
  <c r="H46" i="29"/>
  <c r="I46" i="29"/>
  <c r="J46" i="29"/>
  <c r="B46" i="29"/>
  <c r="E20" i="18" l="1"/>
  <c r="F20" i="18"/>
  <c r="J47" i="29"/>
  <c r="I47" i="29"/>
  <c r="H47" i="29"/>
  <c r="J42" i="29"/>
  <c r="I42" i="29"/>
  <c r="H42" i="29"/>
  <c r="G42" i="29"/>
  <c r="F42" i="29"/>
  <c r="E42" i="29"/>
  <c r="D42" i="29"/>
  <c r="C42" i="29"/>
  <c r="J40" i="29"/>
  <c r="I40" i="29"/>
  <c r="H40" i="29"/>
  <c r="G40" i="29"/>
  <c r="F40" i="29"/>
  <c r="E40" i="29"/>
  <c r="D40" i="29"/>
  <c r="C40" i="29"/>
  <c r="C36" i="29"/>
  <c r="K36" i="29" s="1"/>
  <c r="D36" i="29"/>
  <c r="E36" i="29"/>
  <c r="F36" i="29"/>
  <c r="G36" i="29"/>
  <c r="H36" i="29"/>
  <c r="I36" i="29"/>
  <c r="J36" i="29"/>
  <c r="K34" i="29"/>
  <c r="L34" i="29" s="1"/>
  <c r="C34" i="29"/>
  <c r="D34" i="29"/>
  <c r="E34" i="29"/>
  <c r="F34" i="29"/>
  <c r="G34" i="29"/>
  <c r="H34" i="29"/>
  <c r="I34" i="29"/>
  <c r="J34" i="29"/>
  <c r="L50" i="29"/>
  <c r="K50" i="29"/>
  <c r="C50" i="29"/>
  <c r="D50" i="29"/>
  <c r="E50" i="29"/>
  <c r="F50" i="29"/>
  <c r="G50" i="29"/>
  <c r="H50" i="29"/>
  <c r="I50" i="29"/>
  <c r="J50" i="29"/>
  <c r="M50" i="29" s="1"/>
  <c r="C29" i="29"/>
  <c r="D29" i="29"/>
  <c r="E29" i="29"/>
  <c r="F29" i="29"/>
  <c r="G29" i="29"/>
  <c r="H29" i="29"/>
  <c r="C26" i="29"/>
  <c r="D26" i="29"/>
  <c r="E26" i="29"/>
  <c r="F26" i="29"/>
  <c r="G26" i="29"/>
  <c r="H26" i="29"/>
  <c r="I26" i="29"/>
  <c r="J26" i="29"/>
  <c r="B26" i="29"/>
  <c r="B25" i="29"/>
  <c r="C25" i="29"/>
  <c r="D25" i="29"/>
  <c r="E25" i="29"/>
  <c r="F25" i="29"/>
  <c r="G25" i="29"/>
  <c r="H25" i="29"/>
  <c r="I25" i="29"/>
  <c r="L22" i="29"/>
  <c r="M22" i="29" s="1"/>
  <c r="K22" i="29"/>
  <c r="C22" i="29"/>
  <c r="D22" i="29"/>
  <c r="E22" i="29"/>
  <c r="F22" i="29"/>
  <c r="G22" i="29"/>
  <c r="H22" i="29"/>
  <c r="I22" i="29"/>
  <c r="J22" i="29"/>
  <c r="C20" i="29"/>
  <c r="D20" i="29"/>
  <c r="E20" i="29"/>
  <c r="F20" i="29"/>
  <c r="G20" i="29"/>
  <c r="H20" i="29"/>
  <c r="I20" i="29"/>
  <c r="C19" i="29"/>
  <c r="D19" i="29"/>
  <c r="E19" i="29"/>
  <c r="F19" i="29"/>
  <c r="G19" i="29"/>
  <c r="H19" i="29"/>
  <c r="I19" i="29"/>
  <c r="J19" i="29"/>
  <c r="J20" i="29" s="1"/>
  <c r="C8" i="29"/>
  <c r="D8" i="29"/>
  <c r="E8" i="29"/>
  <c r="F8" i="29"/>
  <c r="G8" i="29"/>
  <c r="H8" i="29"/>
  <c r="I8" i="29"/>
  <c r="J8" i="29"/>
  <c r="C6" i="29"/>
  <c r="D6" i="29"/>
  <c r="E6" i="29"/>
  <c r="F6" i="29"/>
  <c r="G6" i="29"/>
  <c r="H6" i="29"/>
  <c r="I6" i="29"/>
  <c r="C4" i="29"/>
  <c r="D4" i="29"/>
  <c r="E4" i="29"/>
  <c r="F4" i="29"/>
  <c r="G4" i="29"/>
  <c r="H4" i="29"/>
  <c r="I4" i="29"/>
  <c r="L14" i="29"/>
  <c r="N14" i="29" s="1"/>
  <c r="M14" i="29"/>
  <c r="K14" i="29"/>
  <c r="C14" i="29"/>
  <c r="D14" i="29"/>
  <c r="E14" i="29"/>
  <c r="F14" i="29"/>
  <c r="G14" i="29"/>
  <c r="H14" i="29"/>
  <c r="I14" i="29"/>
  <c r="J14" i="29"/>
  <c r="L12" i="29"/>
  <c r="C12" i="29"/>
  <c r="D12" i="29"/>
  <c r="E12" i="29"/>
  <c r="F12" i="29"/>
  <c r="G12" i="29"/>
  <c r="H12" i="29"/>
  <c r="I12" i="29"/>
  <c r="J12" i="29"/>
  <c r="M8" i="29"/>
  <c r="N8" i="29"/>
  <c r="K7" i="29"/>
  <c r="K8" i="29" s="1"/>
  <c r="L7" i="29"/>
  <c r="M7" i="29"/>
  <c r="N7" i="29"/>
  <c r="O7" i="29"/>
  <c r="O8" i="29" s="1"/>
  <c r="P7" i="29"/>
  <c r="P8" i="29" s="1"/>
  <c r="J7" i="29"/>
  <c r="M4" i="29"/>
  <c r="L3" i="29"/>
  <c r="M3" i="29"/>
  <c r="N3" i="29"/>
  <c r="N4" i="29" s="1"/>
  <c r="G2" i="34"/>
  <c r="D5" i="34"/>
  <c r="E7" i="34" s="1"/>
  <c r="D6" i="34"/>
  <c r="D7" i="34"/>
  <c r="D8" i="34"/>
  <c r="D9" i="34"/>
  <c r="D10" i="34"/>
  <c r="D11" i="34"/>
  <c r="E11" i="34" s="1"/>
  <c r="D12" i="34"/>
  <c r="E12" i="34" s="1"/>
  <c r="D13" i="34"/>
  <c r="E13" i="34" s="1"/>
  <c r="D14" i="34"/>
  <c r="E14" i="34" s="1"/>
  <c r="D15" i="34"/>
  <c r="E15" i="34" s="1"/>
  <c r="D16" i="34"/>
  <c r="D17" i="34"/>
  <c r="D18" i="34"/>
  <c r="D19" i="34"/>
  <c r="D20" i="34"/>
  <c r="D21" i="34"/>
  <c r="D22" i="34"/>
  <c r="E24" i="34" s="1"/>
  <c r="D23" i="34"/>
  <c r="E23" i="34" s="1"/>
  <c r="D24" i="34"/>
  <c r="D25" i="34"/>
  <c r="E25" i="34" s="1"/>
  <c r="D26" i="34"/>
  <c r="E26" i="34" s="1"/>
  <c r="D27" i="34"/>
  <c r="E27" i="34" s="1"/>
  <c r="D13" i="13"/>
  <c r="F10" i="13"/>
  <c r="G10" i="13" s="1"/>
  <c r="H10" i="13" s="1"/>
  <c r="I10" i="13" s="1"/>
  <c r="J10" i="13" s="1"/>
  <c r="D27" i="35"/>
  <c r="I23" i="33"/>
  <c r="J23" i="33" s="1"/>
  <c r="I24" i="33"/>
  <c r="J24" i="33"/>
  <c r="G23" i="33"/>
  <c r="G24" i="33"/>
  <c r="E23" i="33"/>
  <c r="E24" i="33"/>
  <c r="E25" i="33"/>
  <c r="G25" i="33" s="1"/>
  <c r="I25" i="33" s="1"/>
  <c r="J25" i="33" s="1"/>
  <c r="L2" i="33" s="1"/>
  <c r="D23" i="32"/>
  <c r="D24" i="32"/>
  <c r="D25" i="32"/>
  <c r="E25" i="32"/>
  <c r="N50" i="29" l="1"/>
  <c r="K20" i="29"/>
  <c r="L20" i="29" s="1"/>
  <c r="C20" i="18"/>
  <c r="K40" i="29"/>
  <c r="L36" i="29"/>
  <c r="M34" i="29"/>
  <c r="N34" i="29" s="1"/>
  <c r="O34" i="29" s="1"/>
  <c r="P34" i="29" s="1"/>
  <c r="K42" i="29"/>
  <c r="L42" i="29" s="1"/>
  <c r="L40" i="29"/>
  <c r="M40" i="29" s="1"/>
  <c r="N22" i="29"/>
  <c r="K12" i="29"/>
  <c r="M12" i="29" s="1"/>
  <c r="O14" i="29"/>
  <c r="P14" i="29" s="1"/>
  <c r="L8" i="29"/>
  <c r="E21" i="34"/>
  <c r="E9" i="34"/>
  <c r="E20" i="34"/>
  <c r="E8" i="34"/>
  <c r="E22" i="34"/>
  <c r="E17" i="34"/>
  <c r="E10" i="34"/>
  <c r="E16" i="34"/>
  <c r="E19" i="34"/>
  <c r="E18" i="34"/>
  <c r="E24" i="32"/>
  <c r="O50" i="29" l="1"/>
  <c r="P50" i="29" s="1"/>
  <c r="M20" i="29"/>
  <c r="N20" i="29"/>
  <c r="O20" i="29" s="1"/>
  <c r="M36" i="29"/>
  <c r="N36" i="29" s="1"/>
  <c r="M42" i="29"/>
  <c r="N40" i="29"/>
  <c r="P22" i="29"/>
  <c r="O22" i="29"/>
  <c r="P20" i="29"/>
  <c r="O12" i="29"/>
  <c r="N12" i="29"/>
  <c r="P12" i="29" s="1"/>
  <c r="P29" i="29" l="1"/>
  <c r="O36" i="29"/>
  <c r="P36" i="29" s="1"/>
  <c r="N42" i="29"/>
  <c r="O42" i="29" s="1"/>
  <c r="P42" i="29" s="1"/>
  <c r="O40" i="29"/>
  <c r="P40" i="29" s="1"/>
  <c r="F6" i="23" l="1"/>
  <c r="F7" i="23"/>
  <c r="E6" i="23"/>
  <c r="E7" i="23"/>
  <c r="D6" i="23"/>
  <c r="D7" i="23"/>
  <c r="F3" i="22"/>
  <c r="G3" i="22"/>
  <c r="F8" i="22"/>
  <c r="G8" i="22"/>
  <c r="E14" i="22"/>
  <c r="H14" i="22" s="1"/>
  <c r="H13" i="22" s="1"/>
  <c r="F14" i="22"/>
  <c r="I14" i="22" s="1"/>
  <c r="G14" i="22"/>
  <c r="D5" i="35" l="1"/>
  <c r="D6" i="35"/>
  <c r="D7" i="35"/>
  <c r="D8" i="35"/>
  <c r="D9" i="35"/>
  <c r="D10" i="35"/>
  <c r="D11" i="35"/>
  <c r="D12" i="35"/>
  <c r="D13" i="35"/>
  <c r="D14" i="35"/>
  <c r="D15" i="35"/>
  <c r="D16" i="35"/>
  <c r="D17" i="35"/>
  <c r="D18" i="35"/>
  <c r="D19" i="35"/>
  <c r="D20" i="35"/>
  <c r="D21" i="35"/>
  <c r="D22" i="35"/>
  <c r="D23" i="35"/>
  <c r="D24" i="35"/>
  <c r="D25" i="35"/>
  <c r="F27" i="35" s="1"/>
  <c r="G27" i="35" s="1"/>
  <c r="D26" i="35"/>
  <c r="D4" i="35"/>
  <c r="E27" i="35" s="1"/>
  <c r="F8" i="35" l="1"/>
  <c r="G8" i="35" s="1"/>
  <c r="F20" i="35"/>
  <c r="G20" i="35" s="1"/>
  <c r="F19" i="35"/>
  <c r="G19" i="35" s="1"/>
  <c r="F7" i="35"/>
  <c r="G7" i="35" s="1"/>
  <c r="F18" i="35"/>
  <c r="G18" i="35" s="1"/>
  <c r="E7" i="35"/>
  <c r="F6" i="35"/>
  <c r="F17" i="35"/>
  <c r="G17" i="35" s="1"/>
  <c r="F16" i="35"/>
  <c r="G16" i="35" s="1"/>
  <c r="F15" i="35"/>
  <c r="G15" i="35" s="1"/>
  <c r="F26" i="35"/>
  <c r="G26" i="35" s="1"/>
  <c r="F14" i="35"/>
  <c r="G14" i="35" s="1"/>
  <c r="F25" i="35"/>
  <c r="G25" i="35" s="1"/>
  <c r="F13" i="35"/>
  <c r="G13" i="35" s="1"/>
  <c r="F24" i="35"/>
  <c r="G24" i="35" s="1"/>
  <c r="F12" i="35"/>
  <c r="G12" i="35" s="1"/>
  <c r="F23" i="35"/>
  <c r="G23" i="35" s="1"/>
  <c r="F11" i="35"/>
  <c r="G11" i="35" s="1"/>
  <c r="F22" i="35"/>
  <c r="G22" i="35" s="1"/>
  <c r="F10" i="35"/>
  <c r="G10" i="35" s="1"/>
  <c r="F21" i="35"/>
  <c r="G21" i="35" s="1"/>
  <c r="F9" i="35"/>
  <c r="G9" i="35" s="1"/>
  <c r="E6" i="35"/>
  <c r="E22" i="35"/>
  <c r="E17" i="35"/>
  <c r="E5" i="35"/>
  <c r="E16" i="35"/>
  <c r="E4" i="35"/>
  <c r="E15" i="35"/>
  <c r="E26" i="35"/>
  <c r="E14" i="35"/>
  <c r="E25" i="35"/>
  <c r="E13" i="35"/>
  <c r="E12" i="35"/>
  <c r="E18" i="35"/>
  <c r="E24" i="35"/>
  <c r="E11" i="35"/>
  <c r="E10" i="35"/>
  <c r="E21" i="35"/>
  <c r="E9" i="35"/>
  <c r="E20" i="35"/>
  <c r="E8" i="35"/>
  <c r="E23" i="35"/>
  <c r="E19" i="35"/>
  <c r="D6" i="22" l="1"/>
  <c r="D5" i="22"/>
  <c r="D7" i="22"/>
  <c r="D4" i="22" s="1"/>
  <c r="C11" i="22"/>
  <c r="K3" i="29" l="1"/>
  <c r="E3" i="22"/>
  <c r="H3" i="22" s="1"/>
  <c r="E8" i="22"/>
  <c r="I2" i="11"/>
  <c r="I8" i="11"/>
  <c r="I9" i="11"/>
  <c r="I11" i="11" s="1"/>
  <c r="B19" i="29"/>
  <c r="I3" i="22" l="1"/>
  <c r="H4" i="22"/>
  <c r="O3" i="29" s="1"/>
  <c r="O4" i="29" s="1"/>
  <c r="L4" i="29"/>
  <c r="C47" i="29"/>
  <c r="G16" i="13"/>
  <c r="H16" i="13"/>
  <c r="C15" i="11"/>
  <c r="D15" i="11"/>
  <c r="Q15" i="31"/>
  <c r="R15" i="31" s="1"/>
  <c r="Q16" i="31"/>
  <c r="R16" i="31"/>
  <c r="C13" i="11"/>
  <c r="D13" i="11"/>
  <c r="E13" i="11" s="1"/>
  <c r="F13" i="11" s="1"/>
  <c r="G13" i="11" s="1"/>
  <c r="H13" i="11" s="1"/>
  <c r="I13" i="11" s="1"/>
  <c r="R14" i="30"/>
  <c r="R13" i="30"/>
  <c r="Q15" i="30"/>
  <c r="Q16" i="30"/>
  <c r="R16" i="30" s="1"/>
  <c r="E1" i="11"/>
  <c r="F1" i="11" s="1"/>
  <c r="G1" i="11" s="1"/>
  <c r="H1" i="11" s="1"/>
  <c r="I1" i="11" s="1"/>
  <c r="B1" i="11"/>
  <c r="B15" i="11" s="1"/>
  <c r="E185" i="1"/>
  <c r="F185" i="1" s="1"/>
  <c r="D47" i="29" l="1"/>
  <c r="G47" i="29"/>
  <c r="F47" i="29"/>
  <c r="E47" i="29"/>
  <c r="B13" i="11"/>
  <c r="N43" i="21"/>
  <c r="I43" i="21"/>
  <c r="K47" i="29" l="1"/>
  <c r="E187" i="1"/>
  <c r="F187" i="1" s="1"/>
  <c r="E173" i="1"/>
  <c r="F173" i="1" s="1"/>
  <c r="E11" i="13"/>
  <c r="F11" i="13"/>
  <c r="G11" i="13"/>
  <c r="D11" i="13"/>
  <c r="F8" i="13"/>
  <c r="G8" i="13"/>
  <c r="E8" i="13"/>
  <c r="L47" i="29" l="1"/>
  <c r="M47" i="29" s="1"/>
  <c r="I16" i="13"/>
  <c r="H8" i="13"/>
  <c r="H11" i="13"/>
  <c r="I11" i="13"/>
  <c r="I8" i="13"/>
  <c r="F121" i="19"/>
  <c r="N47" i="29" l="1"/>
  <c r="O47" i="29"/>
  <c r="P47" i="29" s="1"/>
  <c r="J16" i="13"/>
  <c r="J11" i="13"/>
  <c r="J8" i="13"/>
  <c r="E7" i="5" l="1"/>
  <c r="F7" i="5"/>
  <c r="G7" i="5"/>
  <c r="E8" i="5"/>
  <c r="F8" i="5"/>
  <c r="G8" i="5"/>
  <c r="E9" i="5"/>
  <c r="F9" i="5"/>
  <c r="G9" i="5"/>
  <c r="E10" i="5"/>
  <c r="F10" i="5"/>
  <c r="G10" i="5"/>
  <c r="E11" i="5"/>
  <c r="F11" i="5"/>
  <c r="G11" i="5"/>
  <c r="E12" i="5"/>
  <c r="F12" i="5"/>
  <c r="G12" i="5"/>
  <c r="F6" i="5"/>
  <c r="G6" i="5"/>
  <c r="E6" i="5"/>
  <c r="B157" i="20" l="1"/>
  <c r="H158" i="20" s="1"/>
  <c r="B157" i="19"/>
  <c r="H158" i="19" s="1"/>
  <c r="D15" i="13" l="1"/>
  <c r="D16" i="13"/>
  <c r="D22" i="32"/>
  <c r="E23" i="32" s="1"/>
  <c r="D21" i="32"/>
  <c r="D20" i="32"/>
  <c r="D19" i="32"/>
  <c r="D18" i="32"/>
  <c r="D17" i="32"/>
  <c r="D16" i="32"/>
  <c r="D15" i="32"/>
  <c r="D14" i="32"/>
  <c r="D13" i="32"/>
  <c r="D12" i="32"/>
  <c r="D11" i="32"/>
  <c r="D10" i="32"/>
  <c r="D9" i="32"/>
  <c r="D8" i="32"/>
  <c r="D7" i="32"/>
  <c r="D6" i="32"/>
  <c r="D5" i="32"/>
  <c r="D4" i="32"/>
  <c r="D3" i="32"/>
  <c r="D2" i="32"/>
  <c r="I11" i="33"/>
  <c r="G6" i="33"/>
  <c r="I6" i="33" s="1"/>
  <c r="G7" i="33"/>
  <c r="I7" i="33" s="1"/>
  <c r="J7" i="33" s="1"/>
  <c r="G8" i="33"/>
  <c r="I8" i="33" s="1"/>
  <c r="G18" i="33"/>
  <c r="I18" i="33" s="1"/>
  <c r="G22" i="33"/>
  <c r="I22" i="33" s="1"/>
  <c r="G2" i="33"/>
  <c r="I2" i="33" s="1"/>
  <c r="E3" i="33"/>
  <c r="G3" i="33" s="1"/>
  <c r="I3" i="33" s="1"/>
  <c r="J3" i="33" s="1"/>
  <c r="E4" i="33"/>
  <c r="G4" i="33" s="1"/>
  <c r="I4" i="33" s="1"/>
  <c r="E5" i="33"/>
  <c r="G5" i="33" s="1"/>
  <c r="I5" i="33" s="1"/>
  <c r="J5" i="33" s="1"/>
  <c r="E6" i="33"/>
  <c r="E7" i="33"/>
  <c r="E8" i="33"/>
  <c r="E9" i="33"/>
  <c r="G9" i="33" s="1"/>
  <c r="I9" i="33" s="1"/>
  <c r="E10" i="33"/>
  <c r="G10" i="33" s="1"/>
  <c r="I10" i="33" s="1"/>
  <c r="E11" i="33"/>
  <c r="G11" i="33" s="1"/>
  <c r="E12" i="33"/>
  <c r="G12" i="33" s="1"/>
  <c r="I12" i="33" s="1"/>
  <c r="E13" i="33"/>
  <c r="G13" i="33" s="1"/>
  <c r="I13" i="33" s="1"/>
  <c r="J13" i="33" s="1"/>
  <c r="E14" i="33"/>
  <c r="G14" i="33" s="1"/>
  <c r="I14" i="33" s="1"/>
  <c r="E15" i="33"/>
  <c r="G15" i="33" s="1"/>
  <c r="I15" i="33" s="1"/>
  <c r="J15" i="33" s="1"/>
  <c r="E16" i="33"/>
  <c r="G16" i="33" s="1"/>
  <c r="I16" i="33" s="1"/>
  <c r="E17" i="33"/>
  <c r="G17" i="33" s="1"/>
  <c r="I17" i="33" s="1"/>
  <c r="J17" i="33" s="1"/>
  <c r="E18" i="33"/>
  <c r="E19" i="33"/>
  <c r="G19" i="33" s="1"/>
  <c r="I19" i="33" s="1"/>
  <c r="E20" i="33"/>
  <c r="G20" i="33" s="1"/>
  <c r="I20" i="33" s="1"/>
  <c r="J20" i="33" s="1"/>
  <c r="E21" i="33"/>
  <c r="G21" i="33" s="1"/>
  <c r="I21" i="33" s="1"/>
  <c r="E22" i="33"/>
  <c r="E2" i="33"/>
  <c r="C9" i="11"/>
  <c r="C8" i="11"/>
  <c r="F27" i="9" s="1"/>
  <c r="Q14" i="31"/>
  <c r="Q13" i="31"/>
  <c r="R13" i="31" s="1"/>
  <c r="C16" i="11" s="1"/>
  <c r="Q12" i="31"/>
  <c r="Q11" i="31"/>
  <c r="Q10" i="31"/>
  <c r="Q9" i="31"/>
  <c r="R9" i="31" s="1"/>
  <c r="Q8" i="31"/>
  <c r="Q7" i="31"/>
  <c r="R8" i="31" s="1"/>
  <c r="Q6" i="31"/>
  <c r="C14" i="11"/>
  <c r="Q7" i="30"/>
  <c r="R8" i="30" s="1"/>
  <c r="Q8" i="30"/>
  <c r="Q9" i="30"/>
  <c r="R9" i="30" s="1"/>
  <c r="Q10" i="30"/>
  <c r="R10" i="30" s="1"/>
  <c r="Q11" i="30"/>
  <c r="Q12" i="30"/>
  <c r="R12" i="30" s="1"/>
  <c r="Q13" i="30"/>
  <c r="Q14" i="30"/>
  <c r="Q6" i="30"/>
  <c r="B157" i="12"/>
  <c r="H158" i="12" s="1"/>
  <c r="J8" i="33" l="1"/>
  <c r="J12" i="33"/>
  <c r="J21" i="33"/>
  <c r="J22" i="33"/>
  <c r="J14" i="33"/>
  <c r="J16" i="33"/>
  <c r="E20" i="32"/>
  <c r="E19" i="32"/>
  <c r="E18" i="32"/>
  <c r="E8" i="32"/>
  <c r="E13" i="32"/>
  <c r="E6" i="32"/>
  <c r="E7" i="32"/>
  <c r="E9" i="32"/>
  <c r="E21" i="32"/>
  <c r="E12" i="32"/>
  <c r="E10" i="32"/>
  <c r="E4" i="32"/>
  <c r="E17" i="32"/>
  <c r="E11" i="32"/>
  <c r="E3" i="32"/>
  <c r="E5" i="32"/>
  <c r="E14" i="32"/>
  <c r="E16" i="32"/>
  <c r="E22" i="32"/>
  <c r="E15" i="32"/>
  <c r="R14" i="31"/>
  <c r="E15" i="11" s="1"/>
  <c r="F15" i="11" s="1"/>
  <c r="G15" i="11" s="1"/>
  <c r="H15" i="11" s="1"/>
  <c r="I15" i="11" s="1"/>
  <c r="R12" i="31"/>
  <c r="R15" i="30"/>
  <c r="R11" i="30"/>
  <c r="D14" i="11"/>
  <c r="J4" i="33"/>
  <c r="J18" i="33"/>
  <c r="J10" i="33"/>
  <c r="J11" i="33"/>
  <c r="J9" i="33"/>
  <c r="J6" i="33"/>
  <c r="J19" i="33"/>
  <c r="E188" i="1"/>
  <c r="F188" i="1" s="1"/>
  <c r="R10" i="31"/>
  <c r="R7" i="31"/>
  <c r="R11" i="31"/>
  <c r="R7" i="30"/>
  <c r="C19" i="11" l="1"/>
  <c r="C20" i="11" s="1"/>
  <c r="G2" i="32"/>
  <c r="C17" i="11" s="1"/>
  <c r="D17" i="11" s="1"/>
  <c r="E17" i="11" s="1"/>
  <c r="F17" i="11" s="1"/>
  <c r="G17" i="11" s="1"/>
  <c r="H17" i="11" s="1"/>
  <c r="I17" i="11" s="1"/>
  <c r="D16" i="11"/>
  <c r="A20" i="5"/>
  <c r="A21" i="5"/>
  <c r="A22" i="5"/>
  <c r="A23" i="5"/>
  <c r="A24" i="5"/>
  <c r="A25" i="5"/>
  <c r="A26" i="5"/>
  <c r="A27" i="5"/>
  <c r="A28" i="5"/>
  <c r="A29" i="5"/>
  <c r="A30" i="5"/>
  <c r="A31" i="5"/>
  <c r="A19" i="5"/>
  <c r="D19" i="11" l="1"/>
  <c r="E19" i="11" s="1"/>
  <c r="F19" i="11" s="1"/>
  <c r="G19" i="11" s="1"/>
  <c r="H19" i="11" s="1"/>
  <c r="I19" i="11" s="1"/>
  <c r="C18" i="11"/>
  <c r="D18" i="11"/>
  <c r="D14" i="22"/>
  <c r="D10" i="22" s="1"/>
  <c r="I13" i="22"/>
  <c r="C19" i="18"/>
  <c r="C18" i="18"/>
  <c r="C17" i="18"/>
  <c r="C16" i="18"/>
  <c r="C15" i="18"/>
  <c r="C14" i="18"/>
  <c r="C13" i="18"/>
  <c r="C12" i="18"/>
  <c r="C11" i="18"/>
  <c r="C10" i="18"/>
  <c r="C9" i="18"/>
  <c r="C8" i="18"/>
  <c r="C7" i="18"/>
  <c r="C6" i="18"/>
  <c r="C5" i="18"/>
  <c r="F16" i="13"/>
  <c r="E16" i="13"/>
  <c r="J4" i="13"/>
  <c r="I4" i="13"/>
  <c r="H4" i="13"/>
  <c r="G4" i="13"/>
  <c r="F4" i="13"/>
  <c r="E4" i="13"/>
  <c r="D4" i="13"/>
  <c r="D20" i="11" l="1"/>
  <c r="B2" i="23" l="1"/>
  <c r="H1" i="23"/>
  <c r="G1" i="23"/>
  <c r="F1" i="23"/>
  <c r="E1" i="23"/>
  <c r="D1" i="23"/>
  <c r="C1" i="23"/>
  <c r="B1" i="23"/>
  <c r="K44" i="29" l="1"/>
  <c r="L44" i="29" s="1"/>
  <c r="M44" i="29" s="1"/>
  <c r="N44" i="29" s="1"/>
  <c r="O44" i="29" s="1"/>
  <c r="P44" i="29" s="1"/>
  <c r="K41" i="29"/>
  <c r="K39" i="29"/>
  <c r="L39" i="29" s="1"/>
  <c r="M39" i="29" s="1"/>
  <c r="N39" i="29" s="1"/>
  <c r="O39" i="29" s="1"/>
  <c r="P39" i="29" s="1"/>
  <c r="K35" i="29"/>
  <c r="L35" i="29" s="1"/>
  <c r="M35" i="29" s="1"/>
  <c r="N35" i="29" s="1"/>
  <c r="O35" i="29" s="1"/>
  <c r="P35" i="29" s="1"/>
  <c r="L41" i="29" l="1"/>
  <c r="H19" i="4"/>
  <c r="M41" i="29" l="1"/>
  <c r="D5" i="4"/>
  <c r="E6" i="4"/>
  <c r="E7" i="4"/>
  <c r="E8" i="4"/>
  <c r="E9" i="4"/>
  <c r="E10" i="4"/>
  <c r="E11" i="4"/>
  <c r="E12" i="4"/>
  <c r="E13" i="4"/>
  <c r="E14" i="4"/>
  <c r="E15" i="4"/>
  <c r="E16" i="4"/>
  <c r="E17" i="4"/>
  <c r="E5" i="4"/>
  <c r="D6" i="4"/>
  <c r="D7" i="4"/>
  <c r="D8" i="4"/>
  <c r="D9" i="4"/>
  <c r="D10" i="4"/>
  <c r="D11" i="4"/>
  <c r="D12" i="4"/>
  <c r="D13" i="4"/>
  <c r="D14" i="4"/>
  <c r="D15" i="4"/>
  <c r="D16" i="4"/>
  <c r="D17" i="4"/>
  <c r="H6" i="4"/>
  <c r="H7" i="4"/>
  <c r="H8" i="4"/>
  <c r="H9" i="4"/>
  <c r="H10" i="4"/>
  <c r="H12" i="4"/>
  <c r="H13" i="4"/>
  <c r="H14" i="4"/>
  <c r="H15" i="4"/>
  <c r="H16" i="4"/>
  <c r="H17" i="4"/>
  <c r="H5" i="4"/>
  <c r="D11" i="22" s="1"/>
  <c r="F6" i="4"/>
  <c r="F7" i="4"/>
  <c r="F8" i="4"/>
  <c r="F9" i="4"/>
  <c r="F10" i="4"/>
  <c r="F11" i="4"/>
  <c r="F12" i="4"/>
  <c r="F13" i="4"/>
  <c r="F14" i="4"/>
  <c r="F15" i="4"/>
  <c r="F16" i="4"/>
  <c r="F17" i="4"/>
  <c r="F5" i="4"/>
  <c r="C6" i="4"/>
  <c r="C7" i="4"/>
  <c r="C8" i="4"/>
  <c r="C9" i="4"/>
  <c r="C10" i="4"/>
  <c r="C11" i="4"/>
  <c r="C12" i="4"/>
  <c r="C13" i="4"/>
  <c r="C14" i="4"/>
  <c r="C15" i="4"/>
  <c r="C16" i="4"/>
  <c r="C17" i="4"/>
  <c r="C5" i="4"/>
  <c r="B6" i="4"/>
  <c r="B7" i="4"/>
  <c r="B8" i="4"/>
  <c r="B9" i="4"/>
  <c r="B10" i="4"/>
  <c r="B12" i="4"/>
  <c r="B13" i="4"/>
  <c r="B14" i="4"/>
  <c r="B15" i="4"/>
  <c r="B16" i="4"/>
  <c r="B17" i="4"/>
  <c r="B5" i="4"/>
  <c r="B19" i="4"/>
  <c r="N41" i="29" l="1"/>
  <c r="B18" i="4"/>
  <c r="O41" i="29" l="1"/>
  <c r="P41" i="29" l="1"/>
  <c r="L7" i="1"/>
  <c r="K7" i="1"/>
  <c r="J7" i="1"/>
  <c r="I7" i="1"/>
  <c r="H7" i="1"/>
  <c r="C11" i="11" l="1"/>
  <c r="D25" i="6" l="1"/>
  <c r="K13" i="29"/>
  <c r="L13" i="29" l="1"/>
  <c r="K28" i="29"/>
  <c r="L28" i="29" s="1"/>
  <c r="M28" i="29" s="1"/>
  <c r="N28" i="29" s="1"/>
  <c r="O28" i="29" s="1"/>
  <c r="P28" i="29" s="1"/>
  <c r="K49" i="29"/>
  <c r="L49" i="29" s="1"/>
  <c r="M49" i="29" s="1"/>
  <c r="N49" i="29" s="1"/>
  <c r="O49" i="29" s="1"/>
  <c r="P49" i="29" s="1"/>
  <c r="M13" i="29" l="1"/>
  <c r="E2" i="11"/>
  <c r="F2" i="11"/>
  <c r="N13" i="29" l="1"/>
  <c r="C7" i="22"/>
  <c r="C6" i="22"/>
  <c r="C5" i="22"/>
  <c r="C2" i="22"/>
  <c r="D1" i="22"/>
  <c r="E1" i="22"/>
  <c r="F1" i="22"/>
  <c r="G1" i="22"/>
  <c r="H1" i="22"/>
  <c r="I1" i="22"/>
  <c r="C1" i="22"/>
  <c r="B2" i="8"/>
  <c r="E5" i="22" l="1"/>
  <c r="C4" i="22"/>
  <c r="O13" i="29"/>
  <c r="E18" i="11"/>
  <c r="F18" i="11" s="1"/>
  <c r="G18" i="11" s="1"/>
  <c r="H18" i="11" s="1"/>
  <c r="I18" i="11" s="1"/>
  <c r="E16" i="11"/>
  <c r="F16" i="11" s="1"/>
  <c r="G16" i="11" s="1"/>
  <c r="H16" i="11" s="1"/>
  <c r="I16" i="11" s="1"/>
  <c r="E14" i="11"/>
  <c r="F14" i="11" s="1"/>
  <c r="E20" i="11"/>
  <c r="F20" i="11" s="1"/>
  <c r="G20" i="11" s="1"/>
  <c r="H20" i="11" s="1"/>
  <c r="I20" i="11" s="1"/>
  <c r="R145" i="20"/>
  <c r="R146" i="19"/>
  <c r="R145" i="19"/>
  <c r="R146" i="20"/>
  <c r="J3" i="29" l="1"/>
  <c r="D8" i="22"/>
  <c r="D3" i="22"/>
  <c r="D25" i="8"/>
  <c r="D26" i="8"/>
  <c r="D27" i="8"/>
  <c r="D28" i="8"/>
  <c r="D29" i="8"/>
  <c r="D24" i="8"/>
  <c r="P13" i="29"/>
  <c r="G14" i="11"/>
  <c r="K33" i="29"/>
  <c r="J4" i="29" l="1"/>
  <c r="K4" i="29"/>
  <c r="H14" i="11"/>
  <c r="I14" i="11" s="1"/>
  <c r="L33" i="29"/>
  <c r="K21" i="29" l="1"/>
  <c r="M33" i="29"/>
  <c r="L21" i="29" l="1"/>
  <c r="K26" i="29"/>
  <c r="N33" i="29"/>
  <c r="A3" i="24"/>
  <c r="M21" i="29" l="1"/>
  <c r="L26" i="29"/>
  <c r="O33" i="29"/>
  <c r="G11" i="24"/>
  <c r="G19" i="24" s="1"/>
  <c r="N3" i="24" s="1"/>
  <c r="A11" i="24"/>
  <c r="N21" i="29" l="1"/>
  <c r="M26" i="29"/>
  <c r="P33" i="29"/>
  <c r="A19" i="24"/>
  <c r="A27" i="24" s="1"/>
  <c r="G27" i="24" s="1"/>
  <c r="O27" i="24" s="1"/>
  <c r="G3" i="24"/>
  <c r="I3" i="21"/>
  <c r="C3" i="24" s="1"/>
  <c r="I19" i="24" s="1"/>
  <c r="O21" i="29" l="1"/>
  <c r="N26" i="29"/>
  <c r="B3" i="24"/>
  <c r="D3" i="24"/>
  <c r="J19" i="24" s="1"/>
  <c r="A178" i="12"/>
  <c r="A177" i="12"/>
  <c r="A169" i="12"/>
  <c r="A168" i="12"/>
  <c r="N15" i="21"/>
  <c r="P21" i="29" l="1"/>
  <c r="P26" i="29" s="1"/>
  <c r="O26" i="29"/>
  <c r="E3" i="24"/>
  <c r="G13" i="21"/>
  <c r="O10" i="21" s="1"/>
  <c r="P149" i="20"/>
  <c r="F124" i="20"/>
  <c r="F123" i="20"/>
  <c r="F122" i="20"/>
  <c r="F121" i="20"/>
  <c r="F120" i="20"/>
  <c r="C5" i="20"/>
  <c r="I4" i="20"/>
  <c r="U4" i="20" s="1"/>
  <c r="C4" i="20"/>
  <c r="G3" i="20"/>
  <c r="C3" i="20"/>
  <c r="P149" i="19"/>
  <c r="F124" i="19"/>
  <c r="F123" i="19"/>
  <c r="F122" i="19"/>
  <c r="F120" i="19"/>
  <c r="C5" i="19"/>
  <c r="I4" i="19"/>
  <c r="C4" i="19"/>
  <c r="H2" i="19" s="1"/>
  <c r="G3" i="19"/>
  <c r="C3" i="19"/>
  <c r="R175" i="19"/>
  <c r="R153" i="19"/>
  <c r="R143" i="19"/>
  <c r="R171" i="19"/>
  <c r="R142" i="19"/>
  <c r="R142" i="20"/>
  <c r="R175" i="12"/>
  <c r="R172" i="19"/>
  <c r="R152" i="19"/>
  <c r="R153" i="12"/>
  <c r="R143" i="20"/>
  <c r="R154" i="20"/>
  <c r="R171" i="12"/>
  <c r="R155" i="19"/>
  <c r="R174" i="20"/>
  <c r="R149" i="20"/>
  <c r="R154" i="12"/>
  <c r="R153" i="20"/>
  <c r="R149" i="19"/>
  <c r="P109" i="20"/>
  <c r="R172" i="20"/>
  <c r="R173" i="20"/>
  <c r="R175" i="20"/>
  <c r="R155" i="20"/>
  <c r="R171" i="20"/>
  <c r="R172" i="12"/>
  <c r="R174" i="12"/>
  <c r="R152" i="12"/>
  <c r="R152" i="20"/>
  <c r="P109" i="19"/>
  <c r="R155" i="12"/>
  <c r="R154" i="19"/>
  <c r="R144" i="19"/>
  <c r="R144" i="20"/>
  <c r="R173" i="19"/>
  <c r="R174" i="19"/>
  <c r="R173" i="12"/>
  <c r="I64" i="14" l="1"/>
  <c r="H64" i="14"/>
  <c r="F64" i="14"/>
  <c r="E64" i="14"/>
  <c r="D64" i="14"/>
  <c r="C64" i="14"/>
  <c r="G64" i="14"/>
  <c r="B108" i="19"/>
  <c r="B109" i="19"/>
  <c r="B109" i="20"/>
  <c r="B108" i="20"/>
  <c r="F103" i="1"/>
  <c r="F26" i="20"/>
  <c r="C146" i="20"/>
  <c r="C145" i="20"/>
  <c r="C52" i="19"/>
  <c r="C146" i="19"/>
  <c r="C145" i="19"/>
  <c r="O9" i="21"/>
  <c r="O11" i="21"/>
  <c r="H2" i="20"/>
  <c r="F27" i="20"/>
  <c r="F28" i="20"/>
  <c r="D32" i="20"/>
  <c r="F35" i="20"/>
  <c r="C165" i="20"/>
  <c r="C164" i="20"/>
  <c r="C144" i="20"/>
  <c r="C143" i="20"/>
  <c r="C135" i="20"/>
  <c r="Q134" i="20"/>
  <c r="C131" i="20"/>
  <c r="Q130" i="20"/>
  <c r="C148" i="20"/>
  <c r="C134" i="20"/>
  <c r="Q133" i="20"/>
  <c r="C130" i="20"/>
  <c r="Q135" i="20"/>
  <c r="C133" i="20"/>
  <c r="Q132" i="20"/>
  <c r="C147" i="20"/>
  <c r="C132" i="20"/>
  <c r="Q131" i="20"/>
  <c r="C127" i="20"/>
  <c r="C124" i="20"/>
  <c r="C123" i="20"/>
  <c r="C122" i="20"/>
  <c r="C114" i="20"/>
  <c r="C92" i="20"/>
  <c r="C85" i="20"/>
  <c r="C128" i="20"/>
  <c r="C115" i="20"/>
  <c r="C112" i="20"/>
  <c r="C84" i="20"/>
  <c r="C116" i="20"/>
  <c r="C86" i="20"/>
  <c r="Q129" i="20"/>
  <c r="C121" i="20"/>
  <c r="C90" i="20"/>
  <c r="C87" i="20"/>
  <c r="C82" i="20"/>
  <c r="C81" i="20"/>
  <c r="C120" i="20"/>
  <c r="C97" i="20"/>
  <c r="C91" i="20"/>
  <c r="C83" i="20"/>
  <c r="C78" i="20"/>
  <c r="C74" i="20"/>
  <c r="C69" i="20"/>
  <c r="C54" i="20"/>
  <c r="C53" i="20"/>
  <c r="C52" i="20"/>
  <c r="D37" i="20"/>
  <c r="D30" i="20"/>
  <c r="D29" i="20"/>
  <c r="D28" i="20"/>
  <c r="D27" i="20"/>
  <c r="C80" i="20"/>
  <c r="C75" i="20"/>
  <c r="C68" i="20"/>
  <c r="C76" i="20"/>
  <c r="C71" i="20"/>
  <c r="C70" i="20"/>
  <c r="C57" i="20"/>
  <c r="D36" i="20"/>
  <c r="D35" i="20"/>
  <c r="C77" i="20"/>
  <c r="C72" i="20"/>
  <c r="F38" i="20"/>
  <c r="C79" i="20"/>
  <c r="C73" i="20"/>
  <c r="S70" i="20"/>
  <c r="C63" i="20"/>
  <c r="T41" i="20"/>
  <c r="D31" i="20"/>
  <c r="F25" i="20"/>
  <c r="F24" i="20"/>
  <c r="F23" i="20"/>
  <c r="F29" i="20"/>
  <c r="F54" i="19"/>
  <c r="E23" i="19"/>
  <c r="E24" i="19"/>
  <c r="E25" i="19"/>
  <c r="E26" i="19"/>
  <c r="D27" i="19"/>
  <c r="D28" i="19"/>
  <c r="D37" i="19"/>
  <c r="F23" i="19"/>
  <c r="F24" i="19"/>
  <c r="F25" i="19"/>
  <c r="F26" i="19"/>
  <c r="F27" i="19"/>
  <c r="F28" i="19"/>
  <c r="D32" i="19"/>
  <c r="F35" i="19"/>
  <c r="C148" i="19"/>
  <c r="C147" i="19"/>
  <c r="C165" i="19"/>
  <c r="C164" i="19"/>
  <c r="C144" i="19"/>
  <c r="C143" i="19"/>
  <c r="C134" i="19"/>
  <c r="Q133" i="19"/>
  <c r="C130" i="19"/>
  <c r="Q129" i="19"/>
  <c r="C116" i="19"/>
  <c r="C135" i="19"/>
  <c r="Q131" i="19"/>
  <c r="C128" i="19"/>
  <c r="C112" i="19"/>
  <c r="C133" i="19"/>
  <c r="C131" i="19"/>
  <c r="C124" i="19"/>
  <c r="C123" i="19"/>
  <c r="C122" i="19"/>
  <c r="Q135" i="19"/>
  <c r="Q134" i="19"/>
  <c r="C132" i="19"/>
  <c r="C121" i="19"/>
  <c r="C120" i="19"/>
  <c r="C114" i="19"/>
  <c r="Q132" i="19"/>
  <c r="Q130" i="19"/>
  <c r="C127" i="19"/>
  <c r="C115" i="19"/>
  <c r="C86" i="19"/>
  <c r="C82" i="19"/>
  <c r="C78" i="19"/>
  <c r="C74" i="19"/>
  <c r="C90" i="19"/>
  <c r="C87" i="19"/>
  <c r="C81" i="19"/>
  <c r="C76" i="19"/>
  <c r="C69" i="19"/>
  <c r="C54" i="19"/>
  <c r="C53" i="19"/>
  <c r="C97" i="19"/>
  <c r="C91" i="19"/>
  <c r="C83" i="19"/>
  <c r="C77" i="19"/>
  <c r="C72" i="19"/>
  <c r="C71" i="19"/>
  <c r="S70" i="19"/>
  <c r="C70" i="19"/>
  <c r="C92" i="19"/>
  <c r="C84" i="19"/>
  <c r="C79" i="19"/>
  <c r="C73" i="19"/>
  <c r="C63" i="19"/>
  <c r="C57" i="19"/>
  <c r="C85" i="19"/>
  <c r="C80" i="19"/>
  <c r="C75" i="19"/>
  <c r="C68" i="19"/>
  <c r="D36" i="19"/>
  <c r="D35" i="19"/>
  <c r="F29" i="19"/>
  <c r="U4" i="19"/>
  <c r="D31" i="19"/>
  <c r="T41" i="19"/>
  <c r="F57" i="19"/>
  <c r="D29" i="19"/>
  <c r="D30" i="19"/>
  <c r="F38" i="19"/>
  <c r="P149" i="12"/>
  <c r="F124" i="12"/>
  <c r="F123" i="12"/>
  <c r="F122" i="12"/>
  <c r="F121" i="12"/>
  <c r="F120" i="12"/>
  <c r="C4" i="12"/>
  <c r="C5" i="12"/>
  <c r="C3" i="12"/>
  <c r="E4" i="16"/>
  <c r="E5" i="16"/>
  <c r="E3" i="16"/>
  <c r="C63" i="14" l="1"/>
  <c r="I63" i="14"/>
  <c r="G63" i="14"/>
  <c r="F63" i="14"/>
  <c r="E63" i="14"/>
  <c r="D63" i="14"/>
  <c r="H63" i="14"/>
  <c r="F104" i="1"/>
  <c r="E6" i="22"/>
  <c r="E7" i="22"/>
  <c r="F54" i="20"/>
  <c r="F57" i="20" s="1"/>
  <c r="E26" i="20"/>
  <c r="E25" i="20"/>
  <c r="E24" i="20"/>
  <c r="E23" i="20"/>
  <c r="T127" i="20"/>
  <c r="T43" i="20"/>
  <c r="U126" i="20" s="1"/>
  <c r="T128" i="20"/>
  <c r="T43" i="19"/>
  <c r="U139" i="19" s="1"/>
  <c r="T127" i="19"/>
  <c r="T128" i="19"/>
  <c r="F6" i="22" l="1"/>
  <c r="U119" i="19"/>
  <c r="U126" i="19"/>
  <c r="F7" i="22"/>
  <c r="F5" i="22"/>
  <c r="U119" i="20"/>
  <c r="U139" i="20"/>
  <c r="U118" i="20"/>
  <c r="U118" i="19"/>
  <c r="L140" i="20"/>
  <c r="J153" i="19"/>
  <c r="N142" i="19"/>
  <c r="P131" i="19"/>
  <c r="I146" i="19"/>
  <c r="L154" i="20"/>
  <c r="P129" i="19"/>
  <c r="J155" i="20"/>
  <c r="P132" i="19"/>
  <c r="N102" i="20"/>
  <c r="L102" i="20"/>
  <c r="M155" i="20"/>
  <c r="O153" i="19"/>
  <c r="N152" i="20"/>
  <c r="N154" i="20"/>
  <c r="L153" i="19"/>
  <c r="I153" i="19"/>
  <c r="K152" i="19"/>
  <c r="M154" i="20"/>
  <c r="M102" i="20"/>
  <c r="R142" i="12"/>
  <c r="N102" i="19"/>
  <c r="P131" i="20"/>
  <c r="I153" i="20"/>
  <c r="J152" i="20"/>
  <c r="N152" i="19"/>
  <c r="N142" i="20"/>
  <c r="P135" i="20"/>
  <c r="O153" i="20"/>
  <c r="L155" i="19"/>
  <c r="O102" i="20"/>
  <c r="K153" i="19"/>
  <c r="M152" i="19"/>
  <c r="N153" i="20"/>
  <c r="O155" i="20"/>
  <c r="I121" i="19"/>
  <c r="I52" i="19"/>
  <c r="I152" i="20"/>
  <c r="K102" i="20"/>
  <c r="N155" i="19"/>
  <c r="M140" i="20"/>
  <c r="N154" i="19"/>
  <c r="I146" i="20"/>
  <c r="O142" i="19"/>
  <c r="P130" i="20"/>
  <c r="N140" i="20"/>
  <c r="K142" i="19"/>
  <c r="O152" i="19"/>
  <c r="L142" i="19"/>
  <c r="N140" i="19"/>
  <c r="I145" i="19"/>
  <c r="J102" i="20"/>
  <c r="I155" i="20"/>
  <c r="L152" i="20"/>
  <c r="M142" i="19"/>
  <c r="J140" i="19"/>
  <c r="I102" i="20"/>
  <c r="O154" i="20"/>
  <c r="J142" i="20"/>
  <c r="J153" i="20"/>
  <c r="K153" i="20"/>
  <c r="M140" i="19"/>
  <c r="L102" i="19"/>
  <c r="K154" i="19"/>
  <c r="K102" i="19"/>
  <c r="R146" i="12"/>
  <c r="K152" i="20"/>
  <c r="I154" i="20"/>
  <c r="O154" i="19"/>
  <c r="K140" i="19"/>
  <c r="P133" i="20"/>
  <c r="M142" i="20"/>
  <c r="J140" i="20"/>
  <c r="J155" i="19"/>
  <c r="K140" i="20"/>
  <c r="P54" i="19"/>
  <c r="I155" i="19"/>
  <c r="O140" i="20"/>
  <c r="O152" i="20"/>
  <c r="M152" i="20"/>
  <c r="R144" i="12"/>
  <c r="P34" i="19"/>
  <c r="I102" i="19"/>
  <c r="P54" i="20"/>
  <c r="I145" i="20"/>
  <c r="N155" i="20"/>
  <c r="O102" i="19"/>
  <c r="L154" i="19"/>
  <c r="M153" i="19"/>
  <c r="K155" i="20"/>
  <c r="R149" i="12"/>
  <c r="I140" i="19"/>
  <c r="J154" i="20"/>
  <c r="J102" i="19"/>
  <c r="L140" i="19"/>
  <c r="L155" i="20"/>
  <c r="O155" i="19"/>
  <c r="K155" i="19"/>
  <c r="P33" i="20"/>
  <c r="L153" i="20"/>
  <c r="P109" i="12"/>
  <c r="O142" i="20"/>
  <c r="K142" i="20"/>
  <c r="P133" i="19"/>
  <c r="I140" i="20"/>
  <c r="I152" i="19"/>
  <c r="N153" i="19"/>
  <c r="P33" i="19"/>
  <c r="I142" i="19"/>
  <c r="R145" i="12"/>
  <c r="P132" i="20"/>
  <c r="P129" i="20"/>
  <c r="I142" i="20"/>
  <c r="L142" i="20"/>
  <c r="P135" i="19"/>
  <c r="J154" i="19"/>
  <c r="M153" i="20"/>
  <c r="P34" i="20"/>
  <c r="P134" i="20"/>
  <c r="I154" i="19"/>
  <c r="M154" i="19"/>
  <c r="R143" i="12"/>
  <c r="J152" i="19"/>
  <c r="M102" i="19"/>
  <c r="J142" i="19"/>
  <c r="M155" i="19"/>
  <c r="O140" i="19"/>
  <c r="L152" i="19"/>
  <c r="P134" i="19"/>
  <c r="K154" i="20"/>
  <c r="I121" i="20"/>
  <c r="P130" i="19"/>
  <c r="U34" i="20" l="1"/>
  <c r="U33" i="19"/>
  <c r="U102" i="19"/>
  <c r="U33" i="20"/>
  <c r="U34" i="19"/>
  <c r="U102" i="20"/>
  <c r="G6" i="22"/>
  <c r="G7" i="22"/>
  <c r="G5" i="22"/>
  <c r="H2" i="12" l="1"/>
  <c r="G3" i="12"/>
  <c r="D2" i="13"/>
  <c r="J1" i="13"/>
  <c r="I1" i="13"/>
  <c r="H1" i="13"/>
  <c r="G1" i="13"/>
  <c r="F1" i="13"/>
  <c r="E1" i="13"/>
  <c r="D1" i="13"/>
  <c r="I4" i="12"/>
  <c r="D2" i="11"/>
  <c r="G2" i="11"/>
  <c r="H2" i="11"/>
  <c r="C3" i="11"/>
  <c r="C2" i="11"/>
  <c r="H9" i="11"/>
  <c r="H11" i="11" s="1"/>
  <c r="G9" i="11"/>
  <c r="G11" i="11" s="1"/>
  <c r="F9" i="11"/>
  <c r="F11" i="11" s="1"/>
  <c r="E9" i="11"/>
  <c r="E11" i="11" s="1"/>
  <c r="D9" i="11"/>
  <c r="E184" i="1" s="1"/>
  <c r="F184" i="1" s="1"/>
  <c r="L27" i="9"/>
  <c r="H8" i="11"/>
  <c r="K27" i="9" s="1"/>
  <c r="G8" i="11"/>
  <c r="J27" i="9" s="1"/>
  <c r="F8" i="11"/>
  <c r="I27" i="9" s="1"/>
  <c r="E8" i="11"/>
  <c r="H27" i="9" s="1"/>
  <c r="D8" i="11"/>
  <c r="G27" i="9" s="1"/>
  <c r="G3" i="9"/>
  <c r="H3" i="9"/>
  <c r="I3" i="9"/>
  <c r="J3" i="9"/>
  <c r="K3" i="9"/>
  <c r="L3" i="9"/>
  <c r="F4" i="9"/>
  <c r="F3" i="9"/>
  <c r="D1" i="6"/>
  <c r="D2" i="6"/>
  <c r="K4" i="5"/>
  <c r="C1" i="4"/>
  <c r="H18" i="4"/>
  <c r="G18" i="4"/>
  <c r="F18" i="4"/>
  <c r="E18" i="4"/>
  <c r="D18" i="4"/>
  <c r="C18" i="4"/>
  <c r="A7" i="4"/>
  <c r="A8" i="4" s="1"/>
  <c r="A9" i="4" s="1"/>
  <c r="A10" i="4" s="1"/>
  <c r="A11" i="4" s="1"/>
  <c r="A12" i="4" s="1"/>
  <c r="A13" i="4" s="1"/>
  <c r="A14" i="4" s="1"/>
  <c r="A15" i="4" s="1"/>
  <c r="A16" i="4" s="1"/>
  <c r="A17" i="4" s="1"/>
  <c r="H6" i="1"/>
  <c r="D6" i="1" s="1"/>
  <c r="A5" i="2"/>
  <c r="B5" i="2" s="1"/>
  <c r="U107" i="20"/>
  <c r="K6" i="5"/>
  <c r="U141" i="20"/>
  <c r="B2" i="6"/>
  <c r="D5" i="6"/>
  <c r="U138" i="20"/>
  <c r="N142" i="12"/>
  <c r="I172" i="19"/>
  <c r="U111" i="20"/>
  <c r="N154" i="12"/>
  <c r="D21" i="6"/>
  <c r="I19" i="19"/>
  <c r="N152" i="12"/>
  <c r="U22" i="20"/>
  <c r="D20" i="6"/>
  <c r="O155" i="12"/>
  <c r="I19" i="20"/>
  <c r="I174" i="20"/>
  <c r="C15" i="22"/>
  <c r="D17" i="6"/>
  <c r="I18" i="19"/>
  <c r="N102" i="12"/>
  <c r="I18" i="20"/>
  <c r="I172" i="20"/>
  <c r="I17" i="19"/>
  <c r="U62" i="20"/>
  <c r="N153" i="12"/>
  <c r="I171" i="19"/>
  <c r="O153" i="12"/>
  <c r="O154" i="12"/>
  <c r="D8" i="6"/>
  <c r="I175" i="20"/>
  <c r="N140" i="12"/>
  <c r="I175" i="19"/>
  <c r="I173" i="19"/>
  <c r="O140" i="12"/>
  <c r="O152" i="12"/>
  <c r="O102" i="12"/>
  <c r="H80" i="1"/>
  <c r="I173" i="20"/>
  <c r="I17" i="20"/>
  <c r="U137" i="20"/>
  <c r="O142" i="12"/>
  <c r="D12" i="6"/>
  <c r="I174" i="19"/>
  <c r="U16" i="20"/>
  <c r="U48" i="20"/>
  <c r="U170" i="20"/>
  <c r="I171" i="20"/>
  <c r="N155" i="12"/>
  <c r="D30" i="12" l="1"/>
  <c r="D62" i="14"/>
  <c r="C62" i="14"/>
  <c r="I62" i="14"/>
  <c r="H62" i="14"/>
  <c r="F62" i="14"/>
  <c r="E62" i="14"/>
  <c r="G62" i="14"/>
  <c r="K9" i="5"/>
  <c r="K10" i="5"/>
  <c r="K8" i="5"/>
  <c r="D11" i="11"/>
  <c r="E179" i="1"/>
  <c r="F179" i="1" s="1"/>
  <c r="E150" i="1"/>
  <c r="F150" i="1" s="1"/>
  <c r="E151" i="1"/>
  <c r="F151" i="1" s="1"/>
  <c r="E149" i="1"/>
  <c r="F149" i="1" s="1"/>
  <c r="E46" i="1"/>
  <c r="E47" i="1"/>
  <c r="E178" i="1"/>
  <c r="F178" i="1" s="1"/>
  <c r="E48" i="1"/>
  <c r="E165" i="1"/>
  <c r="E177" i="1"/>
  <c r="F177" i="1" s="1"/>
  <c r="E166" i="1"/>
  <c r="E164" i="1"/>
  <c r="F102" i="1"/>
  <c r="B4" i="23"/>
  <c r="B12" i="23"/>
  <c r="D11" i="6"/>
  <c r="C9" i="22"/>
  <c r="J5" i="29" s="1"/>
  <c r="J6" i="29" s="1"/>
  <c r="F5" i="9"/>
  <c r="E4" i="4"/>
  <c r="F4" i="4"/>
  <c r="G4" i="4"/>
  <c r="B4" i="4"/>
  <c r="D4" i="4"/>
  <c r="C4" i="4"/>
  <c r="A6" i="2"/>
  <c r="C145" i="12"/>
  <c r="C146" i="12"/>
  <c r="C144" i="12"/>
  <c r="U146" i="20"/>
  <c r="U145" i="20"/>
  <c r="U19" i="20"/>
  <c r="U18" i="20"/>
  <c r="U17" i="19"/>
  <c r="U142" i="20"/>
  <c r="U155" i="20"/>
  <c r="U153" i="20"/>
  <c r="U154" i="20"/>
  <c r="U152" i="20"/>
  <c r="U18" i="19"/>
  <c r="U19" i="19"/>
  <c r="U17" i="20"/>
  <c r="U171" i="20"/>
  <c r="U172" i="20"/>
  <c r="U175" i="20"/>
  <c r="U174" i="20"/>
  <c r="U173" i="20"/>
  <c r="U140" i="20"/>
  <c r="H19" i="24"/>
  <c r="C165" i="12"/>
  <c r="C164" i="12"/>
  <c r="C148" i="12"/>
  <c r="C143" i="12"/>
  <c r="C128" i="12"/>
  <c r="C147" i="12"/>
  <c r="C127" i="12"/>
  <c r="Q132" i="12"/>
  <c r="Q135" i="12"/>
  <c r="Q131" i="12"/>
  <c r="Q134" i="12"/>
  <c r="Q130" i="12"/>
  <c r="Q133" i="12"/>
  <c r="Q129" i="12"/>
  <c r="C135" i="12"/>
  <c r="E23" i="12"/>
  <c r="E26" i="12"/>
  <c r="E25" i="12"/>
  <c r="E24" i="12"/>
  <c r="C120" i="12"/>
  <c r="C132" i="12"/>
  <c r="C130" i="12"/>
  <c r="C133" i="12"/>
  <c r="C134" i="12"/>
  <c r="C131" i="12"/>
  <c r="C121" i="12"/>
  <c r="C124" i="12"/>
  <c r="C123" i="12"/>
  <c r="C122" i="12"/>
  <c r="C114" i="12"/>
  <c r="C115" i="12"/>
  <c r="C116" i="12"/>
  <c r="C112" i="12"/>
  <c r="B109" i="12"/>
  <c r="B108" i="12"/>
  <c r="C87" i="12"/>
  <c r="C90" i="12"/>
  <c r="C97" i="12"/>
  <c r="C91" i="12"/>
  <c r="C92" i="12"/>
  <c r="U4" i="12"/>
  <c r="C84" i="12"/>
  <c r="C68" i="12"/>
  <c r="S70" i="12"/>
  <c r="D36" i="12"/>
  <c r="C72" i="12"/>
  <c r="C76" i="12"/>
  <c r="C80" i="12"/>
  <c r="C85" i="12"/>
  <c r="C70" i="12"/>
  <c r="C73" i="12"/>
  <c r="C77" i="12"/>
  <c r="C81" i="12"/>
  <c r="C69" i="12"/>
  <c r="C86" i="12"/>
  <c r="C74" i="12"/>
  <c r="C78" i="12"/>
  <c r="C82" i="12"/>
  <c r="C71" i="12"/>
  <c r="C75" i="12"/>
  <c r="C79" i="12"/>
  <c r="C83" i="12"/>
  <c r="T41" i="12"/>
  <c r="C54" i="12"/>
  <c r="C57" i="12"/>
  <c r="C52" i="12"/>
  <c r="C53" i="12"/>
  <c r="F54" i="12"/>
  <c r="F57" i="12" s="1"/>
  <c r="F38" i="12"/>
  <c r="F35" i="12"/>
  <c r="D35" i="12"/>
  <c r="D37" i="12"/>
  <c r="F29" i="12"/>
  <c r="D28" i="12"/>
  <c r="D29" i="12"/>
  <c r="F28" i="12"/>
  <c r="F27" i="12"/>
  <c r="D27" i="12"/>
  <c r="F26" i="12"/>
  <c r="D31" i="12"/>
  <c r="F25" i="12"/>
  <c r="D32" i="12"/>
  <c r="C63" i="12"/>
  <c r="F23" i="12"/>
  <c r="F24" i="12"/>
  <c r="B6" i="2"/>
  <c r="B7" i="2" s="1"/>
  <c r="C2" i="23" s="1"/>
  <c r="C5" i="2"/>
  <c r="N165" i="12"/>
  <c r="P54" i="12"/>
  <c r="Z42" i="12"/>
  <c r="K5" i="5"/>
  <c r="F13" i="9"/>
  <c r="K7" i="5"/>
  <c r="AA42" i="12"/>
  <c r="D19" i="6"/>
  <c r="O165" i="12"/>
  <c r="D16" i="6"/>
  <c r="P57" i="12"/>
  <c r="I145" i="12"/>
  <c r="I102" i="12"/>
  <c r="I146" i="12"/>
  <c r="T128" i="12" l="1"/>
  <c r="T127" i="12"/>
  <c r="C12" i="23"/>
  <c r="D12" i="23" s="1"/>
  <c r="E12" i="23" s="1"/>
  <c r="F12" i="23" s="1"/>
  <c r="G12" i="23" s="1"/>
  <c r="C7" i="23"/>
  <c r="G7" i="23" s="1"/>
  <c r="G4" i="23" s="1"/>
  <c r="E174" i="1"/>
  <c r="F174" i="1" s="1"/>
  <c r="E186" i="1"/>
  <c r="F186" i="1" s="1"/>
  <c r="D2" i="22"/>
  <c r="H4" i="4"/>
  <c r="P161" i="20"/>
  <c r="A4" i="24"/>
  <c r="I20" i="21"/>
  <c r="J4" i="19"/>
  <c r="J4" i="20"/>
  <c r="I6" i="1"/>
  <c r="E2" i="13"/>
  <c r="J4" i="12"/>
  <c r="G4" i="9"/>
  <c r="D3" i="11"/>
  <c r="T43" i="12"/>
  <c r="U118" i="12" s="1"/>
  <c r="D5" i="2"/>
  <c r="C6" i="2"/>
  <c r="C7" i="2" s="1"/>
  <c r="D2" i="23" s="1"/>
  <c r="J19" i="19"/>
  <c r="J18" i="20"/>
  <c r="J19" i="20"/>
  <c r="J52" i="19"/>
  <c r="J18" i="19"/>
  <c r="H12" i="23" l="1"/>
  <c r="G26" i="21"/>
  <c r="C4" i="24" s="1"/>
  <c r="I20" i="24" s="1"/>
  <c r="G27" i="21"/>
  <c r="D4" i="24" s="1"/>
  <c r="J20" i="24" s="1"/>
  <c r="G25" i="21"/>
  <c r="H7" i="23"/>
  <c r="H4" i="23" s="1"/>
  <c r="E2" i="22"/>
  <c r="E3" i="11"/>
  <c r="V18" i="19"/>
  <c r="V19" i="19"/>
  <c r="V19" i="20"/>
  <c r="V18" i="20"/>
  <c r="V4" i="19"/>
  <c r="A5" i="24"/>
  <c r="N20" i="21"/>
  <c r="K4" i="19"/>
  <c r="K4" i="20"/>
  <c r="V4" i="20"/>
  <c r="I34" i="21"/>
  <c r="G12" i="24"/>
  <c r="G20" i="24" s="1"/>
  <c r="N4" i="24" s="1"/>
  <c r="A12" i="24"/>
  <c r="U139" i="12"/>
  <c r="U126" i="12"/>
  <c r="U119" i="12"/>
  <c r="V4" i="12"/>
  <c r="J6" i="1"/>
  <c r="K4" i="12"/>
  <c r="H4" i="9"/>
  <c r="F2" i="13"/>
  <c r="G5" i="9"/>
  <c r="D6" i="2"/>
  <c r="D7" i="2" s="1"/>
  <c r="E5" i="2"/>
  <c r="J145" i="19"/>
  <c r="V62" i="19"/>
  <c r="V107" i="20"/>
  <c r="V141" i="19"/>
  <c r="V48" i="20"/>
  <c r="V111" i="19"/>
  <c r="V48" i="19"/>
  <c r="V138" i="19"/>
  <c r="K19" i="20"/>
  <c r="J145" i="20"/>
  <c r="V137" i="19"/>
  <c r="K19" i="19"/>
  <c r="V107" i="19"/>
  <c r="K18" i="19"/>
  <c r="V170" i="19"/>
  <c r="J146" i="20"/>
  <c r="V22" i="20"/>
  <c r="V22" i="19"/>
  <c r="K18" i="20"/>
  <c r="V16" i="19"/>
  <c r="J145" i="12"/>
  <c r="J146" i="12"/>
  <c r="J146" i="19"/>
  <c r="L25" i="21" l="1"/>
  <c r="L27" i="21"/>
  <c r="D5" i="24" s="1"/>
  <c r="J21" i="24" s="1"/>
  <c r="L26" i="21"/>
  <c r="C5" i="24" s="1"/>
  <c r="I21" i="24" s="1"/>
  <c r="F2" i="22"/>
  <c r="E2" i="23"/>
  <c r="V146" i="19"/>
  <c r="W18" i="19"/>
  <c r="W19" i="19"/>
  <c r="V49" i="20"/>
  <c r="V139" i="20" s="1"/>
  <c r="W18" i="20"/>
  <c r="W19" i="20"/>
  <c r="V17" i="19"/>
  <c r="V49" i="19"/>
  <c r="V118" i="19" s="1"/>
  <c r="G4" i="24"/>
  <c r="A20" i="24"/>
  <c r="A28" i="24" s="1"/>
  <c r="G28" i="24" s="1"/>
  <c r="O28" i="24" s="1"/>
  <c r="W4" i="19"/>
  <c r="B4" i="24"/>
  <c r="E4" i="24" s="1"/>
  <c r="G29" i="21"/>
  <c r="N34" i="21"/>
  <c r="O34" i="21" s="1"/>
  <c r="G13" i="24"/>
  <c r="G21" i="24" s="1"/>
  <c r="N5" i="24" s="1"/>
  <c r="A13" i="24"/>
  <c r="A6" i="24"/>
  <c r="I47" i="21"/>
  <c r="A6" i="25" s="1"/>
  <c r="L4" i="19"/>
  <c r="L4" i="20"/>
  <c r="W4" i="20"/>
  <c r="V140" i="19"/>
  <c r="K6" i="1"/>
  <c r="F3" i="11"/>
  <c r="G2" i="13"/>
  <c r="L4" i="12"/>
  <c r="I4" i="9"/>
  <c r="H5" i="9"/>
  <c r="W4" i="12"/>
  <c r="E6" i="2"/>
  <c r="E7" i="2" s="1"/>
  <c r="F5" i="2"/>
  <c r="W22" i="20"/>
  <c r="V111" i="20"/>
  <c r="V137" i="20"/>
  <c r="K146" i="12"/>
  <c r="V138" i="20"/>
  <c r="W141" i="20"/>
  <c r="L18" i="19"/>
  <c r="V62" i="20"/>
  <c r="K146" i="20"/>
  <c r="W62" i="20"/>
  <c r="W137" i="20"/>
  <c r="L52" i="19"/>
  <c r="K146" i="19"/>
  <c r="L19" i="20"/>
  <c r="K145" i="20"/>
  <c r="W107" i="20"/>
  <c r="K145" i="12"/>
  <c r="V141" i="20"/>
  <c r="K52" i="19"/>
  <c r="K145" i="19"/>
  <c r="L18" i="20"/>
  <c r="W170" i="20"/>
  <c r="L19" i="19"/>
  <c r="V16" i="20"/>
  <c r="V170" i="20"/>
  <c r="W138" i="20"/>
  <c r="V17" i="20" l="1"/>
  <c r="V146" i="20"/>
  <c r="V140" i="20"/>
  <c r="V145" i="20"/>
  <c r="D6" i="25"/>
  <c r="G2" i="22"/>
  <c r="F2" i="23"/>
  <c r="I61" i="21"/>
  <c r="W146" i="20"/>
  <c r="V139" i="19"/>
  <c r="V145" i="19" s="1"/>
  <c r="V118" i="20"/>
  <c r="V126" i="19"/>
  <c r="X19" i="20"/>
  <c r="X18" i="20"/>
  <c r="X18" i="19"/>
  <c r="X19" i="19"/>
  <c r="V142" i="20"/>
  <c r="V154" i="20"/>
  <c r="V152" i="20"/>
  <c r="V153" i="20"/>
  <c r="V155" i="20"/>
  <c r="A7" i="24"/>
  <c r="N47" i="21"/>
  <c r="M4" i="19"/>
  <c r="M4" i="20"/>
  <c r="X4" i="20"/>
  <c r="A21" i="24"/>
  <c r="A29" i="24" s="1"/>
  <c r="G29" i="24" s="1"/>
  <c r="O29" i="24" s="1"/>
  <c r="G5" i="24"/>
  <c r="U96" i="19"/>
  <c r="U101" i="19"/>
  <c r="U113" i="19"/>
  <c r="B5" i="24"/>
  <c r="E5" i="24" s="1"/>
  <c r="L29" i="21"/>
  <c r="U96" i="20"/>
  <c r="U101" i="20"/>
  <c r="U113" i="20"/>
  <c r="W140" i="20"/>
  <c r="G54" i="21"/>
  <c r="D6" i="24" s="1"/>
  <c r="J22" i="24" s="1"/>
  <c r="G53" i="21"/>
  <c r="C6" i="24" s="1"/>
  <c r="I22" i="24" s="1"/>
  <c r="G52" i="21"/>
  <c r="X4" i="19"/>
  <c r="A14" i="24"/>
  <c r="G14" i="24"/>
  <c r="G22" i="24" s="1"/>
  <c r="N6" i="24" s="1"/>
  <c r="V126" i="20"/>
  <c r="X4" i="12"/>
  <c r="L6" i="1"/>
  <c r="M4" i="12"/>
  <c r="J4" i="9"/>
  <c r="H2" i="13"/>
  <c r="G3" i="11"/>
  <c r="I5" i="9"/>
  <c r="G5" i="2"/>
  <c r="F6" i="2"/>
  <c r="F7" i="2" s="1"/>
  <c r="L145" i="12"/>
  <c r="W48" i="20"/>
  <c r="L145" i="19"/>
  <c r="L146" i="19"/>
  <c r="M19" i="20"/>
  <c r="L146" i="12"/>
  <c r="W111" i="20"/>
  <c r="L146" i="20"/>
  <c r="W16" i="20"/>
  <c r="L145" i="20"/>
  <c r="M6" i="1" l="1"/>
  <c r="N4" i="12"/>
  <c r="A7" i="25"/>
  <c r="L52" i="21"/>
  <c r="L53" i="21"/>
  <c r="L54" i="21"/>
  <c r="W17" i="20"/>
  <c r="W49" i="20"/>
  <c r="W118" i="20" s="1"/>
  <c r="H2" i="22"/>
  <c r="G2" i="23"/>
  <c r="N61" i="21"/>
  <c r="O61" i="21" s="1"/>
  <c r="V152" i="19"/>
  <c r="V153" i="19"/>
  <c r="V155" i="19"/>
  <c r="V154" i="19"/>
  <c r="V142" i="19"/>
  <c r="Y19" i="20"/>
  <c r="B6" i="24"/>
  <c r="E6" i="24" s="1"/>
  <c r="G56" i="21"/>
  <c r="D7" i="24"/>
  <c r="J23" i="24" s="1"/>
  <c r="C7" i="24"/>
  <c r="I23" i="24" s="1"/>
  <c r="G6" i="24"/>
  <c r="A22" i="24"/>
  <c r="A30" i="24" s="1"/>
  <c r="G30" i="24" s="1"/>
  <c r="O30" i="24" s="1"/>
  <c r="A15" i="24"/>
  <c r="G15" i="24"/>
  <c r="G23" i="24" s="1"/>
  <c r="N7" i="24" s="1"/>
  <c r="Y4" i="20"/>
  <c r="N4" i="20"/>
  <c r="N4" i="19"/>
  <c r="Y4" i="19"/>
  <c r="L131" i="12"/>
  <c r="K131" i="12"/>
  <c r="J131" i="12"/>
  <c r="N35" i="12"/>
  <c r="N23" i="12"/>
  <c r="N120" i="12"/>
  <c r="N30" i="12"/>
  <c r="N26" i="12"/>
  <c r="M52" i="19"/>
  <c r="N92" i="12"/>
  <c r="N53" i="12"/>
  <c r="N172" i="12"/>
  <c r="N25" i="12"/>
  <c r="F16" i="25"/>
  <c r="N79" i="12"/>
  <c r="N38" i="12"/>
  <c r="N164" i="12"/>
  <c r="N81" i="12"/>
  <c r="N114" i="12"/>
  <c r="N29" i="12"/>
  <c r="N76" i="12"/>
  <c r="N175" i="12"/>
  <c r="N63" i="12"/>
  <c r="N24" i="12"/>
  <c r="N28" i="12"/>
  <c r="N82" i="12"/>
  <c r="N143" i="12"/>
  <c r="Y141" i="20"/>
  <c r="N173" i="12"/>
  <c r="N84" i="12"/>
  <c r="M145" i="19"/>
  <c r="N70" i="12"/>
  <c r="N171" i="12"/>
  <c r="N80" i="12"/>
  <c r="N74" i="12"/>
  <c r="M145" i="12"/>
  <c r="N130" i="12"/>
  <c r="N52" i="19"/>
  <c r="N78" i="12"/>
  <c r="N91" i="12"/>
  <c r="N115" i="12"/>
  <c r="M146" i="20"/>
  <c r="N37" i="12"/>
  <c r="N148" i="12"/>
  <c r="N27" i="12"/>
  <c r="N31" i="12"/>
  <c r="N86" i="12"/>
  <c r="N75" i="12"/>
  <c r="N108" i="12"/>
  <c r="N146" i="12"/>
  <c r="N83" i="12"/>
  <c r="N123" i="12"/>
  <c r="N147" i="12"/>
  <c r="M146" i="19"/>
  <c r="N124" i="12"/>
  <c r="N132" i="12"/>
  <c r="N112" i="12"/>
  <c r="M18" i="20"/>
  <c r="M19" i="19"/>
  <c r="N72" i="12"/>
  <c r="N97" i="12"/>
  <c r="N73" i="12"/>
  <c r="N52" i="12"/>
  <c r="N145" i="12"/>
  <c r="N90" i="12"/>
  <c r="N77" i="12"/>
  <c r="N69" i="12"/>
  <c r="N71" i="12"/>
  <c r="M18" i="19"/>
  <c r="N32" i="12"/>
  <c r="M146" i="12"/>
  <c r="N57" i="12"/>
  <c r="N122" i="12"/>
  <c r="N121" i="12"/>
  <c r="N109" i="12"/>
  <c r="N36" i="12"/>
  <c r="N144" i="12"/>
  <c r="M145" i="20"/>
  <c r="N85" i="12"/>
  <c r="N174" i="12"/>
  <c r="N129" i="12" l="1"/>
  <c r="N149" i="12"/>
  <c r="N166" i="12"/>
  <c r="N133" i="12"/>
  <c r="N134" i="12"/>
  <c r="Z92" i="12"/>
  <c r="D7" i="25"/>
  <c r="D24" i="25"/>
  <c r="D21" i="25"/>
  <c r="Z4" i="12"/>
  <c r="D8" i="25"/>
  <c r="D12" i="25"/>
  <c r="D1" i="25"/>
  <c r="V96" i="20"/>
  <c r="V101" i="20"/>
  <c r="V102" i="20" s="1"/>
  <c r="W139" i="20"/>
  <c r="W155" i="20" s="1"/>
  <c r="V113" i="20"/>
  <c r="W126" i="20"/>
  <c r="Y18" i="20"/>
  <c r="Y19" i="19"/>
  <c r="Y18" i="19"/>
  <c r="H16" i="25"/>
  <c r="G16" i="25"/>
  <c r="Z4" i="20"/>
  <c r="B7" i="24"/>
  <c r="E7" i="24" s="1"/>
  <c r="L56" i="21"/>
  <c r="G7" i="24"/>
  <c r="A23" i="24"/>
  <c r="A31" i="24" s="1"/>
  <c r="G31" i="24" s="1"/>
  <c r="O31" i="24" s="1"/>
  <c r="Z4" i="19"/>
  <c r="U68" i="19"/>
  <c r="Y62" i="20"/>
  <c r="Y137" i="20"/>
  <c r="N145" i="20"/>
  <c r="Z127" i="12"/>
  <c r="N145" i="19"/>
  <c r="Z128" i="12"/>
  <c r="Y16" i="20"/>
  <c r="N146" i="20"/>
  <c r="Y111" i="20"/>
  <c r="N146" i="19"/>
  <c r="Y107" i="20"/>
  <c r="Y48" i="20"/>
  <c r="N68" i="12"/>
  <c r="Y138" i="20"/>
  <c r="Z41" i="12"/>
  <c r="Y170" i="20"/>
  <c r="Y22" i="20"/>
  <c r="Z43" i="12" l="1"/>
  <c r="W153" i="20"/>
  <c r="W152" i="20"/>
  <c r="W145" i="20"/>
  <c r="W142" i="20"/>
  <c r="W154" i="20"/>
  <c r="Y146" i="20"/>
  <c r="Y140" i="20"/>
  <c r="V68" i="19"/>
  <c r="W68" i="19" l="1"/>
  <c r="I2" i="13"/>
  <c r="K4" i="9"/>
  <c r="H3" i="11"/>
  <c r="J5" i="9"/>
  <c r="Y4" i="12"/>
  <c r="G6" i="2"/>
  <c r="G7" i="2" s="1"/>
  <c r="M131" i="12"/>
  <c r="I131" i="12"/>
  <c r="Z111" i="12"/>
  <c r="Z138" i="12"/>
  <c r="N19" i="12"/>
  <c r="Z137" i="12"/>
  <c r="Z16" i="12"/>
  <c r="Z170" i="12"/>
  <c r="N18" i="12"/>
  <c r="Z107" i="12"/>
  <c r="Z62" i="12"/>
  <c r="Z141" i="12"/>
  <c r="Z48" i="12"/>
  <c r="Z22" i="12"/>
  <c r="Z18" i="12" l="1"/>
  <c r="Z19" i="12"/>
  <c r="Z112" i="12"/>
  <c r="I3" i="11"/>
  <c r="N6" i="1"/>
  <c r="O4" i="12"/>
  <c r="Z140" i="12"/>
  <c r="Z171" i="12"/>
  <c r="Z146" i="12"/>
  <c r="I2" i="22"/>
  <c r="H2" i="23"/>
  <c r="O4" i="20"/>
  <c r="O4" i="19"/>
  <c r="O83" i="12"/>
  <c r="O173" i="12"/>
  <c r="O143" i="12"/>
  <c r="O132" i="12"/>
  <c r="O69" i="12"/>
  <c r="O144" i="12"/>
  <c r="O75" i="12"/>
  <c r="O146" i="12"/>
  <c r="O90" i="12"/>
  <c r="O148" i="12"/>
  <c r="O29" i="12"/>
  <c r="O145" i="12"/>
  <c r="O78" i="12"/>
  <c r="O171" i="12"/>
  <c r="O74" i="12"/>
  <c r="O79" i="12"/>
  <c r="O175" i="12"/>
  <c r="O57" i="12"/>
  <c r="O23" i="12"/>
  <c r="O109" i="12"/>
  <c r="O174" i="12"/>
  <c r="O84" i="12"/>
  <c r="O86" i="12"/>
  <c r="O92" i="12"/>
  <c r="O122" i="12"/>
  <c r="O26" i="12"/>
  <c r="O63" i="12"/>
  <c r="O97" i="12"/>
  <c r="O70" i="12"/>
  <c r="O38" i="12"/>
  <c r="O30" i="12"/>
  <c r="O77" i="12"/>
  <c r="O115" i="12"/>
  <c r="O124" i="12"/>
  <c r="O71" i="12"/>
  <c r="O81" i="12"/>
  <c r="O52" i="12"/>
  <c r="O82" i="12"/>
  <c r="O120" i="12"/>
  <c r="O35" i="12"/>
  <c r="O147" i="12"/>
  <c r="O108" i="12"/>
  <c r="O164" i="12"/>
  <c r="O36" i="12"/>
  <c r="O114" i="12"/>
  <c r="O91" i="12"/>
  <c r="O37" i="12"/>
  <c r="O123" i="12"/>
  <c r="O76" i="12"/>
  <c r="O27" i="12"/>
  <c r="O32" i="12"/>
  <c r="O24" i="12"/>
  <c r="O172" i="12"/>
  <c r="O72" i="12"/>
  <c r="O25" i="12"/>
  <c r="O53" i="12"/>
  <c r="O80" i="12"/>
  <c r="O112" i="12"/>
  <c r="O130" i="12"/>
  <c r="O28" i="12"/>
  <c r="O31" i="12"/>
  <c r="O121" i="12"/>
  <c r="O73" i="12"/>
  <c r="O85" i="12"/>
  <c r="AA92" i="12" l="1"/>
  <c r="O149" i="12"/>
  <c r="O134" i="12"/>
  <c r="O129" i="12"/>
  <c r="O166" i="12"/>
  <c r="O133" i="12"/>
  <c r="AA4" i="12"/>
  <c r="AA4" i="19"/>
  <c r="AA4" i="20"/>
  <c r="X68" i="19"/>
  <c r="L4" i="9"/>
  <c r="J2" i="13"/>
  <c r="K5" i="9"/>
  <c r="O68" i="12"/>
  <c r="AA62" i="12"/>
  <c r="AA170" i="12"/>
  <c r="O19" i="12"/>
  <c r="AA137" i="12"/>
  <c r="AA48" i="12"/>
  <c r="AA16" i="12"/>
  <c r="AA141" i="12"/>
  <c r="O18" i="12"/>
  <c r="AA111" i="12"/>
  <c r="AA41" i="12"/>
  <c r="AA128" i="12"/>
  <c r="AA107" i="12"/>
  <c r="AA127" i="12"/>
  <c r="AA22" i="12"/>
  <c r="AA138" i="12"/>
  <c r="AA112" i="12" l="1"/>
  <c r="AA43" i="12"/>
  <c r="AA18" i="12"/>
  <c r="AA19" i="12"/>
  <c r="AA140" i="12"/>
  <c r="AA146" i="12"/>
  <c r="AA171" i="12"/>
  <c r="Y68" i="19"/>
  <c r="L5" i="9"/>
  <c r="AA68" i="19" l="1"/>
  <c r="Z68" i="19"/>
  <c r="E13" i="21" l="1"/>
  <c r="K19" i="24" l="1"/>
  <c r="Z68" i="20" l="1"/>
  <c r="AA68" i="20"/>
  <c r="U68" i="20" l="1"/>
  <c r="V68" i="20" l="1"/>
  <c r="W68" i="20" l="1"/>
  <c r="X68" i="20" l="1"/>
  <c r="Y68" i="20" l="1"/>
  <c r="U102" i="12" l="1"/>
  <c r="K11" i="29" l="1"/>
  <c r="L11" i="29" l="1"/>
  <c r="M11" i="29" l="1"/>
  <c r="K19" i="29" l="1"/>
  <c r="N11" i="29"/>
  <c r="I28" i="9"/>
  <c r="G28" i="9"/>
  <c r="K28" i="9"/>
  <c r="L28" i="9"/>
  <c r="F28" i="9"/>
  <c r="H28" i="9"/>
  <c r="J28" i="9"/>
  <c r="O12" i="12"/>
  <c r="N12" i="12"/>
  <c r="O11" i="12"/>
  <c r="N11" i="12"/>
  <c r="AA46" i="12" l="1"/>
  <c r="Z46" i="12"/>
  <c r="L19" i="29"/>
  <c r="K25" i="29"/>
  <c r="O11" i="29"/>
  <c r="M19" i="29" l="1"/>
  <c r="L25" i="29"/>
  <c r="P11" i="29"/>
  <c r="N19" i="29" l="1"/>
  <c r="M25" i="29"/>
  <c r="O19" i="29" l="1"/>
  <c r="N25" i="29"/>
  <c r="P19" i="29" l="1"/>
  <c r="P25" i="29" s="1"/>
  <c r="O25" i="29"/>
  <c r="K45" i="29" l="1"/>
  <c r="L45" i="29" l="1"/>
  <c r="K46" i="29"/>
  <c r="L46" i="29" l="1"/>
  <c r="M45" i="29"/>
  <c r="C5" i="23" l="1"/>
  <c r="I39" i="21" s="1"/>
  <c r="N45" i="29"/>
  <c r="M46" i="29"/>
  <c r="D5" i="23" l="1"/>
  <c r="N39" i="21" s="1"/>
  <c r="O39" i="21" s="1"/>
  <c r="E5" i="23"/>
  <c r="I66" i="21" s="1"/>
  <c r="N46" i="29"/>
  <c r="O45" i="29"/>
  <c r="F5" i="23" l="1"/>
  <c r="N66" i="21" s="1"/>
  <c r="O66" i="21" s="1"/>
  <c r="P45" i="29"/>
  <c r="P46" i="29" s="1"/>
  <c r="O46" i="29"/>
  <c r="G12" i="22" l="1"/>
  <c r="E12" i="22"/>
  <c r="E11" i="22"/>
  <c r="F12" i="22"/>
  <c r="F11" i="22" l="1"/>
  <c r="G11" i="22" l="1"/>
  <c r="I4" i="22" l="1"/>
  <c r="H6" i="22"/>
  <c r="H7" i="22"/>
  <c r="I7" i="22"/>
  <c r="H8" i="22"/>
  <c r="H12" i="22" s="1"/>
  <c r="H11" i="22" s="1"/>
  <c r="H5" i="22"/>
  <c r="I5" i="22"/>
  <c r="I8" i="22" l="1"/>
  <c r="I12" i="22" s="1"/>
  <c r="P3" i="29"/>
  <c r="P4" i="29" s="1"/>
  <c r="I11" i="22"/>
  <c r="I6" i="22"/>
  <c r="I70" i="21" l="1"/>
  <c r="N70" i="21"/>
  <c r="L43" i="1" l="1"/>
  <c r="J31" i="1"/>
  <c r="L69" i="12"/>
  <c r="Y141" i="19"/>
  <c r="L70" i="19"/>
  <c r="U170" i="12"/>
  <c r="J70" i="20"/>
  <c r="K74" i="12"/>
  <c r="N130" i="20"/>
  <c r="J75" i="1"/>
  <c r="J35" i="12"/>
  <c r="I82" i="12"/>
  <c r="I17" i="12"/>
  <c r="F21" i="9"/>
  <c r="O122" i="19"/>
  <c r="I144" i="12"/>
  <c r="K46" i="1"/>
  <c r="K86" i="19"/>
  <c r="M90" i="19"/>
  <c r="L53" i="20"/>
  <c r="I114" i="20"/>
  <c r="I165" i="19"/>
  <c r="X111" i="20"/>
  <c r="K82" i="19"/>
  <c r="L60" i="1"/>
  <c r="I76" i="19"/>
  <c r="U41" i="12"/>
  <c r="L188" i="1"/>
  <c r="J85" i="12"/>
  <c r="J179" i="1"/>
  <c r="H129" i="1"/>
  <c r="N83" i="20"/>
  <c r="L136" i="1"/>
  <c r="O73" i="19"/>
  <c r="H118" i="1"/>
  <c r="J53" i="19"/>
  <c r="O81" i="19"/>
  <c r="M11" i="20"/>
  <c r="N53" i="20"/>
  <c r="Z48" i="20"/>
  <c r="K76" i="12"/>
  <c r="O86" i="20"/>
  <c r="Z42" i="19"/>
  <c r="L85" i="19"/>
  <c r="Y170" i="12"/>
  <c r="Z141" i="20"/>
  <c r="AA111" i="19"/>
  <c r="I109" i="20"/>
  <c r="O75" i="20"/>
  <c r="M73" i="19"/>
  <c r="K73" i="19"/>
  <c r="L53" i="12"/>
  <c r="M73" i="12"/>
  <c r="X48" i="12"/>
  <c r="O122" i="20"/>
  <c r="J64" i="1"/>
  <c r="J102" i="1"/>
  <c r="K149" i="1"/>
  <c r="J154" i="12"/>
  <c r="N121" i="19"/>
  <c r="J61" i="1"/>
  <c r="M159" i="1"/>
  <c r="I20" i="1"/>
  <c r="K69" i="1"/>
  <c r="O69" i="19"/>
  <c r="W138" i="19"/>
  <c r="O63" i="20"/>
  <c r="I82" i="19"/>
  <c r="O130" i="19"/>
  <c r="F87" i="20"/>
  <c r="H160" i="1"/>
  <c r="J121" i="20"/>
  <c r="M142" i="12"/>
  <c r="I86" i="19"/>
  <c r="L151" i="1"/>
  <c r="J82" i="12"/>
  <c r="K22" i="9"/>
  <c r="J11" i="20"/>
  <c r="J19" i="12"/>
  <c r="I120" i="12"/>
  <c r="I74" i="12"/>
  <c r="L185" i="1"/>
  <c r="O23" i="19"/>
  <c r="L86" i="19"/>
  <c r="O115" i="20"/>
  <c r="N174" i="19"/>
  <c r="J71" i="12"/>
  <c r="K120" i="20"/>
  <c r="N85" i="19"/>
  <c r="L72" i="19"/>
  <c r="L75" i="20"/>
  <c r="I97" i="20"/>
  <c r="N165" i="19"/>
  <c r="K77" i="19"/>
  <c r="N120" i="19"/>
  <c r="I11" i="20"/>
  <c r="H93" i="1"/>
  <c r="K140" i="12"/>
  <c r="J92" i="1"/>
  <c r="I22" i="9"/>
  <c r="J104" i="1"/>
  <c r="N32" i="20"/>
  <c r="N143" i="19"/>
  <c r="U12" i="19"/>
  <c r="L166" i="1"/>
  <c r="O121" i="19"/>
  <c r="J151" i="1"/>
  <c r="X138" i="12"/>
  <c r="J69" i="12"/>
  <c r="I90" i="19"/>
  <c r="U41" i="20"/>
  <c r="U127" i="19"/>
  <c r="J11" i="12"/>
  <c r="L33" i="1"/>
  <c r="J36" i="1"/>
  <c r="I124" i="20"/>
  <c r="U138" i="19"/>
  <c r="M165" i="20"/>
  <c r="U128" i="19"/>
  <c r="Z42" i="20"/>
  <c r="I84" i="20"/>
  <c r="X141" i="20"/>
  <c r="K122" i="12"/>
  <c r="I92" i="20"/>
  <c r="O57" i="19"/>
  <c r="V62" i="12"/>
  <c r="H74" i="1"/>
  <c r="K80" i="20"/>
  <c r="J48" i="1"/>
  <c r="N123" i="19"/>
  <c r="O77" i="20"/>
  <c r="O28" i="20"/>
  <c r="H73" i="1"/>
  <c r="K75" i="12"/>
  <c r="N112" i="19"/>
  <c r="O26" i="20"/>
  <c r="N161" i="1"/>
  <c r="M79" i="12"/>
  <c r="K70" i="19"/>
  <c r="H103" i="1"/>
  <c r="AA111" i="20"/>
  <c r="K90" i="20"/>
  <c r="I78" i="19"/>
  <c r="K83" i="1"/>
  <c r="N114" i="19"/>
  <c r="O147" i="20"/>
  <c r="AA138" i="19"/>
  <c r="I147" i="19"/>
  <c r="L91" i="20"/>
  <c r="O30" i="19"/>
  <c r="M175" i="20"/>
  <c r="M81" i="19"/>
  <c r="J66" i="1"/>
  <c r="L78" i="12"/>
  <c r="AA42" i="20"/>
  <c r="U137" i="12"/>
  <c r="N144" i="19"/>
  <c r="J92" i="19"/>
  <c r="M80" i="19"/>
  <c r="I69" i="19"/>
  <c r="Y42" i="12"/>
  <c r="I116" i="19"/>
  <c r="K84" i="20"/>
  <c r="J172" i="1"/>
  <c r="L83" i="12"/>
  <c r="W62" i="19"/>
  <c r="K185" i="1"/>
  <c r="I18" i="12"/>
  <c r="L19" i="12"/>
  <c r="J142" i="12"/>
  <c r="H165" i="1"/>
  <c r="L71" i="19"/>
  <c r="I61" i="1"/>
  <c r="J81" i="12"/>
  <c r="J129" i="1"/>
  <c r="J120" i="1"/>
  <c r="M84" i="19"/>
  <c r="J52" i="20"/>
  <c r="L74" i="12"/>
  <c r="M76" i="12"/>
  <c r="L145" i="1"/>
  <c r="J79" i="12"/>
  <c r="O83" i="19"/>
  <c r="K82" i="12"/>
  <c r="K80" i="1"/>
  <c r="J118" i="1"/>
  <c r="J46" i="1"/>
  <c r="P121" i="19"/>
  <c r="I140" i="12"/>
  <c r="L129" i="1"/>
  <c r="N31" i="19"/>
  <c r="O84" i="19"/>
  <c r="K123" i="19"/>
  <c r="X16" i="20"/>
  <c r="K12" i="19"/>
  <c r="W137" i="19"/>
  <c r="O90" i="19"/>
  <c r="M75" i="19"/>
  <c r="L123" i="12"/>
  <c r="O18" i="19"/>
  <c r="I93" i="1"/>
  <c r="I130" i="1"/>
  <c r="I70" i="12"/>
  <c r="O97" i="20"/>
  <c r="K20" i="9"/>
  <c r="O11" i="19"/>
  <c r="O27" i="20"/>
  <c r="I76" i="12"/>
  <c r="K102" i="12"/>
  <c r="M76" i="19"/>
  <c r="J90" i="12"/>
  <c r="J165" i="19"/>
  <c r="J76" i="19"/>
  <c r="U170" i="19"/>
  <c r="H47" i="1"/>
  <c r="I79" i="20"/>
  <c r="P57" i="19"/>
  <c r="O32" i="19"/>
  <c r="K53" i="20"/>
  <c r="K90" i="19"/>
  <c r="M78" i="12"/>
  <c r="N97" i="19"/>
  <c r="M11" i="12"/>
  <c r="L130" i="1"/>
  <c r="J81" i="20"/>
  <c r="O92" i="20"/>
  <c r="K124" i="12"/>
  <c r="J136" i="1"/>
  <c r="J169" i="1"/>
  <c r="W170" i="12"/>
  <c r="M12" i="20"/>
  <c r="K121" i="12"/>
  <c r="M81" i="20"/>
  <c r="L140" i="12"/>
  <c r="J120" i="20"/>
  <c r="I69" i="20"/>
  <c r="X138" i="20"/>
  <c r="I134" i="1"/>
  <c r="U111" i="12"/>
  <c r="I108" i="1"/>
  <c r="L38" i="1"/>
  <c r="U16" i="12"/>
  <c r="I107" i="1"/>
  <c r="I143" i="19"/>
  <c r="I83" i="19"/>
  <c r="O108" i="19"/>
  <c r="N148" i="19"/>
  <c r="H12" i="12"/>
  <c r="Y141" i="12"/>
  <c r="J18" i="12"/>
  <c r="X170" i="12"/>
  <c r="K179" i="1"/>
  <c r="W107" i="19"/>
  <c r="N175" i="19"/>
  <c r="X141" i="12"/>
  <c r="K120" i="12"/>
  <c r="K181" i="1"/>
  <c r="X137" i="20"/>
  <c r="F12" i="9"/>
  <c r="J42" i="1"/>
  <c r="L84" i="19"/>
  <c r="O173" i="20"/>
  <c r="I84" i="1"/>
  <c r="J78" i="12"/>
  <c r="I112" i="12"/>
  <c r="K69" i="20"/>
  <c r="M92" i="20"/>
  <c r="J123" i="12"/>
  <c r="M122" i="20"/>
  <c r="Y42" i="20"/>
  <c r="I104" i="1"/>
  <c r="H102" i="1"/>
  <c r="O70" i="19"/>
  <c r="N70" i="19"/>
  <c r="K74" i="1"/>
  <c r="J74" i="1"/>
  <c r="I72" i="19"/>
  <c r="N115" i="20"/>
  <c r="K83" i="19"/>
  <c r="Y111" i="12"/>
  <c r="N81" i="20"/>
  <c r="M53" i="20"/>
  <c r="X111" i="19"/>
  <c r="L35" i="12"/>
  <c r="W42" i="19"/>
  <c r="L132" i="19"/>
  <c r="L121" i="19"/>
  <c r="K36" i="20"/>
  <c r="L154" i="12"/>
  <c r="L82" i="12"/>
  <c r="M152" i="12"/>
  <c r="I120" i="19"/>
  <c r="L165" i="20"/>
  <c r="J21" i="1"/>
  <c r="O80" i="20"/>
  <c r="AA107" i="19"/>
  <c r="J20" i="1"/>
  <c r="G21" i="9"/>
  <c r="Y22" i="12"/>
  <c r="L119" i="1"/>
  <c r="Z41" i="20"/>
  <c r="N108" i="20"/>
  <c r="P129" i="12"/>
  <c r="I108" i="19"/>
  <c r="N90" i="19"/>
  <c r="L92" i="20"/>
  <c r="O146" i="20"/>
  <c r="N124" i="19"/>
  <c r="K186" i="1"/>
  <c r="L173" i="19" s="1"/>
  <c r="K43" i="1"/>
  <c r="L76" i="12"/>
  <c r="M11" i="19"/>
  <c r="L11" i="12"/>
  <c r="I28" i="12"/>
  <c r="H65" i="1"/>
  <c r="O36" i="19"/>
  <c r="P134" i="12"/>
  <c r="I108" i="20"/>
  <c r="H13" i="1"/>
  <c r="I81" i="12"/>
  <c r="K139" i="1"/>
  <c r="O78" i="20"/>
  <c r="I129" i="1"/>
  <c r="M121" i="19"/>
  <c r="K120" i="1"/>
  <c r="O79" i="20"/>
  <c r="D7" i="6"/>
  <c r="I73" i="1"/>
  <c r="Y48" i="19"/>
  <c r="I160" i="1"/>
  <c r="J83" i="1"/>
  <c r="K25" i="19" s="1"/>
  <c r="L88" i="1"/>
  <c r="J124" i="1"/>
  <c r="J33" i="1"/>
  <c r="J17" i="1"/>
  <c r="J70" i="19"/>
  <c r="U42" i="12"/>
  <c r="D22" i="6"/>
  <c r="O90" i="20"/>
  <c r="F10" i="9"/>
  <c r="J85" i="19"/>
  <c r="L122" i="19"/>
  <c r="J99" i="1"/>
  <c r="I86" i="12"/>
  <c r="L31" i="1"/>
  <c r="N36" i="20"/>
  <c r="N26" i="19"/>
  <c r="I89" i="1"/>
  <c r="K74" i="20"/>
  <c r="I164" i="19"/>
  <c r="J20" i="9"/>
  <c r="J53" i="1"/>
  <c r="F20" i="9"/>
  <c r="N27" i="20"/>
  <c r="M84" i="12"/>
  <c r="I156" i="1"/>
  <c r="L140" i="1"/>
  <c r="J73" i="20"/>
  <c r="I23" i="19"/>
  <c r="I43" i="1"/>
  <c r="L20" i="1"/>
  <c r="O175" i="20"/>
  <c r="L115" i="1"/>
  <c r="J140" i="1"/>
  <c r="N143" i="20"/>
  <c r="L124" i="12"/>
  <c r="L174" i="1"/>
  <c r="K112" i="1"/>
  <c r="H84" i="1"/>
  <c r="K79" i="19"/>
  <c r="N172" i="20"/>
  <c r="I144" i="19"/>
  <c r="K85" i="20"/>
  <c r="O112" i="20"/>
  <c r="W107" i="12"/>
  <c r="I85" i="20"/>
  <c r="H42" i="1"/>
  <c r="K36" i="1"/>
  <c r="K124" i="20"/>
  <c r="N57" i="19"/>
  <c r="I77" i="20"/>
  <c r="L59" i="1"/>
  <c r="P33" i="12"/>
  <c r="I12" i="20"/>
  <c r="U137" i="19"/>
  <c r="L76" i="20"/>
  <c r="U9" i="20"/>
  <c r="I14" i="1"/>
  <c r="J125" i="1"/>
  <c r="K89" i="1"/>
  <c r="P121" i="20"/>
  <c r="U62" i="19"/>
  <c r="I70" i="1"/>
  <c r="D4" i="6"/>
  <c r="I26" i="12"/>
  <c r="K21" i="1"/>
  <c r="U107" i="19"/>
  <c r="O120" i="20"/>
  <c r="M115" i="20"/>
  <c r="Z62" i="19"/>
  <c r="N79" i="20"/>
  <c r="K81" i="19"/>
  <c r="I90" i="20"/>
  <c r="K135" i="1"/>
  <c r="L86" i="20"/>
  <c r="I7" i="19"/>
  <c r="I10" i="19"/>
  <c r="F15" i="22"/>
  <c r="J79" i="20"/>
  <c r="K33" i="1"/>
  <c r="L29" i="20" s="1"/>
  <c r="J86" i="20"/>
  <c r="X137" i="12"/>
  <c r="I185" i="1"/>
  <c r="J73" i="19"/>
  <c r="K13" i="1"/>
  <c r="Z141" i="19"/>
  <c r="N77" i="19"/>
  <c r="K122" i="20"/>
  <c r="M71" i="19"/>
  <c r="D14" i="9"/>
  <c r="J74" i="20"/>
  <c r="P131" i="12"/>
  <c r="L11" i="20"/>
  <c r="I173" i="1"/>
  <c r="L80" i="20"/>
  <c r="I165" i="20"/>
  <c r="I99" i="1"/>
  <c r="D13" i="9"/>
  <c r="J73" i="1"/>
  <c r="I75" i="1"/>
  <c r="J47" i="1"/>
  <c r="I80" i="12"/>
  <c r="K77" i="20"/>
  <c r="I92" i="1"/>
  <c r="U12" i="20"/>
  <c r="N115" i="19"/>
  <c r="J166" i="1"/>
  <c r="Z22" i="20"/>
  <c r="H46" i="1"/>
  <c r="O86" i="19"/>
  <c r="L85" i="12"/>
  <c r="Z137" i="20"/>
  <c r="J165" i="1"/>
  <c r="L179" i="1"/>
  <c r="U128" i="12"/>
  <c r="O32" i="20"/>
  <c r="Z62" i="20"/>
  <c r="K136" i="1"/>
  <c r="W22" i="19"/>
  <c r="J69" i="19"/>
  <c r="M72" i="19"/>
  <c r="H92" i="1"/>
  <c r="O171" i="20"/>
  <c r="I118" i="1"/>
  <c r="K119" i="1"/>
  <c r="H125" i="1"/>
  <c r="P124" i="12"/>
  <c r="I150" i="1"/>
  <c r="O109" i="19"/>
  <c r="I80" i="1"/>
  <c r="N122" i="19"/>
  <c r="W42" i="20"/>
  <c r="Z22" i="19"/>
  <c r="M75" i="20"/>
  <c r="J26" i="1"/>
  <c r="I139" i="1"/>
  <c r="J109" i="12" s="1"/>
  <c r="H32" i="1"/>
  <c r="I27" i="19" s="1"/>
  <c r="H140" i="1"/>
  <c r="J69" i="20"/>
  <c r="K70" i="20"/>
  <c r="I145" i="1"/>
  <c r="J173" i="1"/>
  <c r="H169" i="1"/>
  <c r="I53" i="12"/>
  <c r="L150" i="1"/>
  <c r="N91" i="20"/>
  <c r="N91" i="19"/>
  <c r="H69" i="1"/>
  <c r="Z111" i="20"/>
  <c r="Z16" i="19"/>
  <c r="N164" i="20"/>
  <c r="K78" i="20"/>
  <c r="X42" i="19"/>
  <c r="I109" i="12"/>
  <c r="I123" i="12"/>
  <c r="K81" i="12"/>
  <c r="J140" i="12"/>
  <c r="K84" i="12"/>
  <c r="N29" i="20"/>
  <c r="I91" i="12"/>
  <c r="L123" i="19"/>
  <c r="O91" i="20"/>
  <c r="K123" i="1"/>
  <c r="J114" i="20"/>
  <c r="M35" i="19"/>
  <c r="I121" i="12"/>
  <c r="M83" i="20"/>
  <c r="I53" i="20"/>
  <c r="N12" i="19"/>
  <c r="K80" i="19"/>
  <c r="L98" i="1"/>
  <c r="K121" i="19"/>
  <c r="I76" i="20"/>
  <c r="K37" i="1"/>
  <c r="V107" i="12"/>
  <c r="L48" i="1"/>
  <c r="M97" i="20" s="1"/>
  <c r="K69" i="12"/>
  <c r="N73" i="20"/>
  <c r="F14" i="9"/>
  <c r="O132" i="19"/>
  <c r="J82" i="19"/>
  <c r="H181" i="1"/>
  <c r="N147" i="20"/>
  <c r="H38" i="1"/>
  <c r="M28" i="19"/>
  <c r="J174" i="1"/>
  <c r="J76" i="20"/>
  <c r="X107" i="20"/>
  <c r="H188" i="1"/>
  <c r="O57" i="20"/>
  <c r="O143" i="19"/>
  <c r="L18" i="12"/>
  <c r="Y107" i="12"/>
  <c r="M90" i="12"/>
  <c r="I64" i="1"/>
  <c r="J63" i="12" s="1"/>
  <c r="L91" i="19"/>
  <c r="L72" i="20"/>
  <c r="L61" i="1"/>
  <c r="Y127" i="20" s="1"/>
  <c r="H51" i="1"/>
  <c r="X22" i="20"/>
  <c r="J91" i="12"/>
  <c r="M70" i="20"/>
  <c r="M160" i="1"/>
  <c r="K92" i="1"/>
  <c r="H123" i="1"/>
  <c r="V42" i="20"/>
  <c r="D9" i="9"/>
  <c r="K91" i="20"/>
  <c r="O80" i="19"/>
  <c r="Y111" i="19"/>
  <c r="H89" i="1"/>
  <c r="L17" i="1"/>
  <c r="O36" i="20"/>
  <c r="I73" i="19"/>
  <c r="H178" i="1"/>
  <c r="L92" i="19"/>
  <c r="I124" i="1"/>
  <c r="O12" i="19"/>
  <c r="M120" i="12"/>
  <c r="I120" i="20"/>
  <c r="J81" i="19"/>
  <c r="I164" i="20"/>
  <c r="AA137" i="19"/>
  <c r="L75" i="1"/>
  <c r="I130" i="20"/>
  <c r="I71" i="20"/>
  <c r="N79" i="19"/>
  <c r="N26" i="20"/>
  <c r="G20" i="9"/>
  <c r="H156" i="1"/>
  <c r="M91" i="20"/>
  <c r="O171" i="19"/>
  <c r="O77" i="19"/>
  <c r="M122" i="12"/>
  <c r="M32" i="19"/>
  <c r="L13" i="1"/>
  <c r="K79" i="12"/>
  <c r="P124" i="20"/>
  <c r="M122" i="19"/>
  <c r="N171" i="20"/>
  <c r="H17" i="1"/>
  <c r="Z128" i="20"/>
  <c r="O165" i="19"/>
  <c r="J92" i="12"/>
  <c r="I123" i="19"/>
  <c r="L69" i="20"/>
  <c r="O38" i="20"/>
  <c r="K35" i="12"/>
  <c r="L42" i="1"/>
  <c r="J70" i="1"/>
  <c r="M165" i="12"/>
  <c r="N132" i="20"/>
  <c r="N28" i="19"/>
  <c r="W42" i="12"/>
  <c r="J84" i="1"/>
  <c r="I172" i="12"/>
  <c r="L52" i="12"/>
  <c r="J28" i="12"/>
  <c r="K38" i="1"/>
  <c r="O25" i="19"/>
  <c r="J154" i="1"/>
  <c r="N57" i="20"/>
  <c r="J7" i="20"/>
  <c r="M164" i="20"/>
  <c r="K144" i="1"/>
  <c r="J80" i="20"/>
  <c r="I57" i="20"/>
  <c r="I179" i="1"/>
  <c r="L134" i="1"/>
  <c r="J109" i="1"/>
  <c r="M124" i="19"/>
  <c r="K76" i="19"/>
  <c r="O25" i="20"/>
  <c r="H128" i="1"/>
  <c r="O76" i="19"/>
  <c r="H136" i="1"/>
  <c r="J123" i="19"/>
  <c r="M69" i="19"/>
  <c r="N7" i="12"/>
  <c r="K42" i="1"/>
  <c r="H75" i="1"/>
  <c r="I86" i="20"/>
  <c r="K73" i="20"/>
  <c r="L21" i="1"/>
  <c r="N77" i="20"/>
  <c r="N19" i="19"/>
  <c r="K94" i="1"/>
  <c r="J70" i="12"/>
  <c r="AA41" i="20"/>
  <c r="I130" i="12"/>
  <c r="L108" i="20"/>
  <c r="M165" i="19"/>
  <c r="Y22" i="19"/>
  <c r="L156" i="1"/>
  <c r="J24" i="20"/>
  <c r="L86" i="12"/>
  <c r="H145" i="1"/>
  <c r="K26" i="20"/>
  <c r="X107" i="12"/>
  <c r="J181" i="1"/>
  <c r="P57" i="20"/>
  <c r="K132" i="20"/>
  <c r="K164" i="19"/>
  <c r="L53" i="1"/>
  <c r="J122" i="19"/>
  <c r="I13" i="1"/>
  <c r="K130" i="1"/>
  <c r="O79" i="19"/>
  <c r="N23" i="20"/>
  <c r="I78" i="12"/>
  <c r="J14" i="1"/>
  <c r="W48" i="19"/>
  <c r="J108" i="12"/>
  <c r="L165" i="1"/>
  <c r="I115" i="12"/>
  <c r="K36" i="12"/>
  <c r="N80" i="20"/>
  <c r="K151" i="1"/>
  <c r="L80" i="19"/>
  <c r="L112" i="20"/>
  <c r="D15" i="22"/>
  <c r="X141" i="19"/>
  <c r="L22" i="9"/>
  <c r="O8" i="19" s="1"/>
  <c r="O120" i="19"/>
  <c r="I119" i="1"/>
  <c r="J37" i="19" s="1"/>
  <c r="K78" i="19"/>
  <c r="I46" i="1"/>
  <c r="V111" i="12"/>
  <c r="N72" i="20"/>
  <c r="I74" i="19"/>
  <c r="J90" i="19"/>
  <c r="K184" i="1"/>
  <c r="L171" i="12" s="1"/>
  <c r="M77" i="20"/>
  <c r="K29" i="12"/>
  <c r="J177" i="1"/>
  <c r="AA62" i="19"/>
  <c r="H154" i="1"/>
  <c r="M81" i="12"/>
  <c r="I65" i="1"/>
  <c r="O148" i="20"/>
  <c r="U127" i="20"/>
  <c r="I142" i="12"/>
  <c r="M102" i="12"/>
  <c r="I136" i="1"/>
  <c r="M120" i="20"/>
  <c r="O144" i="20"/>
  <c r="H184" i="1"/>
  <c r="K177" i="1"/>
  <c r="L147" i="12" s="1"/>
  <c r="N72" i="19"/>
  <c r="L53" i="19"/>
  <c r="J141" i="1"/>
  <c r="O123" i="19"/>
  <c r="H159" i="1"/>
  <c r="L64" i="1"/>
  <c r="Z170" i="19"/>
  <c r="J77" i="20"/>
  <c r="J12" i="19"/>
  <c r="L152" i="12"/>
  <c r="J122" i="20"/>
  <c r="L187" i="1"/>
  <c r="H172" i="1"/>
  <c r="L20" i="9"/>
  <c r="I164" i="12"/>
  <c r="L153" i="12"/>
  <c r="W111" i="12"/>
  <c r="L142" i="12"/>
  <c r="I85" i="12"/>
  <c r="J53" i="20"/>
  <c r="P133" i="12"/>
  <c r="L81" i="12"/>
  <c r="K51" i="1"/>
  <c r="I115" i="1"/>
  <c r="J38" i="19" s="1"/>
  <c r="K155" i="12"/>
  <c r="O83" i="20"/>
  <c r="N172" i="19"/>
  <c r="H97" i="1"/>
  <c r="M155" i="12"/>
  <c r="J59" i="1"/>
  <c r="AA41" i="19"/>
  <c r="I11" i="12"/>
  <c r="N10" i="19"/>
  <c r="M27" i="20"/>
  <c r="M7" i="20"/>
  <c r="L81" i="19"/>
  <c r="K71" i="12"/>
  <c r="N92" i="20"/>
  <c r="L84" i="20"/>
  <c r="N8" i="19"/>
  <c r="H27" i="1"/>
  <c r="AA107" i="20"/>
  <c r="H53" i="1"/>
  <c r="K69" i="19"/>
  <c r="H141" i="1"/>
  <c r="M124" i="12"/>
  <c r="N130" i="19"/>
  <c r="L122" i="12"/>
  <c r="K70" i="1"/>
  <c r="J78" i="19"/>
  <c r="L120" i="1"/>
  <c r="I116" i="12"/>
  <c r="J128" i="1"/>
  <c r="N27" i="19"/>
  <c r="L72" i="12"/>
  <c r="Y41" i="20"/>
  <c r="I124" i="12"/>
  <c r="K165" i="19"/>
  <c r="I130" i="19"/>
  <c r="J22" i="9"/>
  <c r="I154" i="12"/>
  <c r="M37" i="19"/>
  <c r="O7" i="12"/>
  <c r="K146" i="1"/>
  <c r="L143" i="20" s="1"/>
  <c r="Z48" i="19"/>
  <c r="K28" i="1"/>
  <c r="J72" i="19"/>
  <c r="J119" i="1"/>
  <c r="N76" i="20"/>
  <c r="K52" i="12"/>
  <c r="J144" i="1"/>
  <c r="W127" i="12"/>
  <c r="M132" i="20"/>
  <c r="J36" i="20"/>
  <c r="J132" i="20"/>
  <c r="M84" i="20"/>
  <c r="I37" i="1"/>
  <c r="K115" i="1"/>
  <c r="J27" i="1"/>
  <c r="O23" i="20"/>
  <c r="M77" i="12"/>
  <c r="J78" i="20"/>
  <c r="K173" i="1"/>
  <c r="L144" i="19" s="1"/>
  <c r="K145" i="1"/>
  <c r="L124" i="1"/>
  <c r="H88" i="1"/>
  <c r="V137" i="12"/>
  <c r="J77" i="19"/>
  <c r="I124" i="19"/>
  <c r="L120" i="19"/>
  <c r="AA48" i="19"/>
  <c r="K77" i="12"/>
  <c r="L78" i="19"/>
  <c r="Y170" i="19"/>
  <c r="I83" i="20"/>
  <c r="M52" i="20"/>
  <c r="O28" i="19"/>
  <c r="L109" i="1"/>
  <c r="M30" i="20" s="1"/>
  <c r="I155" i="1"/>
  <c r="J114" i="19" s="1"/>
  <c r="I165" i="12"/>
  <c r="K27" i="1"/>
  <c r="V141" i="12"/>
  <c r="V138" i="12"/>
  <c r="L28" i="12"/>
  <c r="I147" i="12"/>
  <c r="K12" i="12"/>
  <c r="J38" i="1"/>
  <c r="W41" i="20" s="1"/>
  <c r="K85" i="12"/>
  <c r="K32" i="1"/>
  <c r="K93" i="1"/>
  <c r="O143" i="20"/>
  <c r="K19" i="12"/>
  <c r="N159" i="1"/>
  <c r="O116" i="12" s="1"/>
  <c r="L12" i="19"/>
  <c r="N112" i="20"/>
  <c r="K31" i="12"/>
  <c r="I188" i="1"/>
  <c r="J175" i="20" s="1"/>
  <c r="K118" i="1"/>
  <c r="L37" i="12" s="1"/>
  <c r="H124" i="1"/>
  <c r="Z170" i="20"/>
  <c r="J108" i="1"/>
  <c r="K30" i="19" s="1"/>
  <c r="I36" i="1"/>
  <c r="J52" i="12"/>
  <c r="H48" i="1"/>
  <c r="N81" i="19"/>
  <c r="K165" i="20"/>
  <c r="I153" i="12"/>
  <c r="Z41" i="19"/>
  <c r="O78" i="19"/>
  <c r="J72" i="20"/>
  <c r="M76" i="20"/>
  <c r="L177" i="1"/>
  <c r="L71" i="12"/>
  <c r="J83" i="20"/>
  <c r="I83" i="12"/>
  <c r="H107" i="1"/>
  <c r="O35" i="20"/>
  <c r="K122" i="19"/>
  <c r="H33" i="1"/>
  <c r="L14" i="1"/>
  <c r="AA141" i="19"/>
  <c r="U11" i="12"/>
  <c r="J115" i="1"/>
  <c r="J123" i="20"/>
  <c r="K29" i="20"/>
  <c r="N10" i="12"/>
  <c r="N97" i="20"/>
  <c r="Y16" i="19"/>
  <c r="O73" i="20"/>
  <c r="J91" i="20"/>
  <c r="J9" i="19"/>
  <c r="Y128" i="20"/>
  <c r="O31" i="19"/>
  <c r="N174" i="20"/>
  <c r="I143" i="20"/>
  <c r="M80" i="20"/>
  <c r="M27" i="12"/>
  <c r="L26" i="1"/>
  <c r="K154" i="12"/>
  <c r="U42" i="19"/>
  <c r="K91" i="19"/>
  <c r="I17" i="1"/>
  <c r="L124" i="19"/>
  <c r="X41" i="20"/>
  <c r="O108" i="20"/>
  <c r="I112" i="19"/>
  <c r="M83" i="12"/>
  <c r="M175" i="19"/>
  <c r="O24" i="20"/>
  <c r="W127" i="20"/>
  <c r="L172" i="12"/>
  <c r="M109" i="19"/>
  <c r="J82" i="20"/>
  <c r="L70" i="12"/>
  <c r="I122" i="20"/>
  <c r="M70" i="19"/>
  <c r="J108" i="20"/>
  <c r="H37" i="1"/>
  <c r="M7" i="12"/>
  <c r="L25" i="19"/>
  <c r="M74" i="20"/>
  <c r="V42" i="19"/>
  <c r="L78" i="20"/>
  <c r="X138" i="19"/>
  <c r="K12" i="20"/>
  <c r="H21" i="1"/>
  <c r="L32" i="1"/>
  <c r="M27" i="19" s="1"/>
  <c r="AA128" i="20"/>
  <c r="M12" i="12"/>
  <c r="N74" i="20"/>
  <c r="W141" i="12"/>
  <c r="O24" i="19"/>
  <c r="H99" i="1"/>
  <c r="K83" i="12"/>
  <c r="K155" i="1"/>
  <c r="L114" i="19" s="1"/>
  <c r="M121" i="12"/>
  <c r="X137" i="19"/>
  <c r="M123" i="12"/>
  <c r="J156" i="1"/>
  <c r="K114" i="20" s="1"/>
  <c r="U41" i="19"/>
  <c r="K92" i="12"/>
  <c r="J121" i="19"/>
  <c r="O19" i="20"/>
  <c r="X42" i="20"/>
  <c r="K92" i="19"/>
  <c r="K153" i="12"/>
  <c r="H60" i="1"/>
  <c r="U42" i="20"/>
  <c r="U11" i="20"/>
  <c r="I132" i="20"/>
  <c r="V48" i="12"/>
  <c r="J159" i="1"/>
  <c r="H112" i="1"/>
  <c r="V22" i="12"/>
  <c r="N32" i="19"/>
  <c r="X170" i="20"/>
  <c r="AA170" i="19"/>
  <c r="K178" i="1"/>
  <c r="AA22" i="19"/>
  <c r="O174" i="19"/>
  <c r="O114" i="20"/>
  <c r="L74" i="19"/>
  <c r="N7" i="19"/>
  <c r="I97" i="19"/>
  <c r="J72" i="12"/>
  <c r="K88" i="1"/>
  <c r="L28" i="19" s="1"/>
  <c r="M92" i="12"/>
  <c r="J80" i="12"/>
  <c r="O85" i="19"/>
  <c r="J145" i="1"/>
  <c r="L90" i="20"/>
  <c r="K116" i="12"/>
  <c r="H149" i="1"/>
  <c r="M91" i="19"/>
  <c r="N71" i="19"/>
  <c r="M79" i="19"/>
  <c r="H174" i="1"/>
  <c r="I125" i="1"/>
  <c r="Z107" i="20"/>
  <c r="N124" i="20"/>
  <c r="J10" i="19"/>
  <c r="L173" i="12"/>
  <c r="K79" i="20"/>
  <c r="N160" i="1"/>
  <c r="I75" i="19"/>
  <c r="I141" i="1"/>
  <c r="I21" i="9"/>
  <c r="I72" i="12"/>
  <c r="H28" i="1"/>
  <c r="I177" i="1"/>
  <c r="L165" i="19"/>
  <c r="N147" i="19"/>
  <c r="H83" i="1"/>
  <c r="W138" i="12"/>
  <c r="L173" i="1"/>
  <c r="M78" i="20"/>
  <c r="M53" i="12"/>
  <c r="I73" i="12"/>
  <c r="L147" i="19"/>
  <c r="M144" i="19"/>
  <c r="H139" i="1"/>
  <c r="I26" i="1"/>
  <c r="J130" i="12" s="1"/>
  <c r="K17" i="1"/>
  <c r="K31" i="1"/>
  <c r="L29" i="12" s="1"/>
  <c r="I9" i="12"/>
  <c r="H10" i="19"/>
  <c r="L25" i="20"/>
  <c r="I120" i="1"/>
  <c r="J175" i="12"/>
  <c r="N35" i="19"/>
  <c r="K72" i="12"/>
  <c r="I154" i="1"/>
  <c r="J114" i="12" s="1"/>
  <c r="H61" i="1"/>
  <c r="K84" i="19"/>
  <c r="I109" i="19"/>
  <c r="L184" i="1"/>
  <c r="I166" i="1"/>
  <c r="I151" i="1"/>
  <c r="J112" i="20" s="1"/>
  <c r="V16" i="12"/>
  <c r="N86" i="20"/>
  <c r="J83" i="12"/>
  <c r="L11" i="19"/>
  <c r="I35" i="19"/>
  <c r="Z16" i="20"/>
  <c r="M71" i="12"/>
  <c r="K140" i="1"/>
  <c r="L109" i="19" s="1"/>
  <c r="L186" i="1"/>
  <c r="M173" i="19" s="1"/>
  <c r="I51" i="1"/>
  <c r="I90" i="12"/>
  <c r="L121" i="20"/>
  <c r="J102" i="12"/>
  <c r="J77" i="12"/>
  <c r="L97" i="1"/>
  <c r="O91" i="19"/>
  <c r="O112" i="19"/>
  <c r="J80" i="1"/>
  <c r="N69" i="20"/>
  <c r="L123" i="1"/>
  <c r="K86" i="12"/>
  <c r="U107" i="12"/>
  <c r="O172" i="20"/>
  <c r="L171" i="20"/>
  <c r="L143" i="19"/>
  <c r="H173" i="1"/>
  <c r="I19" i="12"/>
  <c r="K74" i="19"/>
  <c r="D11" i="9"/>
  <c r="K41" i="1"/>
  <c r="I75" i="12"/>
  <c r="O74" i="20"/>
  <c r="J98" i="1"/>
  <c r="J124" i="19"/>
  <c r="X107" i="19"/>
  <c r="K147" i="12"/>
  <c r="K38" i="19"/>
  <c r="H150" i="1"/>
  <c r="K150" i="1"/>
  <c r="N8" i="20"/>
  <c r="J9" i="12"/>
  <c r="I9" i="20"/>
  <c r="M85" i="12"/>
  <c r="L108" i="1"/>
  <c r="J93" i="1"/>
  <c r="K124" i="1"/>
  <c r="I27" i="1"/>
  <c r="L112" i="1"/>
  <c r="X22" i="19"/>
  <c r="N120" i="20"/>
  <c r="J31" i="19"/>
  <c r="L128" i="1"/>
  <c r="X16" i="12"/>
  <c r="L141" i="1"/>
  <c r="N82" i="20"/>
  <c r="K128" i="1"/>
  <c r="J43" i="1"/>
  <c r="M29" i="20"/>
  <c r="L27" i="12"/>
  <c r="K24" i="12"/>
  <c r="K60" i="1"/>
  <c r="X127" i="19" s="1"/>
  <c r="M86" i="19"/>
  <c r="J186" i="1"/>
  <c r="Z127" i="19"/>
  <c r="U9" i="12"/>
  <c r="L172" i="1"/>
  <c r="I78" i="20"/>
  <c r="M57" i="20"/>
  <c r="I174" i="1"/>
  <c r="K156" i="1"/>
  <c r="M108" i="20"/>
  <c r="K72" i="19"/>
  <c r="K173" i="19"/>
  <c r="L120" i="20"/>
  <c r="J175" i="19"/>
  <c r="K24" i="20"/>
  <c r="J23" i="19"/>
  <c r="O172" i="19"/>
  <c r="U16" i="19"/>
  <c r="N31" i="20"/>
  <c r="I72" i="20"/>
  <c r="K75" i="19"/>
  <c r="K132" i="12"/>
  <c r="N78" i="19"/>
  <c r="O164" i="20"/>
  <c r="L118" i="1"/>
  <c r="J76" i="12"/>
  <c r="L84" i="1"/>
  <c r="U10" i="19"/>
  <c r="I63" i="20"/>
  <c r="J10" i="12"/>
  <c r="AA170" i="20"/>
  <c r="X42" i="12"/>
  <c r="J91" i="19"/>
  <c r="N83" i="19"/>
  <c r="Z138" i="20"/>
  <c r="O69" i="20"/>
  <c r="M121" i="20"/>
  <c r="O82" i="19"/>
  <c r="I70" i="20"/>
  <c r="I147" i="20"/>
  <c r="X16" i="19"/>
  <c r="J32" i="1"/>
  <c r="K92" i="20"/>
  <c r="I175" i="12"/>
  <c r="M86" i="12"/>
  <c r="M140" i="12"/>
  <c r="J86" i="19"/>
  <c r="I92" i="19"/>
  <c r="I80" i="19"/>
  <c r="O53" i="20"/>
  <c r="Y138" i="12"/>
  <c r="I38" i="1"/>
  <c r="V41" i="20" s="1"/>
  <c r="K102" i="1"/>
  <c r="J130" i="1"/>
  <c r="N63" i="20"/>
  <c r="N63" i="19"/>
  <c r="J97" i="1"/>
  <c r="L155" i="1"/>
  <c r="L89" i="1"/>
  <c r="M28" i="20" s="1"/>
  <c r="Y16" i="12"/>
  <c r="I109" i="1"/>
  <c r="J30" i="20" s="1"/>
  <c r="J112" i="1"/>
  <c r="AA48" i="20"/>
  <c r="I66" i="1"/>
  <c r="M70" i="12"/>
  <c r="N148" i="20"/>
  <c r="I11" i="19"/>
  <c r="K52" i="20"/>
  <c r="J187" i="1"/>
  <c r="M72" i="20"/>
  <c r="AA137" i="20"/>
  <c r="O71" i="19"/>
  <c r="K65" i="1"/>
  <c r="L63" i="19" s="1"/>
  <c r="I70" i="19"/>
  <c r="U9" i="19"/>
  <c r="K84" i="1"/>
  <c r="I37" i="12"/>
  <c r="U48" i="19"/>
  <c r="J28" i="1"/>
  <c r="K130" i="20" s="1"/>
  <c r="K154" i="1"/>
  <c r="J112" i="19"/>
  <c r="H179" i="1"/>
  <c r="I116" i="20"/>
  <c r="H108" i="1"/>
  <c r="L73" i="12"/>
  <c r="I148" i="20"/>
  <c r="K188" i="1"/>
  <c r="V41" i="19"/>
  <c r="M172" i="20"/>
  <c r="M10" i="20"/>
  <c r="I84" i="19"/>
  <c r="N7" i="20"/>
  <c r="I159" i="1"/>
  <c r="L36" i="1"/>
  <c r="J135" i="1"/>
  <c r="I69" i="1"/>
  <c r="I88" i="1"/>
  <c r="J75" i="20"/>
  <c r="N29" i="19"/>
  <c r="J9" i="20"/>
  <c r="U22" i="19"/>
  <c r="H43" i="1"/>
  <c r="J21" i="9"/>
  <c r="M9" i="20" s="1"/>
  <c r="K114" i="12"/>
  <c r="K120" i="19"/>
  <c r="M148" i="20"/>
  <c r="L26" i="20"/>
  <c r="I29" i="19"/>
  <c r="O7" i="20"/>
  <c r="J28" i="19"/>
  <c r="J71" i="19"/>
  <c r="L82" i="20"/>
  <c r="L76" i="19"/>
  <c r="M69" i="20"/>
  <c r="L102" i="1"/>
  <c r="M36" i="12" s="1"/>
  <c r="I173" i="12"/>
  <c r="I53" i="1"/>
  <c r="J148" i="20" s="1"/>
  <c r="K11" i="12"/>
  <c r="M29" i="19"/>
  <c r="J13" i="1"/>
  <c r="L23" i="20"/>
  <c r="N52" i="20"/>
  <c r="I172" i="1"/>
  <c r="N38" i="20"/>
  <c r="I146" i="1"/>
  <c r="M37" i="12"/>
  <c r="I31" i="19"/>
  <c r="H14" i="1"/>
  <c r="N75" i="20"/>
  <c r="I52" i="12"/>
  <c r="M12" i="19"/>
  <c r="H151" i="1"/>
  <c r="I178" i="1"/>
  <c r="J147" i="19" s="1"/>
  <c r="N18" i="20"/>
  <c r="J122" i="12"/>
  <c r="N36" i="19"/>
  <c r="J164" i="20"/>
  <c r="I115" i="19"/>
  <c r="J107" i="1"/>
  <c r="K174" i="1"/>
  <c r="L175" i="12"/>
  <c r="M174" i="19"/>
  <c r="K64" i="1"/>
  <c r="K66" i="1"/>
  <c r="I128" i="1"/>
  <c r="K21" i="9"/>
  <c r="N9" i="12" s="1"/>
  <c r="H109" i="1"/>
  <c r="J90" i="20"/>
  <c r="Y48" i="12"/>
  <c r="M80" i="12"/>
  <c r="J80" i="19"/>
  <c r="L169" i="1"/>
  <c r="M124" i="20" s="1"/>
  <c r="I77" i="12"/>
  <c r="M52" i="12"/>
  <c r="M82" i="19"/>
  <c r="J84" i="20"/>
  <c r="L171" i="19"/>
  <c r="J185" i="1"/>
  <c r="K172" i="12" s="1"/>
  <c r="P132" i="12"/>
  <c r="F20" i="25"/>
  <c r="H134" i="1"/>
  <c r="M72" i="12"/>
  <c r="H166" i="1"/>
  <c r="L144" i="1"/>
  <c r="H120" i="1"/>
  <c r="L155" i="12"/>
  <c r="J32" i="20"/>
  <c r="J85" i="20"/>
  <c r="K164" i="1"/>
  <c r="L115" i="12" s="1"/>
  <c r="J139" i="1"/>
  <c r="K109" i="12" s="1"/>
  <c r="H186" i="1"/>
  <c r="L79" i="12"/>
  <c r="I7" i="12"/>
  <c r="N25" i="20"/>
  <c r="H161" i="1"/>
  <c r="J188" i="1"/>
  <c r="K175" i="12" s="1"/>
  <c r="L112" i="12"/>
  <c r="X62" i="19"/>
  <c r="I81" i="20"/>
  <c r="L80" i="1"/>
  <c r="M38" i="19"/>
  <c r="I84" i="12"/>
  <c r="I63" i="12"/>
  <c r="M53" i="19"/>
  <c r="H11" i="12"/>
  <c r="I32" i="1"/>
  <c r="I165" i="1"/>
  <c r="J115" i="19" s="1"/>
  <c r="I10" i="12"/>
  <c r="I97" i="12"/>
  <c r="K18" i="12"/>
  <c r="L91" i="12"/>
  <c r="H9" i="12"/>
  <c r="N109" i="20"/>
  <c r="N122" i="20"/>
  <c r="O145" i="19"/>
  <c r="L97" i="12"/>
  <c r="L107" i="1"/>
  <c r="M30" i="12" s="1"/>
  <c r="H66" i="1"/>
  <c r="W170" i="19"/>
  <c r="J144" i="20"/>
  <c r="L85" i="20"/>
  <c r="I57" i="12"/>
  <c r="J150" i="1"/>
  <c r="L83" i="20"/>
  <c r="U138" i="12"/>
  <c r="K112" i="20"/>
  <c r="N92" i="19"/>
  <c r="J7" i="12"/>
  <c r="M75" i="12"/>
  <c r="I28" i="19"/>
  <c r="L83" i="19"/>
  <c r="L175" i="19"/>
  <c r="L103" i="1"/>
  <c r="K123" i="12"/>
  <c r="I69" i="12"/>
  <c r="K30" i="12"/>
  <c r="X128" i="19"/>
  <c r="K115" i="20"/>
  <c r="K63" i="20"/>
  <c r="L147" i="20"/>
  <c r="N116" i="19"/>
  <c r="O7" i="19"/>
  <c r="M9" i="19"/>
  <c r="I24" i="20"/>
  <c r="K26" i="1"/>
  <c r="J41" i="1"/>
  <c r="K121" i="20"/>
  <c r="L90" i="19"/>
  <c r="J161" i="1"/>
  <c r="O74" i="19"/>
  <c r="Y137" i="19"/>
  <c r="J7" i="19"/>
  <c r="H130" i="1"/>
  <c r="L125" i="1"/>
  <c r="J164" i="19"/>
  <c r="L109" i="12"/>
  <c r="L93" i="1"/>
  <c r="O109" i="20"/>
  <c r="M26" i="20"/>
  <c r="L21" i="9"/>
  <c r="I132" i="12"/>
  <c r="M69" i="12"/>
  <c r="J75" i="19"/>
  <c r="M161" i="1"/>
  <c r="K187" i="1"/>
  <c r="M108" i="12"/>
  <c r="N73" i="19"/>
  <c r="J165" i="12"/>
  <c r="L8" i="19"/>
  <c r="K108" i="1"/>
  <c r="L30" i="19" s="1"/>
  <c r="K109" i="1"/>
  <c r="M57" i="19"/>
  <c r="L81" i="20"/>
  <c r="N53" i="19"/>
  <c r="M85" i="20"/>
  <c r="J160" i="1"/>
  <c r="K116" i="19" s="1"/>
  <c r="Y42" i="19"/>
  <c r="M82" i="12"/>
  <c r="H12" i="20"/>
  <c r="M28" i="12"/>
  <c r="Z138" i="19"/>
  <c r="O63" i="19"/>
  <c r="L46" i="1"/>
  <c r="J12" i="12"/>
  <c r="L178" i="1"/>
  <c r="M147" i="19" s="1"/>
  <c r="I186" i="1"/>
  <c r="O165" i="20"/>
  <c r="N123" i="20"/>
  <c r="I42" i="1"/>
  <c r="V128" i="19" s="1"/>
  <c r="K35" i="19"/>
  <c r="N80" i="19"/>
  <c r="M77" i="19"/>
  <c r="M82" i="20"/>
  <c r="I140" i="1"/>
  <c r="J109" i="19" s="1"/>
  <c r="O38" i="19"/>
  <c r="J115" i="20"/>
  <c r="L73" i="1"/>
  <c r="J155" i="12"/>
  <c r="I53" i="19"/>
  <c r="L165" i="12"/>
  <c r="H135" i="1"/>
  <c r="I135" i="1"/>
  <c r="J108" i="19" s="1"/>
  <c r="I52" i="1"/>
  <c r="J148" i="19" s="1"/>
  <c r="M153" i="12"/>
  <c r="N24" i="20"/>
  <c r="K47" i="1"/>
  <c r="O12" i="20"/>
  <c r="H98" i="1"/>
  <c r="I32" i="19" s="1"/>
  <c r="M85" i="19"/>
  <c r="N109" i="19"/>
  <c r="V170" i="12"/>
  <c r="H164" i="1"/>
  <c r="U141" i="12"/>
  <c r="L41" i="1"/>
  <c r="M147" i="20"/>
  <c r="O8" i="12"/>
  <c r="J38" i="12"/>
  <c r="K169" i="1"/>
  <c r="L124" i="20" s="1"/>
  <c r="F11" i="9"/>
  <c r="H22" i="9"/>
  <c r="J38" i="20"/>
  <c r="M57" i="12"/>
  <c r="O164" i="19"/>
  <c r="J63" i="19"/>
  <c r="Y62" i="19"/>
  <c r="J28" i="20"/>
  <c r="Z137" i="19"/>
  <c r="I169" i="1"/>
  <c r="K173" i="20"/>
  <c r="N12" i="20"/>
  <c r="I184" i="1"/>
  <c r="O37" i="20"/>
  <c r="N173" i="19"/>
  <c r="O10" i="19"/>
  <c r="H20" i="9"/>
  <c r="L37" i="20"/>
  <c r="X41" i="12"/>
  <c r="H52" i="1"/>
  <c r="O18" i="20"/>
  <c r="L31" i="12"/>
  <c r="M8" i="12"/>
  <c r="X48" i="20"/>
  <c r="M123" i="20"/>
  <c r="O75" i="19"/>
  <c r="N10" i="20"/>
  <c r="X22" i="12"/>
  <c r="K116" i="20"/>
  <c r="N116" i="20"/>
  <c r="J24" i="19"/>
  <c r="J171" i="19"/>
  <c r="M9" i="12"/>
  <c r="M112" i="19"/>
  <c r="L63" i="20"/>
  <c r="I28" i="1"/>
  <c r="J130" i="20" s="1"/>
  <c r="J88" i="1"/>
  <c r="K28" i="19" s="1"/>
  <c r="J30" i="12"/>
  <c r="K7" i="12"/>
  <c r="Y138" i="19"/>
  <c r="L35" i="20"/>
  <c r="K27" i="12"/>
  <c r="N30" i="19"/>
  <c r="L92" i="12"/>
  <c r="L83" i="1"/>
  <c r="U12" i="12"/>
  <c r="K124" i="19"/>
  <c r="W41" i="12"/>
  <c r="AA127" i="19"/>
  <c r="I80" i="20"/>
  <c r="I26" i="19"/>
  <c r="N37" i="20"/>
  <c r="K63" i="12"/>
  <c r="L146" i="1"/>
  <c r="J26" i="12"/>
  <c r="H36" i="1"/>
  <c r="M123" i="19"/>
  <c r="I24" i="12"/>
  <c r="I83" i="1"/>
  <c r="J51" i="1"/>
  <c r="K148" i="12" s="1"/>
  <c r="K142" i="12"/>
  <c r="H187" i="1"/>
  <c r="L123" i="20"/>
  <c r="J124" i="20"/>
  <c r="M8" i="19"/>
  <c r="U111" i="19"/>
  <c r="O8" i="20"/>
  <c r="K109" i="20"/>
  <c r="X170" i="19"/>
  <c r="N11" i="19"/>
  <c r="K129" i="1"/>
  <c r="I98" i="1"/>
  <c r="J32" i="19" s="1"/>
  <c r="N25" i="19"/>
  <c r="O72" i="19"/>
  <c r="P124" i="19"/>
  <c r="AA141" i="20"/>
  <c r="J165" i="20"/>
  <c r="N71" i="20"/>
  <c r="K107" i="1"/>
  <c r="K134" i="1"/>
  <c r="K75" i="1"/>
  <c r="L132" i="20" s="1"/>
  <c r="L70" i="1"/>
  <c r="I31" i="1"/>
  <c r="J29" i="12" s="1"/>
  <c r="N75" i="19"/>
  <c r="N30" i="20"/>
  <c r="L74" i="20"/>
  <c r="I171" i="12"/>
  <c r="L70" i="20"/>
  <c r="L12" i="12"/>
  <c r="O9" i="19"/>
  <c r="L77" i="20"/>
  <c r="I114" i="12"/>
  <c r="I35" i="12"/>
  <c r="I10" i="20"/>
  <c r="L73" i="20"/>
  <c r="J172" i="12"/>
  <c r="O123" i="20"/>
  <c r="H12" i="19"/>
  <c r="I161" i="1"/>
  <c r="K73" i="1"/>
  <c r="N84" i="20"/>
  <c r="O19" i="19"/>
  <c r="W16" i="12"/>
  <c r="I12" i="19"/>
  <c r="O173" i="19"/>
  <c r="J120" i="19"/>
  <c r="W128" i="19"/>
  <c r="P34" i="12"/>
  <c r="K53" i="12"/>
  <c r="H21" i="9"/>
  <c r="M7" i="19"/>
  <c r="O76" i="20"/>
  <c r="O70" i="20"/>
  <c r="I9" i="19"/>
  <c r="K103" i="1"/>
  <c r="K109" i="19"/>
  <c r="E15" i="22"/>
  <c r="I33" i="1"/>
  <c r="J153" i="12"/>
  <c r="L73" i="19"/>
  <c r="J29" i="20"/>
  <c r="W137" i="12"/>
  <c r="I114" i="19"/>
  <c r="K71" i="19"/>
  <c r="M24" i="19"/>
  <c r="L92" i="1"/>
  <c r="M31" i="12" s="1"/>
  <c r="M78" i="19"/>
  <c r="J35" i="19"/>
  <c r="K174" i="19"/>
  <c r="AA138" i="20"/>
  <c r="J26" i="19"/>
  <c r="K53" i="19"/>
  <c r="J25" i="12"/>
  <c r="M174" i="12"/>
  <c r="N8" i="12"/>
  <c r="L172" i="19"/>
  <c r="K130" i="12"/>
  <c r="J23" i="20"/>
  <c r="F9" i="9"/>
  <c r="I122" i="12"/>
  <c r="L52" i="20"/>
  <c r="I148" i="12"/>
  <c r="N74" i="19"/>
  <c r="AA16" i="19"/>
  <c r="I123" i="20"/>
  <c r="O116" i="20"/>
  <c r="K91" i="12"/>
  <c r="AA42" i="19"/>
  <c r="W62" i="12"/>
  <c r="H15" i="22"/>
  <c r="O11" i="20"/>
  <c r="L181" i="1"/>
  <c r="I20" i="9"/>
  <c r="AA62" i="20"/>
  <c r="W22" i="12"/>
  <c r="N108" i="19"/>
  <c r="O92" i="19"/>
  <c r="L37" i="1"/>
  <c r="H11" i="20"/>
  <c r="L121" i="12"/>
  <c r="I112" i="1"/>
  <c r="L130" i="12"/>
  <c r="N38" i="19"/>
  <c r="K11" i="20"/>
  <c r="O124" i="20"/>
  <c r="L172" i="20"/>
  <c r="K81" i="20"/>
  <c r="I123" i="1"/>
  <c r="N37" i="19"/>
  <c r="L108" i="12"/>
  <c r="K9" i="12"/>
  <c r="J134" i="1"/>
  <c r="K108" i="12" s="1"/>
  <c r="O121" i="20"/>
  <c r="X62" i="12"/>
  <c r="N69" i="19"/>
  <c r="L27" i="20"/>
  <c r="AA16" i="20"/>
  <c r="H26" i="1"/>
  <c r="O130" i="20"/>
  <c r="I112" i="20"/>
  <c r="L52" i="1"/>
  <c r="I152" i="12"/>
  <c r="O145" i="20"/>
  <c r="O30" i="20"/>
  <c r="N82" i="19"/>
  <c r="F87" i="12"/>
  <c r="I7" i="20"/>
  <c r="K82" i="20"/>
  <c r="L149" i="1"/>
  <c r="J146" i="1"/>
  <c r="L51" i="1"/>
  <c r="F87" i="19"/>
  <c r="K76" i="20"/>
  <c r="I30" i="12"/>
  <c r="I29" i="20"/>
  <c r="N19" i="20"/>
  <c r="L99" i="1"/>
  <c r="M173" i="12"/>
  <c r="K173" i="12"/>
  <c r="V42" i="12"/>
  <c r="J12" i="20"/>
  <c r="K38" i="12"/>
  <c r="O52" i="19"/>
  <c r="M32" i="20"/>
  <c r="I77" i="19"/>
  <c r="L75" i="19"/>
  <c r="I23" i="12"/>
  <c r="L7" i="12"/>
  <c r="L23" i="12"/>
  <c r="J65" i="1"/>
  <c r="J103" i="1"/>
  <c r="M172" i="19"/>
  <c r="K97" i="12"/>
  <c r="N85" i="20"/>
  <c r="I75" i="20"/>
  <c r="O27" i="19"/>
  <c r="J52" i="1"/>
  <c r="K14" i="1"/>
  <c r="L63" i="12"/>
  <c r="N24" i="19"/>
  <c r="L26" i="12"/>
  <c r="L148" i="12"/>
  <c r="L164" i="1"/>
  <c r="M115" i="12" s="1"/>
  <c r="I148" i="19"/>
  <c r="X41" i="19"/>
  <c r="W128" i="20"/>
  <c r="I25" i="19"/>
  <c r="O29" i="20"/>
  <c r="K59" i="1"/>
  <c r="X127" i="12" s="1"/>
  <c r="I181" i="1"/>
  <c r="K99" i="1"/>
  <c r="O10" i="20"/>
  <c r="I71" i="12"/>
  <c r="N144" i="20"/>
  <c r="I143" i="12"/>
  <c r="M8" i="20"/>
  <c r="J74" i="19"/>
  <c r="J75" i="12"/>
  <c r="Y128" i="12"/>
  <c r="O85" i="20"/>
  <c r="X128" i="20"/>
  <c r="L77" i="19"/>
  <c r="AA128" i="19"/>
  <c r="I132" i="19"/>
  <c r="K98" i="1"/>
  <c r="L32" i="19" s="1"/>
  <c r="I25" i="20"/>
  <c r="H144" i="1"/>
  <c r="K172" i="1"/>
  <c r="L144" i="12" s="1"/>
  <c r="H94" i="1"/>
  <c r="I31" i="20" s="1"/>
  <c r="L104" i="1"/>
  <c r="M36" i="20" s="1"/>
  <c r="J60" i="1"/>
  <c r="W127" i="19" s="1"/>
  <c r="K165" i="12"/>
  <c r="L12" i="20"/>
  <c r="J164" i="12"/>
  <c r="I174" i="12"/>
  <c r="K164" i="12"/>
  <c r="K24" i="19"/>
  <c r="O175" i="19"/>
  <c r="O53" i="19"/>
  <c r="O115" i="19"/>
  <c r="K141" i="1"/>
  <c r="K71" i="20"/>
  <c r="Y62" i="12"/>
  <c r="K38" i="20"/>
  <c r="I31" i="12"/>
  <c r="L84" i="12"/>
  <c r="L74" i="1"/>
  <c r="M132" i="19" s="1"/>
  <c r="N11" i="20"/>
  <c r="M83" i="19"/>
  <c r="M91" i="12"/>
  <c r="N86" i="19"/>
  <c r="N90" i="20"/>
  <c r="J11" i="19"/>
  <c r="X62" i="20"/>
  <c r="I82" i="20"/>
  <c r="Y107" i="19"/>
  <c r="L28" i="1"/>
  <c r="M130" i="20" s="1"/>
  <c r="O10" i="12"/>
  <c r="K11" i="19"/>
  <c r="N18" i="19"/>
  <c r="Y128" i="19"/>
  <c r="H41" i="1"/>
  <c r="J147" i="12"/>
  <c r="M120" i="19"/>
  <c r="I41" i="1"/>
  <c r="J86" i="12"/>
  <c r="D10" i="9"/>
  <c r="L120" i="12"/>
  <c r="H177" i="1"/>
  <c r="K97" i="1"/>
  <c r="H115" i="1"/>
  <c r="J37" i="1"/>
  <c r="W41" i="19" s="1"/>
  <c r="Z128" i="19"/>
  <c r="P121" i="12"/>
  <c r="L38" i="12"/>
  <c r="K57" i="20"/>
  <c r="J116" i="20"/>
  <c r="L38" i="19"/>
  <c r="K35" i="20"/>
  <c r="J172" i="19"/>
  <c r="I59" i="1"/>
  <c r="V127" i="12" s="1"/>
  <c r="L71" i="20"/>
  <c r="O124" i="19"/>
  <c r="W48" i="12"/>
  <c r="O144" i="19"/>
  <c r="K52" i="1"/>
  <c r="L148" i="19" s="1"/>
  <c r="M30" i="19"/>
  <c r="H31" i="1"/>
  <c r="I27" i="12" s="1"/>
  <c r="K25" i="20"/>
  <c r="K164" i="20"/>
  <c r="L79" i="20"/>
  <c r="W141" i="19"/>
  <c r="J184" i="1"/>
  <c r="K171" i="12" s="1"/>
  <c r="J37" i="20"/>
  <c r="K104" i="1"/>
  <c r="L36" i="20" s="1"/>
  <c r="K85" i="19"/>
  <c r="N70" i="20"/>
  <c r="H9" i="20"/>
  <c r="Y127" i="12"/>
  <c r="K10" i="20"/>
  <c r="I155" i="12"/>
  <c r="K97" i="20"/>
  <c r="L47" i="1"/>
  <c r="M97" i="19" s="1"/>
  <c r="L75" i="12"/>
  <c r="K130" i="19"/>
  <c r="K175" i="20"/>
  <c r="L90" i="12"/>
  <c r="K75" i="20"/>
  <c r="M79" i="20"/>
  <c r="M74" i="12"/>
  <c r="U48" i="12"/>
  <c r="Y127" i="19"/>
  <c r="L80" i="12"/>
  <c r="O146" i="19"/>
  <c r="U141" i="19"/>
  <c r="L66" i="1"/>
  <c r="L82" i="19"/>
  <c r="F22" i="9"/>
  <c r="J121" i="12"/>
  <c r="N164" i="19"/>
  <c r="I97" i="1"/>
  <c r="J32" i="12" s="1"/>
  <c r="J120" i="12"/>
  <c r="K175" i="19"/>
  <c r="K143" i="12"/>
  <c r="H64" i="1"/>
  <c r="J172" i="20"/>
  <c r="L122" i="20"/>
  <c r="L135" i="1"/>
  <c r="M108" i="19" s="1"/>
  <c r="J152" i="12"/>
  <c r="P135" i="12"/>
  <c r="U62" i="12"/>
  <c r="L77" i="12"/>
  <c r="I57" i="19"/>
  <c r="I26" i="20"/>
  <c r="I94" i="1"/>
  <c r="I60" i="1"/>
  <c r="V127" i="19" s="1"/>
  <c r="O148" i="19"/>
  <c r="I23" i="20"/>
  <c r="L35" i="19"/>
  <c r="M38" i="12"/>
  <c r="L102" i="12"/>
  <c r="M97" i="12"/>
  <c r="K83" i="20"/>
  <c r="O52" i="20"/>
  <c r="I92" i="12"/>
  <c r="M63" i="12"/>
  <c r="M73" i="20"/>
  <c r="L65" i="1"/>
  <c r="M63" i="19" s="1"/>
  <c r="I24" i="19"/>
  <c r="L23" i="19"/>
  <c r="K8" i="12"/>
  <c r="H155" i="1"/>
  <c r="I74" i="20"/>
  <c r="U127" i="12"/>
  <c r="H146" i="1"/>
  <c r="M115" i="19"/>
  <c r="K8" i="19"/>
  <c r="N76" i="19"/>
  <c r="L139" i="1"/>
  <c r="M109" i="12" s="1"/>
  <c r="I47" i="1"/>
  <c r="J97" i="19" s="1"/>
  <c r="N9" i="19"/>
  <c r="N114" i="20"/>
  <c r="J94" i="1"/>
  <c r="K31" i="20" s="1"/>
  <c r="I85" i="19"/>
  <c r="W128" i="12"/>
  <c r="I52" i="20"/>
  <c r="W16" i="19"/>
  <c r="K53" i="1"/>
  <c r="L148" i="20" s="1"/>
  <c r="I91" i="19"/>
  <c r="J149" i="1"/>
  <c r="K112" i="12" s="1"/>
  <c r="Z127" i="20"/>
  <c r="L175" i="20"/>
  <c r="L27" i="19"/>
  <c r="Z111" i="19"/>
  <c r="K144" i="20"/>
  <c r="J71" i="20"/>
  <c r="M92" i="19"/>
  <c r="J178" i="1"/>
  <c r="K147" i="19" s="1"/>
  <c r="O114" i="19"/>
  <c r="K171" i="20"/>
  <c r="AA127" i="20"/>
  <c r="M35" i="12"/>
  <c r="M154" i="12"/>
  <c r="K86" i="20"/>
  <c r="I25" i="12"/>
  <c r="M10" i="19"/>
  <c r="N132" i="19"/>
  <c r="Z107" i="19"/>
  <c r="P130" i="12"/>
  <c r="L9" i="12"/>
  <c r="J73" i="12"/>
  <c r="I103" i="1"/>
  <c r="J36" i="19" s="1"/>
  <c r="H119" i="1"/>
  <c r="I37" i="19" s="1"/>
  <c r="L7" i="19"/>
  <c r="J155" i="1"/>
  <c r="K114" i="19" s="1"/>
  <c r="L94" i="1"/>
  <c r="M31" i="20" s="1"/>
  <c r="K165" i="1"/>
  <c r="L115" i="19" s="1"/>
  <c r="I73" i="20"/>
  <c r="L69" i="1"/>
  <c r="I102" i="1"/>
  <c r="J36" i="12" s="1"/>
  <c r="I115" i="20"/>
  <c r="O82" i="20"/>
  <c r="N175" i="20"/>
  <c r="I149" i="1"/>
  <c r="J112" i="12" s="1"/>
  <c r="X111" i="12"/>
  <c r="O97" i="19"/>
  <c r="N171" i="19"/>
  <c r="L173" i="20"/>
  <c r="O31" i="20"/>
  <c r="I74" i="1"/>
  <c r="J132" i="19" s="1"/>
  <c r="O35" i="19"/>
  <c r="K30" i="20"/>
  <c r="K80" i="12"/>
  <c r="I79" i="19"/>
  <c r="K26" i="12"/>
  <c r="K32" i="20"/>
  <c r="K125" i="1"/>
  <c r="K144" i="12"/>
  <c r="O132" i="20"/>
  <c r="N165" i="20"/>
  <c r="N121" i="20"/>
  <c r="I63" i="19"/>
  <c r="K8" i="20"/>
  <c r="M144" i="20"/>
  <c r="M144" i="12"/>
  <c r="L25" i="12"/>
  <c r="K90" i="12"/>
  <c r="O71" i="20"/>
  <c r="M90" i="20"/>
  <c r="M35" i="20"/>
  <c r="I164" i="1"/>
  <c r="I71" i="19"/>
  <c r="M174" i="20"/>
  <c r="I15" i="22"/>
  <c r="M143" i="12"/>
  <c r="L154" i="1"/>
  <c r="M114" i="12" s="1"/>
  <c r="N35" i="20"/>
  <c r="J84" i="12"/>
  <c r="J164" i="1"/>
  <c r="K115" i="12" s="1"/>
  <c r="N84" i="19"/>
  <c r="I12" i="12"/>
  <c r="K72" i="20"/>
  <c r="I81" i="19"/>
  <c r="K7" i="19"/>
  <c r="I21" i="1"/>
  <c r="O29" i="19"/>
  <c r="K108" i="20"/>
  <c r="M172" i="12"/>
  <c r="N173" i="20"/>
  <c r="I35" i="20"/>
  <c r="K7" i="20"/>
  <c r="I122" i="19"/>
  <c r="I48" i="1"/>
  <c r="J97" i="20" s="1"/>
  <c r="M148" i="19"/>
  <c r="J83" i="19"/>
  <c r="L36" i="12"/>
  <c r="J79" i="19"/>
  <c r="I32" i="20"/>
  <c r="K10" i="19"/>
  <c r="D12" i="9"/>
  <c r="J69" i="1"/>
  <c r="K123" i="20"/>
  <c r="K108" i="19"/>
  <c r="I108" i="12"/>
  <c r="K28" i="12"/>
  <c r="H9" i="19"/>
  <c r="K148" i="20"/>
  <c r="Y137" i="12"/>
  <c r="J92" i="20"/>
  <c r="L27" i="1"/>
  <c r="L8" i="20"/>
  <c r="J63" i="20"/>
  <c r="K78" i="12"/>
  <c r="H104" i="1"/>
  <c r="I36" i="20" s="1"/>
  <c r="O72" i="20"/>
  <c r="M74" i="19"/>
  <c r="U128" i="20"/>
  <c r="O147" i="19"/>
  <c r="N23" i="19"/>
  <c r="U22" i="12"/>
  <c r="H185" i="1"/>
  <c r="L69" i="19"/>
  <c r="K152" i="12"/>
  <c r="L38" i="20"/>
  <c r="L31" i="19"/>
  <c r="I37" i="20"/>
  <c r="I187" i="1"/>
  <c r="AA22" i="20"/>
  <c r="M19" i="12"/>
  <c r="K73" i="12"/>
  <c r="J53" i="12"/>
  <c r="J30" i="19"/>
  <c r="J57" i="20"/>
  <c r="K70" i="12"/>
  <c r="O26" i="19"/>
  <c r="J23" i="12"/>
  <c r="H20" i="1"/>
  <c r="I79" i="12"/>
  <c r="K48" i="1"/>
  <c r="L97" i="20" s="1"/>
  <c r="J124" i="12"/>
  <c r="I91" i="20"/>
  <c r="O37" i="19"/>
  <c r="H59" i="1"/>
  <c r="O174" i="20"/>
  <c r="K166" i="1"/>
  <c r="K20" i="1"/>
  <c r="J89" i="1"/>
  <c r="K28" i="20" s="1"/>
  <c r="N28" i="20"/>
  <c r="H11" i="19"/>
  <c r="K61" i="1"/>
  <c r="I144" i="1"/>
  <c r="J143" i="12" s="1"/>
  <c r="U10" i="12"/>
  <c r="M86" i="20"/>
  <c r="H70" i="1"/>
  <c r="J74" i="12"/>
  <c r="V128" i="20"/>
  <c r="K172" i="20"/>
  <c r="M18" i="12"/>
  <c r="I144" i="20"/>
  <c r="J123" i="1"/>
  <c r="M71" i="20"/>
  <c r="J116" i="19"/>
  <c r="K97" i="19"/>
  <c r="O81" i="20"/>
  <c r="N78" i="20"/>
  <c r="M114" i="20"/>
  <c r="H10" i="12"/>
  <c r="J84" i="19"/>
  <c r="L79" i="19"/>
  <c r="U7" i="19"/>
  <c r="L164" i="19"/>
  <c r="W111" i="19"/>
  <c r="K25" i="12"/>
  <c r="X48" i="19"/>
  <c r="G22" i="9"/>
  <c r="O84" i="20"/>
  <c r="V127" i="20"/>
  <c r="Y41" i="12"/>
  <c r="L32" i="12"/>
  <c r="M143" i="19"/>
  <c r="M164" i="12"/>
  <c r="L114" i="20"/>
  <c r="I32" i="12"/>
  <c r="L36" i="19"/>
  <c r="L115" i="20"/>
  <c r="L30" i="12"/>
  <c r="M143" i="20"/>
  <c r="M109" i="20"/>
  <c r="L143" i="12"/>
  <c r="L8" i="12"/>
  <c r="N116" i="12"/>
  <c r="J24" i="12"/>
  <c r="N9" i="20"/>
  <c r="L164" i="12"/>
  <c r="L144" i="20"/>
  <c r="K31" i="19"/>
  <c r="X127" i="20"/>
  <c r="K148" i="19"/>
  <c r="L97" i="19"/>
  <c r="J35" i="20"/>
  <c r="L132" i="12"/>
  <c r="M32" i="12"/>
  <c r="K171" i="19"/>
  <c r="M112" i="20"/>
  <c r="J144" i="12"/>
  <c r="M112" i="12"/>
  <c r="J174" i="20"/>
  <c r="K144" i="19"/>
  <c r="M24" i="20"/>
  <c r="L57" i="20"/>
  <c r="J97" i="12"/>
  <c r="J132" i="12"/>
  <c r="K27" i="20"/>
  <c r="M130" i="12"/>
  <c r="K37" i="12"/>
  <c r="K143" i="19"/>
  <c r="L130" i="19"/>
  <c r="M29" i="12"/>
  <c r="K147" i="20"/>
  <c r="K143" i="20"/>
  <c r="K112" i="19"/>
  <c r="K57" i="19"/>
  <c r="J26" i="20"/>
  <c r="J143" i="19"/>
  <c r="M36" i="19"/>
  <c r="I28" i="20"/>
  <c r="L164" i="20"/>
  <c r="M63" i="20"/>
  <c r="L108" i="19"/>
  <c r="M148" i="12"/>
  <c r="M114" i="19"/>
  <c r="M173" i="20"/>
  <c r="I36" i="12"/>
  <c r="M132" i="12"/>
  <c r="L114" i="12"/>
  <c r="K172" i="19"/>
  <c r="L29" i="19"/>
  <c r="L28" i="20"/>
  <c r="J115" i="12"/>
  <c r="L109" i="20"/>
  <c r="L57" i="19"/>
  <c r="L174" i="12"/>
  <c r="L112" i="19"/>
  <c r="J144" i="19"/>
  <c r="J57" i="19"/>
  <c r="J31" i="20"/>
  <c r="J31" i="12"/>
  <c r="M31" i="19"/>
  <c r="M37" i="20"/>
  <c r="L31" i="20"/>
  <c r="J27" i="12"/>
  <c r="M147" i="12"/>
  <c r="K37" i="19"/>
  <c r="L130" i="20"/>
  <c r="K115" i="19"/>
  <c r="J109" i="20"/>
  <c r="X128" i="12"/>
  <c r="O116" i="19"/>
  <c r="I29" i="12"/>
  <c r="K63" i="19"/>
  <c r="M38" i="20"/>
  <c r="K132" i="19"/>
  <c r="U10" i="20"/>
  <c r="H10" i="20"/>
  <c r="M10" i="12"/>
  <c r="U11" i="19"/>
  <c r="J10" i="20"/>
  <c r="L9" i="19"/>
  <c r="L9" i="20"/>
  <c r="M171" i="20"/>
  <c r="M171" i="12"/>
  <c r="M171" i="19"/>
  <c r="K23" i="20"/>
  <c r="K23" i="19"/>
  <c r="K23" i="12"/>
  <c r="M26" i="19"/>
  <c r="K29" i="19"/>
  <c r="K27" i="19"/>
  <c r="K174" i="20"/>
  <c r="K174" i="12"/>
  <c r="M23" i="20"/>
  <c r="M23" i="12"/>
  <c r="M23" i="19"/>
  <c r="G15" i="22"/>
  <c r="M24" i="12"/>
  <c r="J27" i="19"/>
  <c r="J29" i="19"/>
  <c r="O9" i="20"/>
  <c r="O9" i="12"/>
  <c r="L174" i="20"/>
  <c r="L174" i="19"/>
  <c r="J173" i="19"/>
  <c r="J173" i="20"/>
  <c r="H8" i="12"/>
  <c r="U8" i="12"/>
  <c r="H8" i="19"/>
  <c r="H8" i="20"/>
  <c r="U8" i="20"/>
  <c r="U8" i="19"/>
  <c r="J171" i="20"/>
  <c r="J171" i="12"/>
  <c r="K10" i="12"/>
  <c r="M25" i="12"/>
  <c r="M25" i="19"/>
  <c r="M25" i="20"/>
  <c r="J25" i="19"/>
  <c r="J25" i="20"/>
  <c r="K9" i="19"/>
  <c r="K9" i="20"/>
  <c r="U7" i="20"/>
  <c r="H7" i="12"/>
  <c r="U7" i="12"/>
  <c r="H7" i="19"/>
  <c r="H7" i="20"/>
  <c r="L10" i="19"/>
  <c r="L7" i="20"/>
  <c r="L10" i="20"/>
  <c r="L10" i="12"/>
  <c r="L24" i="20"/>
  <c r="L24" i="19"/>
  <c r="L24" i="12"/>
  <c r="I38" i="12"/>
  <c r="I38" i="19"/>
  <c r="I8" i="12"/>
  <c r="I8" i="20"/>
  <c r="I8" i="19"/>
  <c r="J174" i="19"/>
  <c r="J174" i="12"/>
  <c r="J8" i="12"/>
  <c r="J8" i="20"/>
  <c r="V174" i="19" l="1"/>
  <c r="X44" i="20"/>
  <c r="V7" i="12"/>
  <c r="U24" i="20"/>
  <c r="U29" i="20"/>
  <c r="U26" i="20"/>
  <c r="U32" i="20"/>
  <c r="U23" i="20"/>
  <c r="U63" i="20"/>
  <c r="V7" i="20"/>
  <c r="U25" i="20"/>
  <c r="U35" i="20"/>
  <c r="U31" i="20"/>
  <c r="U28" i="20"/>
  <c r="V171" i="12"/>
  <c r="V171" i="20"/>
  <c r="V8" i="20"/>
  <c r="V8" i="12"/>
  <c r="W8" i="12" s="1"/>
  <c r="X8" i="12" s="1"/>
  <c r="Y8" i="12" s="1"/>
  <c r="Z8" i="12" s="1"/>
  <c r="AA8" i="12" s="1"/>
  <c r="V173" i="20"/>
  <c r="V173" i="19"/>
  <c r="J56" i="21"/>
  <c r="G9" i="22"/>
  <c r="W174" i="20"/>
  <c r="H13" i="24"/>
  <c r="Y171" i="19"/>
  <c r="Y171" i="12"/>
  <c r="Y171" i="20"/>
  <c r="V11" i="19"/>
  <c r="U83" i="19" s="1"/>
  <c r="U13" i="19"/>
  <c r="V10" i="20"/>
  <c r="U36" i="20"/>
  <c r="M149" i="12"/>
  <c r="D15" i="24"/>
  <c r="V144" i="19"/>
  <c r="X112" i="19"/>
  <c r="M129" i="20"/>
  <c r="L166" i="20"/>
  <c r="V143" i="19"/>
  <c r="W112" i="19"/>
  <c r="W143" i="20"/>
  <c r="K149" i="20"/>
  <c r="W149" i="20" s="1"/>
  <c r="V174" i="20"/>
  <c r="Y112" i="12"/>
  <c r="Y112" i="20"/>
  <c r="W171" i="19"/>
  <c r="L166" i="12"/>
  <c r="M166" i="12"/>
  <c r="Y43" i="12"/>
  <c r="L166" i="19"/>
  <c r="U23" i="19"/>
  <c r="U31" i="19"/>
  <c r="U28" i="19"/>
  <c r="U32" i="19"/>
  <c r="U35" i="19"/>
  <c r="U29" i="19"/>
  <c r="U26" i="19"/>
  <c r="U25" i="19"/>
  <c r="V7" i="19"/>
  <c r="U63" i="19"/>
  <c r="U27" i="19"/>
  <c r="U38" i="19"/>
  <c r="U24" i="19"/>
  <c r="U144" i="20"/>
  <c r="Y18" i="12"/>
  <c r="W172" i="20"/>
  <c r="V10" i="12"/>
  <c r="H12" i="24"/>
  <c r="I12" i="24"/>
  <c r="P4" i="24" s="1"/>
  <c r="I4" i="24"/>
  <c r="Y19" i="12"/>
  <c r="L133" i="19"/>
  <c r="O149" i="19"/>
  <c r="V92" i="20"/>
  <c r="W123" i="20"/>
  <c r="V97" i="20"/>
  <c r="U122" i="19"/>
  <c r="W44" i="20"/>
  <c r="W44" i="19"/>
  <c r="I9" i="22"/>
  <c r="D23" i="24"/>
  <c r="M134" i="20"/>
  <c r="B21" i="24"/>
  <c r="K134" i="12"/>
  <c r="J13" i="24"/>
  <c r="Q5" i="24" s="1"/>
  <c r="J5" i="24"/>
  <c r="V132" i="19"/>
  <c r="Z171" i="19"/>
  <c r="V112" i="12"/>
  <c r="U115" i="20"/>
  <c r="X44" i="19"/>
  <c r="W171" i="20"/>
  <c r="K149" i="19"/>
  <c r="Y92" i="19"/>
  <c r="W144" i="20"/>
  <c r="W112" i="12"/>
  <c r="W17" i="19"/>
  <c r="X17" i="19" s="1"/>
  <c r="Y17" i="19" s="1"/>
  <c r="Z17" i="19" s="1"/>
  <c r="AA17" i="19" s="1"/>
  <c r="M129" i="19"/>
  <c r="U92" i="12"/>
  <c r="V172" i="20"/>
  <c r="N166" i="19"/>
  <c r="U145" i="19"/>
  <c r="U153" i="19"/>
  <c r="U152" i="19"/>
  <c r="U173" i="19"/>
  <c r="U172" i="19"/>
  <c r="U155" i="19"/>
  <c r="U175" i="19"/>
  <c r="U142" i="19"/>
  <c r="U146" i="19"/>
  <c r="U154" i="19"/>
  <c r="U174" i="19"/>
  <c r="U171" i="19"/>
  <c r="AA146" i="19"/>
  <c r="B22" i="24"/>
  <c r="L134" i="12"/>
  <c r="W175" i="20"/>
  <c r="U155" i="12"/>
  <c r="W171" i="12"/>
  <c r="W146" i="19"/>
  <c r="K166" i="20"/>
  <c r="I15" i="24"/>
  <c r="P7" i="24" s="1"/>
  <c r="I7" i="24"/>
  <c r="V172" i="19"/>
  <c r="V116" i="20"/>
  <c r="W43" i="19"/>
  <c r="Z18" i="19"/>
  <c r="W46" i="19"/>
  <c r="V46" i="19"/>
  <c r="V47" i="19" s="1"/>
  <c r="W47" i="19" s="1"/>
  <c r="N134" i="20"/>
  <c r="Z46" i="20"/>
  <c r="K166" i="12"/>
  <c r="U174" i="12"/>
  <c r="J166" i="12"/>
  <c r="U132" i="19"/>
  <c r="U143" i="12"/>
  <c r="I40" i="21"/>
  <c r="X43" i="19"/>
  <c r="L129" i="12"/>
  <c r="H14" i="24"/>
  <c r="X44" i="12"/>
  <c r="H11" i="24"/>
  <c r="Z19" i="20"/>
  <c r="U44" i="20"/>
  <c r="U152" i="12"/>
  <c r="U112" i="20"/>
  <c r="N133" i="19"/>
  <c r="W46" i="20"/>
  <c r="AA92" i="19"/>
  <c r="I29" i="9"/>
  <c r="N67" i="21"/>
  <c r="AA46" i="20"/>
  <c r="H9" i="22"/>
  <c r="U123" i="20"/>
  <c r="U122" i="12"/>
  <c r="F30" i="9"/>
  <c r="U114" i="19"/>
  <c r="J29" i="21"/>
  <c r="E9" i="22"/>
  <c r="Y44" i="19"/>
  <c r="U34" i="12"/>
  <c r="V34" i="12" s="1"/>
  <c r="W34" i="12" s="1"/>
  <c r="X34" i="12" s="1"/>
  <c r="Y34" i="12" s="1"/>
  <c r="Z34" i="12" s="1"/>
  <c r="AA34" i="12" s="1"/>
  <c r="V120" i="19"/>
  <c r="AA19" i="19"/>
  <c r="U171" i="12"/>
  <c r="Z46" i="19"/>
  <c r="W43" i="12"/>
  <c r="V12" i="12"/>
  <c r="X92" i="12"/>
  <c r="W44" i="12"/>
  <c r="Y112" i="19"/>
  <c r="V171" i="19"/>
  <c r="X49" i="20"/>
  <c r="AA18" i="20"/>
  <c r="X43" i="12"/>
  <c r="H29" i="9"/>
  <c r="W173" i="20"/>
  <c r="Z140" i="19"/>
  <c r="J129" i="19"/>
  <c r="O166" i="19"/>
  <c r="M149" i="20"/>
  <c r="U145" i="12"/>
  <c r="U146" i="12"/>
  <c r="V115" i="20"/>
  <c r="M149" i="19"/>
  <c r="O129" i="19"/>
  <c r="I6" i="24"/>
  <c r="I14" i="24"/>
  <c r="P6" i="24" s="1"/>
  <c r="M133" i="12"/>
  <c r="U132" i="12"/>
  <c r="J166" i="19"/>
  <c r="V44" i="19"/>
  <c r="V45" i="19" s="1"/>
  <c r="V57" i="19" s="1"/>
  <c r="V33" i="19"/>
  <c r="W33" i="19" s="1"/>
  <c r="X33" i="19" s="1"/>
  <c r="Y33" i="19" s="1"/>
  <c r="Z33" i="19" s="1"/>
  <c r="AA33" i="19" s="1"/>
  <c r="V34" i="19"/>
  <c r="W34" i="19" s="1"/>
  <c r="X34" i="19" s="1"/>
  <c r="Y34" i="19" s="1"/>
  <c r="Z34" i="19" s="1"/>
  <c r="AA34" i="19" s="1"/>
  <c r="Y140" i="19"/>
  <c r="C22" i="24"/>
  <c r="L134" i="19"/>
  <c r="AA44" i="19"/>
  <c r="L149" i="20"/>
  <c r="K129" i="20"/>
  <c r="I133" i="12"/>
  <c r="U133" i="12" s="1"/>
  <c r="V44" i="12"/>
  <c r="V45" i="12" s="1"/>
  <c r="Z92" i="19"/>
  <c r="W112" i="20"/>
  <c r="U57" i="12"/>
  <c r="V144" i="20"/>
  <c r="W18" i="12"/>
  <c r="U97" i="12"/>
  <c r="I129" i="12"/>
  <c r="H23" i="24"/>
  <c r="X112" i="12"/>
  <c r="U44" i="12"/>
  <c r="H20" i="25"/>
  <c r="G20" i="25"/>
  <c r="X171" i="19"/>
  <c r="D20" i="24"/>
  <c r="J134" i="20"/>
  <c r="V134" i="20" s="1"/>
  <c r="U115" i="19"/>
  <c r="J166" i="20"/>
  <c r="Z18" i="20"/>
  <c r="J149" i="19"/>
  <c r="V149" i="19" s="1"/>
  <c r="W46" i="12"/>
  <c r="U173" i="12"/>
  <c r="M133" i="20"/>
  <c r="AA44" i="20"/>
  <c r="Z44" i="20"/>
  <c r="V43" i="19"/>
  <c r="V54" i="19" s="1"/>
  <c r="U116" i="20"/>
  <c r="V112" i="19"/>
  <c r="B11" i="24"/>
  <c r="H3" i="24"/>
  <c r="V9" i="19"/>
  <c r="W9" i="19" s="1"/>
  <c r="X9" i="19" s="1"/>
  <c r="Y9" i="19" s="1"/>
  <c r="Z9" i="19" s="1"/>
  <c r="AA9" i="19" s="1"/>
  <c r="AA140" i="20"/>
  <c r="U46" i="19"/>
  <c r="J4" i="24"/>
  <c r="J12" i="24"/>
  <c r="Q4" i="24" s="1"/>
  <c r="N129" i="19"/>
  <c r="N129" i="20"/>
  <c r="V43" i="20"/>
  <c r="V54" i="20" s="1"/>
  <c r="U92" i="19"/>
  <c r="Y140" i="12"/>
  <c r="U175" i="12"/>
  <c r="W92" i="20"/>
  <c r="I149" i="20"/>
  <c r="U149" i="20" s="1"/>
  <c r="O133" i="20"/>
  <c r="V10" i="19"/>
  <c r="O166" i="20"/>
  <c r="V175" i="19"/>
  <c r="V9" i="12"/>
  <c r="W9" i="12" s="1"/>
  <c r="X9" i="12" s="1"/>
  <c r="Y9" i="12" s="1"/>
  <c r="Z9" i="12" s="1"/>
  <c r="AA9" i="12" s="1"/>
  <c r="K149" i="12"/>
  <c r="U19" i="12"/>
  <c r="X171" i="20"/>
  <c r="N133" i="20"/>
  <c r="H21" i="24"/>
  <c r="AA112" i="19"/>
  <c r="I134" i="12"/>
  <c r="U134" i="12" s="1"/>
  <c r="B19" i="24"/>
  <c r="X46" i="19"/>
  <c r="V112" i="20"/>
  <c r="L149" i="19"/>
  <c r="N149" i="19"/>
  <c r="L134" i="20"/>
  <c r="D22" i="24"/>
  <c r="Y92" i="12"/>
  <c r="U97" i="19"/>
  <c r="Z44" i="19"/>
  <c r="V49" i="12"/>
  <c r="U132" i="20"/>
  <c r="V11" i="20"/>
  <c r="U76" i="20" s="1"/>
  <c r="U13" i="20"/>
  <c r="W92" i="19"/>
  <c r="AA19" i="20"/>
  <c r="W92" i="12"/>
  <c r="U43" i="19"/>
  <c r="U54" i="19" s="1"/>
  <c r="X140" i="19"/>
  <c r="W146" i="12"/>
  <c r="Y44" i="12"/>
  <c r="U122" i="20"/>
  <c r="U112" i="19"/>
  <c r="X43" i="20"/>
  <c r="U143" i="20"/>
  <c r="V123" i="20"/>
  <c r="V11" i="12"/>
  <c r="U13" i="12"/>
  <c r="Z43" i="19"/>
  <c r="U153" i="12"/>
  <c r="B14" i="24"/>
  <c r="H6" i="24"/>
  <c r="V175" i="20"/>
  <c r="Z112" i="20"/>
  <c r="W19" i="12"/>
  <c r="W43" i="20"/>
  <c r="W54" i="20" s="1"/>
  <c r="I149" i="12"/>
  <c r="U149" i="12" s="1"/>
  <c r="V146" i="12"/>
  <c r="J7" i="24"/>
  <c r="J15" i="24"/>
  <c r="Q7" i="24" s="1"/>
  <c r="U124" i="19"/>
  <c r="V132" i="20"/>
  <c r="AA44" i="12"/>
  <c r="C15" i="24"/>
  <c r="U154" i="12"/>
  <c r="U124" i="12"/>
  <c r="Y43" i="20"/>
  <c r="K133" i="19"/>
  <c r="Z92" i="20"/>
  <c r="Y44" i="20"/>
  <c r="U46" i="12"/>
  <c r="AA43" i="19"/>
  <c r="I166" i="12"/>
  <c r="L29" i="9"/>
  <c r="V122" i="20"/>
  <c r="L149" i="12"/>
  <c r="U142" i="12"/>
  <c r="X171" i="12"/>
  <c r="J134" i="19"/>
  <c r="V134" i="19" s="1"/>
  <c r="C20" i="24"/>
  <c r="C12" i="24"/>
  <c r="X146" i="19"/>
  <c r="D9" i="22"/>
  <c r="K5" i="29" s="1"/>
  <c r="K6" i="29" s="1"/>
  <c r="E29" i="21"/>
  <c r="X112" i="20"/>
  <c r="W49" i="19"/>
  <c r="V122" i="19"/>
  <c r="K166" i="19"/>
  <c r="W132" i="20"/>
  <c r="U57" i="20"/>
  <c r="N40" i="21"/>
  <c r="AA43" i="20"/>
  <c r="Z19" i="19"/>
  <c r="Z44" i="12"/>
  <c r="M133" i="19"/>
  <c r="V123" i="19"/>
  <c r="M166" i="20"/>
  <c r="V33" i="20"/>
  <c r="W33" i="20" s="1"/>
  <c r="X33" i="20" s="1"/>
  <c r="Y33" i="20" s="1"/>
  <c r="Z33" i="20" s="1"/>
  <c r="AA33" i="20" s="1"/>
  <c r="V44" i="20"/>
  <c r="V45" i="20" s="1"/>
  <c r="V34" i="20"/>
  <c r="W34" i="20" s="1"/>
  <c r="X34" i="20" s="1"/>
  <c r="Y34" i="20" s="1"/>
  <c r="Z34" i="20" s="1"/>
  <c r="AA34" i="20" s="1"/>
  <c r="U172" i="12"/>
  <c r="L133" i="20"/>
  <c r="U123" i="19"/>
  <c r="V92" i="12"/>
  <c r="Z171" i="20"/>
  <c r="AA171" i="19"/>
  <c r="G29" i="9"/>
  <c r="E13" i="13" s="1"/>
  <c r="AA140" i="19"/>
  <c r="I166" i="20"/>
  <c r="U120" i="20"/>
  <c r="X92" i="19"/>
  <c r="J129" i="12"/>
  <c r="B23" i="24"/>
  <c r="M134" i="12"/>
  <c r="X18" i="12"/>
  <c r="N149" i="20"/>
  <c r="F15" i="9"/>
  <c r="F31" i="9"/>
  <c r="K133" i="12"/>
  <c r="U121" i="12"/>
  <c r="V114" i="20"/>
  <c r="V140" i="12"/>
  <c r="U123" i="12"/>
  <c r="N166" i="20"/>
  <c r="J133" i="20"/>
  <c r="V133" i="20" s="1"/>
  <c r="H20" i="24"/>
  <c r="AA171" i="20"/>
  <c r="J133" i="19"/>
  <c r="V133" i="19" s="1"/>
  <c r="Z140" i="20"/>
  <c r="U37" i="20"/>
  <c r="V12" i="20"/>
  <c r="X46" i="20"/>
  <c r="U131" i="12"/>
  <c r="W122" i="20"/>
  <c r="Z146" i="19"/>
  <c r="E56" i="21"/>
  <c r="F9" i="22"/>
  <c r="U44" i="19"/>
  <c r="I134" i="20"/>
  <c r="U134" i="20" s="1"/>
  <c r="D19" i="24"/>
  <c r="B9" i="23"/>
  <c r="C9" i="23" s="1"/>
  <c r="D10" i="6"/>
  <c r="U121" i="20"/>
  <c r="V9" i="20"/>
  <c r="W9" i="20" s="1"/>
  <c r="X9" i="20" s="1"/>
  <c r="Y9" i="20" s="1"/>
  <c r="Z9" i="20" s="1"/>
  <c r="AA9" i="20" s="1"/>
  <c r="U140" i="19"/>
  <c r="U33" i="12"/>
  <c r="V33" i="12" s="1"/>
  <c r="W33" i="12" s="1"/>
  <c r="X33" i="12" s="1"/>
  <c r="Y33" i="12" s="1"/>
  <c r="Z33" i="12" s="1"/>
  <c r="AA33" i="12" s="1"/>
  <c r="AA112" i="20"/>
  <c r="U144" i="19"/>
  <c r="F29" i="9"/>
  <c r="J29" i="9"/>
  <c r="I166" i="19"/>
  <c r="O134" i="20"/>
  <c r="D23" i="6"/>
  <c r="B17" i="23" s="1"/>
  <c r="C17" i="23" s="1"/>
  <c r="B3" i="23"/>
  <c r="X46" i="12"/>
  <c r="Y46" i="19"/>
  <c r="AA146" i="20"/>
  <c r="X92" i="20"/>
  <c r="N134" i="19"/>
  <c r="Z43" i="20"/>
  <c r="U120" i="19"/>
  <c r="Y92" i="20"/>
  <c r="K133" i="20"/>
  <c r="W133" i="20" s="1"/>
  <c r="U112" i="12"/>
  <c r="X140" i="20"/>
  <c r="I67" i="21"/>
  <c r="X146" i="12"/>
  <c r="V18" i="12"/>
  <c r="Y146" i="12"/>
  <c r="U143" i="19"/>
  <c r="I133" i="20"/>
  <c r="U133" i="20" s="1"/>
  <c r="V120" i="20"/>
  <c r="X140" i="12"/>
  <c r="AA92" i="20"/>
  <c r="Y46" i="12"/>
  <c r="K134" i="19"/>
  <c r="C21" i="24"/>
  <c r="U57" i="19"/>
  <c r="B20" i="24"/>
  <c r="J134" i="12"/>
  <c r="AA46" i="19"/>
  <c r="K29" i="9"/>
  <c r="AA18" i="19"/>
  <c r="O134" i="19"/>
  <c r="W140" i="19"/>
  <c r="X17" i="20"/>
  <c r="U140" i="12"/>
  <c r="U121" i="19"/>
  <c r="H22" i="24"/>
  <c r="X19" i="12"/>
  <c r="U18" i="12"/>
  <c r="U116" i="19"/>
  <c r="I133" i="19"/>
  <c r="U133" i="19" s="1"/>
  <c r="V92" i="19"/>
  <c r="I149" i="19"/>
  <c r="U149" i="19" s="1"/>
  <c r="O149" i="20"/>
  <c r="D21" i="24"/>
  <c r="K134" i="20"/>
  <c r="W134" i="20" s="1"/>
  <c r="Z112" i="19"/>
  <c r="U92" i="20"/>
  <c r="X146" i="20"/>
  <c r="U124" i="20"/>
  <c r="V46" i="12"/>
  <c r="V47" i="12" s="1"/>
  <c r="U43" i="20"/>
  <c r="U54" i="20" s="1"/>
  <c r="C19" i="24"/>
  <c r="I134" i="19"/>
  <c r="U134" i="19" s="1"/>
  <c r="J133" i="12"/>
  <c r="U37" i="19"/>
  <c r="V12" i="19"/>
  <c r="W140" i="12"/>
  <c r="U46" i="20"/>
  <c r="U97" i="20"/>
  <c r="W120" i="20"/>
  <c r="U120" i="12"/>
  <c r="V19" i="12"/>
  <c r="V46" i="20"/>
  <c r="V47" i="20" s="1"/>
  <c r="O129" i="20"/>
  <c r="O133" i="19"/>
  <c r="Z146" i="20"/>
  <c r="Y46" i="20"/>
  <c r="U43" i="12"/>
  <c r="U54" i="12" s="1"/>
  <c r="U114" i="20"/>
  <c r="M134" i="19"/>
  <c r="C23" i="24"/>
  <c r="U144" i="12"/>
  <c r="U17" i="12"/>
  <c r="V17" i="12" s="1"/>
  <c r="W17" i="12" s="1"/>
  <c r="X17" i="12" s="1"/>
  <c r="Y17" i="12" s="1"/>
  <c r="Z17" i="12" s="1"/>
  <c r="Y146" i="19"/>
  <c r="L133" i="12"/>
  <c r="M130" i="19"/>
  <c r="V128" i="12"/>
  <c r="K87" i="19"/>
  <c r="K87" i="12"/>
  <c r="P52" i="19"/>
  <c r="P52" i="12"/>
  <c r="P52" i="20"/>
  <c r="I27" i="20"/>
  <c r="M68" i="19"/>
  <c r="P53" i="12"/>
  <c r="P53" i="20"/>
  <c r="P53" i="19"/>
  <c r="K57" i="12"/>
  <c r="J87" i="20"/>
  <c r="K68" i="20"/>
  <c r="L87" i="20"/>
  <c r="J68" i="12"/>
  <c r="O87" i="19"/>
  <c r="G12" i="9"/>
  <c r="O68" i="19"/>
  <c r="J27" i="20"/>
  <c r="K68" i="19"/>
  <c r="N68" i="20"/>
  <c r="I30" i="19"/>
  <c r="L37" i="19"/>
  <c r="G10" i="9"/>
  <c r="M87" i="19"/>
  <c r="I87" i="12"/>
  <c r="M68" i="20"/>
  <c r="L26" i="19"/>
  <c r="K32" i="19"/>
  <c r="J148" i="12"/>
  <c r="L68" i="20"/>
  <c r="J68" i="20"/>
  <c r="V41" i="12"/>
  <c r="M175" i="12"/>
  <c r="I36" i="19"/>
  <c r="L87" i="19"/>
  <c r="O87" i="12"/>
  <c r="Y41" i="19"/>
  <c r="J173" i="12"/>
  <c r="M26" i="12"/>
  <c r="K68" i="12"/>
  <c r="M87" i="20"/>
  <c r="I68" i="20"/>
  <c r="L57" i="12"/>
  <c r="O68" i="20"/>
  <c r="K36" i="19"/>
  <c r="I87" i="19"/>
  <c r="I68" i="12"/>
  <c r="J147" i="20"/>
  <c r="K37" i="20"/>
  <c r="O87" i="20"/>
  <c r="J87" i="19"/>
  <c r="J116" i="12"/>
  <c r="G13" i="9"/>
  <c r="G11" i="9"/>
  <c r="L30" i="20"/>
  <c r="N68" i="19"/>
  <c r="J87" i="12"/>
  <c r="K32" i="12"/>
  <c r="M68" i="12"/>
  <c r="J130" i="19"/>
  <c r="I87" i="20"/>
  <c r="J68" i="19"/>
  <c r="N87" i="12"/>
  <c r="N87" i="20"/>
  <c r="J37" i="12"/>
  <c r="H13" i="12"/>
  <c r="H13" i="19"/>
  <c r="H13" i="20"/>
  <c r="N87" i="19"/>
  <c r="L32" i="20"/>
  <c r="L87" i="12"/>
  <c r="J57" i="12"/>
  <c r="G14" i="9"/>
  <c r="L68" i="12"/>
  <c r="M164" i="19"/>
  <c r="M87" i="12"/>
  <c r="K26" i="19"/>
  <c r="J143" i="20"/>
  <c r="G9" i="9"/>
  <c r="I68" i="19"/>
  <c r="J8" i="19"/>
  <c r="I38" i="20"/>
  <c r="K87" i="20"/>
  <c r="L68" i="19"/>
  <c r="I30" i="20"/>
  <c r="U69" i="20" l="1"/>
  <c r="U85" i="19"/>
  <c r="U72" i="20"/>
  <c r="U72" i="19"/>
  <c r="U73" i="19"/>
  <c r="U84" i="19"/>
  <c r="W91" i="20"/>
  <c r="X54" i="20"/>
  <c r="U75" i="19"/>
  <c r="O40" i="21"/>
  <c r="W47" i="20"/>
  <c r="X47" i="20" s="1"/>
  <c r="Y47" i="20" s="1"/>
  <c r="W47" i="12"/>
  <c r="X47" i="12" s="1"/>
  <c r="Y47" i="12" s="1"/>
  <c r="Z47" i="12" s="1"/>
  <c r="AA47" i="12" s="1"/>
  <c r="AA53" i="12" s="1"/>
  <c r="U26" i="12"/>
  <c r="O67" i="21"/>
  <c r="U74" i="19"/>
  <c r="U78" i="19"/>
  <c r="U91" i="19"/>
  <c r="U36" i="12"/>
  <c r="Y91" i="19"/>
  <c r="V91" i="19"/>
  <c r="U82" i="19"/>
  <c r="U74" i="20"/>
  <c r="U81" i="19"/>
  <c r="U71" i="20"/>
  <c r="U76" i="19"/>
  <c r="X47" i="19"/>
  <c r="Y47" i="19" s="1"/>
  <c r="Z47" i="19" s="1"/>
  <c r="U31" i="12"/>
  <c r="U83" i="20"/>
  <c r="X91" i="19"/>
  <c r="U69" i="19"/>
  <c r="U81" i="20"/>
  <c r="U82" i="20"/>
  <c r="E21" i="24"/>
  <c r="U27" i="12"/>
  <c r="U37" i="12"/>
  <c r="U80" i="20"/>
  <c r="U29" i="12"/>
  <c r="U71" i="19"/>
  <c r="P161" i="19"/>
  <c r="U84" i="20"/>
  <c r="U77" i="19"/>
  <c r="U78" i="20"/>
  <c r="U79" i="19"/>
  <c r="E22" i="24"/>
  <c r="U73" i="20"/>
  <c r="U85" i="20"/>
  <c r="U79" i="20"/>
  <c r="U38" i="12"/>
  <c r="U80" i="19"/>
  <c r="W54" i="19"/>
  <c r="J3" i="24"/>
  <c r="J11" i="24"/>
  <c r="Q3" i="24" s="1"/>
  <c r="F161" i="1" s="1"/>
  <c r="U30" i="20"/>
  <c r="C30" i="24"/>
  <c r="U38" i="20"/>
  <c r="V8" i="19"/>
  <c r="C27" i="24"/>
  <c r="G30" i="9"/>
  <c r="V143" i="20"/>
  <c r="K129" i="19"/>
  <c r="C13" i="24"/>
  <c r="M166" i="19"/>
  <c r="B30" i="24"/>
  <c r="H30" i="24" s="1"/>
  <c r="G15" i="9"/>
  <c r="G31" i="9"/>
  <c r="V57" i="12"/>
  <c r="H4" i="24"/>
  <c r="K4" i="24" s="1"/>
  <c r="B12" i="24"/>
  <c r="C28" i="24"/>
  <c r="I28" i="24" s="1"/>
  <c r="Q28" i="24" s="1"/>
  <c r="U87" i="20"/>
  <c r="B31" i="24"/>
  <c r="H5" i="24"/>
  <c r="B13" i="24"/>
  <c r="K129" i="12"/>
  <c r="J6" i="24"/>
  <c r="K6" i="24" s="1"/>
  <c r="J14" i="24"/>
  <c r="Q6" i="24" s="1"/>
  <c r="L129" i="20"/>
  <c r="D14" i="24"/>
  <c r="D13" i="24"/>
  <c r="J149" i="20"/>
  <c r="V149" i="20" s="1"/>
  <c r="B27" i="24"/>
  <c r="H27" i="24" s="1"/>
  <c r="U87" i="19"/>
  <c r="D27" i="24"/>
  <c r="B29" i="24"/>
  <c r="H15" i="24"/>
  <c r="K15" i="24" s="1"/>
  <c r="B15" i="24"/>
  <c r="M129" i="12"/>
  <c r="H7" i="24"/>
  <c r="K7" i="24" s="1"/>
  <c r="Y43" i="19"/>
  <c r="U36" i="19"/>
  <c r="V43" i="12"/>
  <c r="V54" i="12" s="1"/>
  <c r="D28" i="24"/>
  <c r="D30" i="24"/>
  <c r="J149" i="12"/>
  <c r="I13" i="24"/>
  <c r="P5" i="24" s="1"/>
  <c r="I5" i="24"/>
  <c r="L129" i="19"/>
  <c r="D31" i="24"/>
  <c r="J31" i="24" s="1"/>
  <c r="R31" i="24" s="1"/>
  <c r="C14" i="24"/>
  <c r="I11" i="24"/>
  <c r="P3" i="24" s="1"/>
  <c r="F160" i="1" s="1"/>
  <c r="I3" i="24"/>
  <c r="U30" i="19"/>
  <c r="P157" i="19" s="1"/>
  <c r="C11" i="24"/>
  <c r="I129" i="19"/>
  <c r="C29" i="24"/>
  <c r="D12" i="24"/>
  <c r="J129" i="20"/>
  <c r="B28" i="24"/>
  <c r="D29" i="24"/>
  <c r="V53" i="19"/>
  <c r="U53" i="19"/>
  <c r="W53" i="19"/>
  <c r="U53" i="20"/>
  <c r="V53" i="20"/>
  <c r="U53" i="12"/>
  <c r="C31" i="24"/>
  <c r="I31" i="24" s="1"/>
  <c r="Q31" i="24" s="1"/>
  <c r="D11" i="24"/>
  <c r="U27" i="20"/>
  <c r="I129" i="20"/>
  <c r="U52" i="20"/>
  <c r="V52" i="20"/>
  <c r="U52" i="12"/>
  <c r="V52" i="19"/>
  <c r="U52" i="19"/>
  <c r="W8" i="20"/>
  <c r="U90" i="20"/>
  <c r="P159" i="20" s="1"/>
  <c r="U113" i="12"/>
  <c r="U101" i="12"/>
  <c r="V139" i="12"/>
  <c r="W49" i="12"/>
  <c r="U96" i="12"/>
  <c r="V118" i="12"/>
  <c r="V126" i="12"/>
  <c r="V129" i="12" s="1"/>
  <c r="V101" i="19"/>
  <c r="V102" i="19" s="1"/>
  <c r="W139" i="19"/>
  <c r="W149" i="19" s="1"/>
  <c r="W126" i="19"/>
  <c r="V113" i="19"/>
  <c r="X49" i="19"/>
  <c r="W118" i="19"/>
  <c r="V96" i="19"/>
  <c r="V97" i="19" s="1"/>
  <c r="I32" i="21"/>
  <c r="D9" i="23"/>
  <c r="Y17" i="20"/>
  <c r="X91" i="20"/>
  <c r="D17" i="23"/>
  <c r="I33" i="21"/>
  <c r="E15" i="13"/>
  <c r="I35" i="21" s="1"/>
  <c r="F13" i="13"/>
  <c r="E10" i="22"/>
  <c r="L5" i="29"/>
  <c r="L6" i="29" s="1"/>
  <c r="V29" i="19"/>
  <c r="V27" i="19"/>
  <c r="V25" i="19"/>
  <c r="V24" i="19"/>
  <c r="V32" i="19"/>
  <c r="W7" i="19"/>
  <c r="V130" i="19"/>
  <c r="V30" i="19"/>
  <c r="V28" i="19"/>
  <c r="V31" i="19"/>
  <c r="V63" i="19"/>
  <c r="V26" i="19"/>
  <c r="V35" i="19"/>
  <c r="V23" i="19"/>
  <c r="V38" i="19"/>
  <c r="V119" i="20"/>
  <c r="W45" i="20"/>
  <c r="W52" i="20" s="1"/>
  <c r="U25" i="12"/>
  <c r="U85" i="12"/>
  <c r="U71" i="12"/>
  <c r="U83" i="12"/>
  <c r="U78" i="12"/>
  <c r="U91" i="12"/>
  <c r="U77" i="12"/>
  <c r="U73" i="12"/>
  <c r="U80" i="12"/>
  <c r="U75" i="12"/>
  <c r="U87" i="12"/>
  <c r="U90" i="12"/>
  <c r="P159" i="12" s="1"/>
  <c r="U69" i="12"/>
  <c r="U74" i="12"/>
  <c r="U72" i="12"/>
  <c r="U86" i="12"/>
  <c r="U84" i="12"/>
  <c r="U76" i="12"/>
  <c r="U81" i="12"/>
  <c r="U82" i="12"/>
  <c r="U79" i="12"/>
  <c r="Y49" i="20"/>
  <c r="X126" i="20"/>
  <c r="X132" i="20" s="1"/>
  <c r="W101" i="20"/>
  <c r="W102" i="20" s="1"/>
  <c r="X118" i="20"/>
  <c r="X139" i="20"/>
  <c r="X149" i="20" s="1"/>
  <c r="W96" i="20"/>
  <c r="W97" i="20" s="1"/>
  <c r="W113" i="20"/>
  <c r="Y91" i="12"/>
  <c r="Y90" i="12"/>
  <c r="K20" i="24"/>
  <c r="O4" i="24"/>
  <c r="K23" i="24"/>
  <c r="U135" i="12"/>
  <c r="U129" i="12"/>
  <c r="P161" i="12"/>
  <c r="W10" i="20"/>
  <c r="V36" i="20"/>
  <c r="U130" i="12"/>
  <c r="U35" i="12"/>
  <c r="U77" i="20"/>
  <c r="W91" i="19"/>
  <c r="V57" i="20"/>
  <c r="V91" i="20"/>
  <c r="U86" i="19"/>
  <c r="Z91" i="19"/>
  <c r="I10" i="22"/>
  <c r="P5" i="29"/>
  <c r="U28" i="12"/>
  <c r="V25" i="12"/>
  <c r="V29" i="12"/>
  <c r="V23" i="12"/>
  <c r="V31" i="12"/>
  <c r="V28" i="12"/>
  <c r="W7" i="12"/>
  <c r="V86" i="12" s="1"/>
  <c r="V35" i="12"/>
  <c r="V38" i="12"/>
  <c r="V26" i="12"/>
  <c r="V63" i="12"/>
  <c r="V32" i="12"/>
  <c r="V24" i="12"/>
  <c r="V27" i="12"/>
  <c r="V30" i="12"/>
  <c r="V130" i="12"/>
  <c r="O5" i="29"/>
  <c r="H10" i="22"/>
  <c r="V119" i="12"/>
  <c r="W45" i="12"/>
  <c r="W57" i="12" s="1"/>
  <c r="N5" i="29"/>
  <c r="G10" i="22"/>
  <c r="K22" i="24"/>
  <c r="O6" i="24"/>
  <c r="M5" i="29"/>
  <c r="F10" i="22"/>
  <c r="W12" i="20"/>
  <c r="V37" i="20"/>
  <c r="E23" i="24"/>
  <c r="V119" i="19"/>
  <c r="W45" i="19"/>
  <c r="V135" i="19"/>
  <c r="V129" i="19"/>
  <c r="K12" i="24"/>
  <c r="V13" i="19"/>
  <c r="W11" i="19"/>
  <c r="U24" i="12"/>
  <c r="W12" i="12"/>
  <c r="V37" i="12"/>
  <c r="W12" i="19"/>
  <c r="V37" i="19"/>
  <c r="O3" i="24"/>
  <c r="F159" i="1" s="1"/>
  <c r="B5" i="23"/>
  <c r="C6" i="23"/>
  <c r="G6" i="23" s="1"/>
  <c r="P160" i="19"/>
  <c r="P160" i="20"/>
  <c r="W91" i="12"/>
  <c r="W90" i="12"/>
  <c r="U63" i="12"/>
  <c r="K21" i="24"/>
  <c r="O5" i="24"/>
  <c r="W10" i="12"/>
  <c r="V36" i="12"/>
  <c r="U32" i="12"/>
  <c r="AA91" i="19"/>
  <c r="V13" i="12"/>
  <c r="J13" i="12" s="1"/>
  <c r="W11" i="12"/>
  <c r="V71" i="12" s="1"/>
  <c r="U68" i="12"/>
  <c r="U30" i="12"/>
  <c r="X91" i="12"/>
  <c r="X90" i="12"/>
  <c r="Z91" i="12"/>
  <c r="AA17" i="12"/>
  <c r="E20" i="24"/>
  <c r="P160" i="12"/>
  <c r="V91" i="12"/>
  <c r="V90" i="12"/>
  <c r="U75" i="20"/>
  <c r="W11" i="20"/>
  <c r="V13" i="20"/>
  <c r="E19" i="24"/>
  <c r="V36" i="19"/>
  <c r="W10" i="19"/>
  <c r="W135" i="20"/>
  <c r="W129" i="20"/>
  <c r="U91" i="20"/>
  <c r="Z90" i="12"/>
  <c r="U86" i="20"/>
  <c r="V28" i="20"/>
  <c r="V26" i="20"/>
  <c r="V23" i="20"/>
  <c r="V35" i="20"/>
  <c r="V38" i="20"/>
  <c r="W7" i="20"/>
  <c r="V31" i="20"/>
  <c r="V27" i="20"/>
  <c r="V24" i="20"/>
  <c r="V32" i="20"/>
  <c r="V25" i="20"/>
  <c r="V30" i="20"/>
  <c r="V63" i="20"/>
  <c r="V29" i="20"/>
  <c r="U23" i="12"/>
  <c r="F11" i="25"/>
  <c r="H12" i="9"/>
  <c r="M131" i="20"/>
  <c r="H14" i="9"/>
  <c r="K161" i="1"/>
  <c r="L116" i="20" s="1"/>
  <c r="L161" i="1"/>
  <c r="M116" i="20" s="1"/>
  <c r="M131" i="19"/>
  <c r="H13" i="9"/>
  <c r="H10" i="9"/>
  <c r="K159" i="1"/>
  <c r="L159" i="1"/>
  <c r="K131" i="20"/>
  <c r="H11" i="9"/>
  <c r="J131" i="19"/>
  <c r="O131" i="20"/>
  <c r="K160" i="1"/>
  <c r="L160" i="1"/>
  <c r="N131" i="20"/>
  <c r="N131" i="19"/>
  <c r="H9" i="9"/>
  <c r="O131" i="19"/>
  <c r="V69" i="12" l="1"/>
  <c r="V75" i="12"/>
  <c r="X53" i="19"/>
  <c r="V73" i="12"/>
  <c r="W53" i="12"/>
  <c r="X53" i="20"/>
  <c r="X53" i="12"/>
  <c r="W53" i="20"/>
  <c r="K3" i="24"/>
  <c r="Y53" i="19"/>
  <c r="P157" i="20"/>
  <c r="V79" i="12"/>
  <c r="Y53" i="20"/>
  <c r="Z47" i="20"/>
  <c r="AA47" i="20" s="1"/>
  <c r="AA53" i="20" s="1"/>
  <c r="Y53" i="12"/>
  <c r="I27" i="24"/>
  <c r="Q27" i="24" s="1"/>
  <c r="Z53" i="12"/>
  <c r="V85" i="12"/>
  <c r="G11" i="25"/>
  <c r="H11" i="25"/>
  <c r="J30" i="24"/>
  <c r="R30" i="24" s="1"/>
  <c r="V53" i="12"/>
  <c r="V52" i="12"/>
  <c r="U70" i="12"/>
  <c r="P158" i="12" s="1"/>
  <c r="AA47" i="19"/>
  <c r="AA53" i="19" s="1"/>
  <c r="Z53" i="19"/>
  <c r="J28" i="24"/>
  <c r="R28" i="24" s="1"/>
  <c r="I30" i="24"/>
  <c r="Q30" i="24" s="1"/>
  <c r="V134" i="12"/>
  <c r="E31" i="24"/>
  <c r="V133" i="12"/>
  <c r="J27" i="24"/>
  <c r="R27" i="24" s="1"/>
  <c r="O6" i="29"/>
  <c r="V135" i="12"/>
  <c r="P6" i="29"/>
  <c r="V77" i="12"/>
  <c r="H30" i="9"/>
  <c r="V131" i="19"/>
  <c r="W131" i="20"/>
  <c r="H15" i="9"/>
  <c r="H31" i="9"/>
  <c r="V124" i="19"/>
  <c r="V121" i="19"/>
  <c r="V129" i="20"/>
  <c r="V135" i="20"/>
  <c r="W129" i="19"/>
  <c r="W135" i="19"/>
  <c r="W37" i="19"/>
  <c r="X12" i="19"/>
  <c r="X12" i="12"/>
  <c r="W37" i="12"/>
  <c r="V149" i="12"/>
  <c r="V87" i="20"/>
  <c r="X11" i="20"/>
  <c r="W13" i="20"/>
  <c r="V79" i="20"/>
  <c r="V81" i="20"/>
  <c r="V74" i="20"/>
  <c r="V73" i="20"/>
  <c r="V84" i="20"/>
  <c r="V83" i="20"/>
  <c r="V80" i="20"/>
  <c r="V75" i="20"/>
  <c r="V72" i="20"/>
  <c r="V69" i="20"/>
  <c r="V78" i="20"/>
  <c r="V82" i="20"/>
  <c r="V76" i="20"/>
  <c r="V85" i="20"/>
  <c r="V77" i="20"/>
  <c r="V71" i="20"/>
  <c r="V82" i="12"/>
  <c r="X129" i="20"/>
  <c r="X135" i="20"/>
  <c r="M6" i="29"/>
  <c r="W38" i="20"/>
  <c r="W23" i="20"/>
  <c r="W29" i="20"/>
  <c r="W32" i="20"/>
  <c r="X7" i="20"/>
  <c r="W24" i="20"/>
  <c r="W25" i="20"/>
  <c r="W26" i="20"/>
  <c r="W35" i="20"/>
  <c r="W30" i="20"/>
  <c r="W63" i="20"/>
  <c r="W28" i="20"/>
  <c r="W130" i="20"/>
  <c r="W27" i="20"/>
  <c r="W31" i="20"/>
  <c r="V86" i="20"/>
  <c r="V87" i="12"/>
  <c r="O7" i="24"/>
  <c r="K13" i="24"/>
  <c r="V74" i="12"/>
  <c r="X10" i="20"/>
  <c r="W36" i="20"/>
  <c r="W29" i="19"/>
  <c r="W26" i="19"/>
  <c r="W28" i="19"/>
  <c r="W27" i="19"/>
  <c r="W38" i="19"/>
  <c r="W63" i="19"/>
  <c r="W23" i="19"/>
  <c r="W31" i="19"/>
  <c r="W25" i="19"/>
  <c r="X7" i="19"/>
  <c r="W35" i="19"/>
  <c r="W24" i="19"/>
  <c r="W30" i="19"/>
  <c r="W130" i="19"/>
  <c r="W32" i="19"/>
  <c r="V86" i="19"/>
  <c r="E11" i="24"/>
  <c r="E27" i="24"/>
  <c r="W36" i="19"/>
  <c r="X10" i="19"/>
  <c r="N33" i="21"/>
  <c r="O33" i="21" s="1"/>
  <c r="E17" i="23"/>
  <c r="X118" i="19"/>
  <c r="W101" i="19"/>
  <c r="W102" i="19" s="1"/>
  <c r="W96" i="19"/>
  <c r="W97" i="19" s="1"/>
  <c r="X139" i="19"/>
  <c r="Y49" i="19"/>
  <c r="W113" i="19"/>
  <c r="X126" i="19"/>
  <c r="X135" i="19" s="1"/>
  <c r="W36" i="12"/>
  <c r="X10" i="12"/>
  <c r="W134" i="19"/>
  <c r="W132" i="19"/>
  <c r="V80" i="12"/>
  <c r="X11" i="12"/>
  <c r="W13" i="12"/>
  <c r="V68" i="12"/>
  <c r="W37" i="20"/>
  <c r="X12" i="20"/>
  <c r="W143" i="19"/>
  <c r="W152" i="19"/>
  <c r="W155" i="19"/>
  <c r="W153" i="19"/>
  <c r="W174" i="19"/>
  <c r="W172" i="19"/>
  <c r="W175" i="19"/>
  <c r="W144" i="19"/>
  <c r="W142" i="19"/>
  <c r="W154" i="19"/>
  <c r="W173" i="19"/>
  <c r="W145" i="19"/>
  <c r="U129" i="19"/>
  <c r="U135" i="19"/>
  <c r="U130" i="19"/>
  <c r="H28" i="24"/>
  <c r="E12" i="24"/>
  <c r="G3" i="23"/>
  <c r="H6" i="23"/>
  <c r="W13" i="19"/>
  <c r="X11" i="19"/>
  <c r="V81" i="19"/>
  <c r="V76" i="19"/>
  <c r="V74" i="19"/>
  <c r="V69" i="19"/>
  <c r="V82" i="19"/>
  <c r="V84" i="19"/>
  <c r="V71" i="19"/>
  <c r="V77" i="19"/>
  <c r="V79" i="19"/>
  <c r="V78" i="19"/>
  <c r="V83" i="19"/>
  <c r="V80" i="19"/>
  <c r="V72" i="19"/>
  <c r="V85" i="19"/>
  <c r="V75" i="19"/>
  <c r="V73" i="19"/>
  <c r="P157" i="12"/>
  <c r="V76" i="12"/>
  <c r="N6" i="29"/>
  <c r="W29" i="12"/>
  <c r="W26" i="12"/>
  <c r="W35" i="12"/>
  <c r="W38" i="12"/>
  <c r="W28" i="12"/>
  <c r="W63" i="12"/>
  <c r="W23" i="12"/>
  <c r="W31" i="12"/>
  <c r="W27" i="12"/>
  <c r="W24" i="12"/>
  <c r="W25" i="12"/>
  <c r="W130" i="12"/>
  <c r="W30" i="12"/>
  <c r="X7" i="12"/>
  <c r="W32" i="12"/>
  <c r="X134" i="20"/>
  <c r="K14" i="24"/>
  <c r="X144" i="20"/>
  <c r="X152" i="20"/>
  <c r="X175" i="20"/>
  <c r="X145" i="20"/>
  <c r="X142" i="20"/>
  <c r="X143" i="20"/>
  <c r="X155" i="20"/>
  <c r="X174" i="20"/>
  <c r="X154" i="20"/>
  <c r="X173" i="20"/>
  <c r="X153" i="20"/>
  <c r="X172" i="20"/>
  <c r="W119" i="20"/>
  <c r="X45" i="20"/>
  <c r="W57" i="20"/>
  <c r="E14" i="24"/>
  <c r="X54" i="19"/>
  <c r="P27" i="24"/>
  <c r="E30" i="24"/>
  <c r="X101" i="20"/>
  <c r="X102" i="20" s="1"/>
  <c r="X113" i="20"/>
  <c r="X116" i="20" s="1"/>
  <c r="Y139" i="20"/>
  <c r="X96" i="20"/>
  <c r="X97" i="20" s="1"/>
  <c r="Y126" i="20"/>
  <c r="Z49" i="20"/>
  <c r="Y118" i="20"/>
  <c r="V115" i="19"/>
  <c r="V116" i="19"/>
  <c r="V114" i="19"/>
  <c r="Z17" i="20"/>
  <c r="Y91" i="20"/>
  <c r="W126" i="12"/>
  <c r="W135" i="12" s="1"/>
  <c r="W139" i="12"/>
  <c r="V113" i="12"/>
  <c r="V101" i="12"/>
  <c r="V102" i="12" s="1"/>
  <c r="V96" i="12"/>
  <c r="V97" i="12" s="1"/>
  <c r="X49" i="12"/>
  <c r="W118" i="12"/>
  <c r="E15" i="24"/>
  <c r="H31" i="24"/>
  <c r="V144" i="12"/>
  <c r="V174" i="12"/>
  <c r="V142" i="12"/>
  <c r="V145" i="12"/>
  <c r="V152" i="12"/>
  <c r="V153" i="12"/>
  <c r="V154" i="12"/>
  <c r="V172" i="12"/>
  <c r="V175" i="12"/>
  <c r="V155" i="12"/>
  <c r="V143" i="12"/>
  <c r="E29" i="24"/>
  <c r="U116" i="12"/>
  <c r="U114" i="12"/>
  <c r="U115" i="12"/>
  <c r="W8" i="19"/>
  <c r="U90" i="19"/>
  <c r="P159" i="19" s="1"/>
  <c r="X133" i="20"/>
  <c r="V72" i="12"/>
  <c r="V84" i="12"/>
  <c r="Y54" i="20"/>
  <c r="K11" i="24"/>
  <c r="W52" i="12"/>
  <c r="X45" i="12"/>
  <c r="W119" i="12"/>
  <c r="X123" i="20"/>
  <c r="X122" i="20"/>
  <c r="X120" i="20"/>
  <c r="V124" i="20"/>
  <c r="V121" i="20"/>
  <c r="P30" i="24"/>
  <c r="X8" i="20"/>
  <c r="V90" i="20"/>
  <c r="U135" i="20"/>
  <c r="U129" i="20"/>
  <c r="U130" i="20"/>
  <c r="E28" i="24"/>
  <c r="J29" i="24"/>
  <c r="R29" i="24" s="1"/>
  <c r="H29" i="24"/>
  <c r="E13" i="24"/>
  <c r="V120" i="12"/>
  <c r="V122" i="12"/>
  <c r="V123" i="12"/>
  <c r="AA91" i="12"/>
  <c r="AA90" i="12"/>
  <c r="N32" i="21"/>
  <c r="O32" i="21" s="1"/>
  <c r="E9" i="23"/>
  <c r="J13" i="20"/>
  <c r="U70" i="20"/>
  <c r="P158" i="20" s="1"/>
  <c r="G13" i="13"/>
  <c r="F15" i="13"/>
  <c r="N35" i="21" s="1"/>
  <c r="O35" i="21" s="1"/>
  <c r="V81" i="12"/>
  <c r="W54" i="12"/>
  <c r="J13" i="19"/>
  <c r="U70" i="19"/>
  <c r="P158" i="19" s="1"/>
  <c r="W115" i="20"/>
  <c r="W114" i="20"/>
  <c r="W116" i="20"/>
  <c r="V130" i="20"/>
  <c r="V78" i="12"/>
  <c r="V83" i="12"/>
  <c r="W133" i="19"/>
  <c r="W52" i="19"/>
  <c r="W119" i="19"/>
  <c r="X45" i="19"/>
  <c r="W57" i="19"/>
  <c r="V124" i="12"/>
  <c r="V121" i="12"/>
  <c r="W122" i="19"/>
  <c r="W120" i="19"/>
  <c r="W123" i="19"/>
  <c r="V132" i="12"/>
  <c r="V131" i="12"/>
  <c r="V173" i="12"/>
  <c r="V87" i="19"/>
  <c r="K5" i="24"/>
  <c r="I29" i="24"/>
  <c r="Q29" i="24" s="1"/>
  <c r="L116" i="12"/>
  <c r="K131" i="19"/>
  <c r="I131" i="19"/>
  <c r="I10" i="9"/>
  <c r="L131" i="20"/>
  <c r="I131" i="20"/>
  <c r="I9" i="9"/>
  <c r="I13" i="9"/>
  <c r="I14" i="9"/>
  <c r="M116" i="19"/>
  <c r="L131" i="19"/>
  <c r="L116" i="19"/>
  <c r="I12" i="9"/>
  <c r="J131" i="20"/>
  <c r="I11" i="9"/>
  <c r="M116" i="12"/>
  <c r="P162" i="20" l="1"/>
  <c r="Y166" i="20" s="1"/>
  <c r="K27" i="24"/>
  <c r="L27" i="24" s="1"/>
  <c r="M27" i="24" s="1"/>
  <c r="Z53" i="20"/>
  <c r="Q34" i="24"/>
  <c r="D4" i="16" s="1"/>
  <c r="F4" i="16" s="1"/>
  <c r="K30" i="24"/>
  <c r="L30" i="24" s="1"/>
  <c r="M30" i="24" s="1"/>
  <c r="R34" i="24"/>
  <c r="R35" i="24" s="1"/>
  <c r="P162" i="19"/>
  <c r="Y166" i="19" s="1"/>
  <c r="P162" i="12"/>
  <c r="U166" i="12" s="1"/>
  <c r="V131" i="20"/>
  <c r="X131" i="19"/>
  <c r="I31" i="9"/>
  <c r="I15" i="9"/>
  <c r="I30" i="9"/>
  <c r="U131" i="20"/>
  <c r="X131" i="20"/>
  <c r="U131" i="19"/>
  <c r="W131" i="19"/>
  <c r="Y45" i="12"/>
  <c r="X119" i="12"/>
  <c r="X52" i="12"/>
  <c r="X57" i="12"/>
  <c r="W122" i="12"/>
  <c r="W120" i="12"/>
  <c r="W123" i="12"/>
  <c r="W114" i="19"/>
  <c r="W116" i="19"/>
  <c r="W115" i="19"/>
  <c r="Y8" i="20"/>
  <c r="W90" i="20"/>
  <c r="X118" i="12"/>
  <c r="W113" i="12"/>
  <c r="W96" i="12"/>
  <c r="W97" i="12" s="1"/>
  <c r="X126" i="12"/>
  <c r="Y49" i="12"/>
  <c r="X139" i="12"/>
  <c r="W101" i="12"/>
  <c r="W102" i="12" s="1"/>
  <c r="X54" i="12"/>
  <c r="Y145" i="20"/>
  <c r="Y153" i="20"/>
  <c r="Y152" i="20"/>
  <c r="Y142" i="20"/>
  <c r="Y155" i="20"/>
  <c r="Y154" i="20"/>
  <c r="Y175" i="20"/>
  <c r="Y173" i="20"/>
  <c r="Y172" i="20"/>
  <c r="Y143" i="20"/>
  <c r="Y174" i="20"/>
  <c r="Y144" i="20"/>
  <c r="Y149" i="20"/>
  <c r="X37" i="20"/>
  <c r="Y12" i="20"/>
  <c r="AA17" i="20"/>
  <c r="Z91" i="20"/>
  <c r="K13" i="19"/>
  <c r="V70" i="19"/>
  <c r="V114" i="12"/>
  <c r="V115" i="12"/>
  <c r="V116" i="12"/>
  <c r="K13" i="12"/>
  <c r="V70" i="12"/>
  <c r="Y123" i="20"/>
  <c r="Y120" i="20"/>
  <c r="Y122" i="20"/>
  <c r="Y10" i="12"/>
  <c r="X36" i="12"/>
  <c r="Y10" i="19"/>
  <c r="X36" i="19"/>
  <c r="X37" i="19"/>
  <c r="Y12" i="19"/>
  <c r="Y129" i="20"/>
  <c r="Y132" i="20"/>
  <c r="Y135" i="20"/>
  <c r="Y133" i="20"/>
  <c r="Y134" i="20"/>
  <c r="X119" i="20"/>
  <c r="Y45" i="20"/>
  <c r="X57" i="20"/>
  <c r="X52" i="20"/>
  <c r="W124" i="20"/>
  <c r="W121" i="20"/>
  <c r="X114" i="20"/>
  <c r="X115" i="20"/>
  <c r="X13" i="20"/>
  <c r="Y11" i="20"/>
  <c r="W74" i="20"/>
  <c r="W85" i="20"/>
  <c r="W84" i="20"/>
  <c r="W69" i="20"/>
  <c r="W82" i="20"/>
  <c r="W77" i="20"/>
  <c r="W83" i="20"/>
  <c r="W78" i="20"/>
  <c r="W79" i="20"/>
  <c r="W80" i="20"/>
  <c r="W75" i="20"/>
  <c r="W73" i="20"/>
  <c r="W71" i="20"/>
  <c r="W81" i="20"/>
  <c r="W72" i="20"/>
  <c r="W76" i="20"/>
  <c r="W87" i="20"/>
  <c r="K29" i="24"/>
  <c r="L29" i="24" s="1"/>
  <c r="M29" i="24" s="1"/>
  <c r="P29" i="24"/>
  <c r="W154" i="12"/>
  <c r="W144" i="12"/>
  <c r="W142" i="12"/>
  <c r="W153" i="12"/>
  <c r="W145" i="12"/>
  <c r="W155" i="12"/>
  <c r="W175" i="12"/>
  <c r="W172" i="12"/>
  <c r="W143" i="12"/>
  <c r="W152" i="12"/>
  <c r="W173" i="12"/>
  <c r="W174" i="12"/>
  <c r="W149" i="12"/>
  <c r="X32" i="12"/>
  <c r="X35" i="12"/>
  <c r="X27" i="12"/>
  <c r="X31" i="12"/>
  <c r="X23" i="12"/>
  <c r="Y7" i="12"/>
  <c r="X28" i="12"/>
  <c r="X29" i="12"/>
  <c r="X24" i="12"/>
  <c r="X63" i="12"/>
  <c r="X26" i="12"/>
  <c r="X38" i="12"/>
  <c r="X25" i="12"/>
  <c r="X30" i="12"/>
  <c r="X130" i="12"/>
  <c r="W86" i="12"/>
  <c r="W68" i="12"/>
  <c r="Y11" i="12"/>
  <c r="X13" i="12"/>
  <c r="W80" i="12"/>
  <c r="W85" i="12"/>
  <c r="W82" i="12"/>
  <c r="W84" i="12"/>
  <c r="W79" i="12"/>
  <c r="W87" i="12"/>
  <c r="W81" i="12"/>
  <c r="W78" i="12"/>
  <c r="W75" i="12"/>
  <c r="W73" i="12"/>
  <c r="W76" i="12"/>
  <c r="W77" i="12"/>
  <c r="W72" i="12"/>
  <c r="W69" i="12"/>
  <c r="W83" i="12"/>
  <c r="W71" i="12"/>
  <c r="W74" i="12"/>
  <c r="X120" i="19"/>
  <c r="X122" i="19"/>
  <c r="X123" i="19"/>
  <c r="G15" i="13"/>
  <c r="I62" i="21" s="1"/>
  <c r="H13" i="13"/>
  <c r="Y96" i="20"/>
  <c r="Y97" i="20" s="1"/>
  <c r="Z139" i="20"/>
  <c r="Y101" i="20"/>
  <c r="Y102" i="20" s="1"/>
  <c r="Y113" i="20"/>
  <c r="Z126" i="20"/>
  <c r="Z118" i="20"/>
  <c r="AA49" i="20"/>
  <c r="Z54" i="20"/>
  <c r="X38" i="20"/>
  <c r="X25" i="20"/>
  <c r="X28" i="20"/>
  <c r="X23" i="20"/>
  <c r="X130" i="20"/>
  <c r="X27" i="20"/>
  <c r="Y7" i="20"/>
  <c r="X26" i="20"/>
  <c r="X24" i="20"/>
  <c r="X29" i="20"/>
  <c r="X32" i="20"/>
  <c r="X35" i="20"/>
  <c r="X63" i="20"/>
  <c r="X30" i="20"/>
  <c r="X31" i="20"/>
  <c r="W86" i="20"/>
  <c r="Y131" i="20"/>
  <c r="Y139" i="19"/>
  <c r="Z49" i="19"/>
  <c r="X113" i="19"/>
  <c r="X101" i="19"/>
  <c r="X102" i="19" s="1"/>
  <c r="X96" i="19"/>
  <c r="X97" i="19" s="1"/>
  <c r="Y118" i="19"/>
  <c r="Y126" i="19"/>
  <c r="K13" i="20"/>
  <c r="V70" i="20"/>
  <c r="Y11" i="19"/>
  <c r="X13" i="19"/>
  <c r="W71" i="19"/>
  <c r="W73" i="19"/>
  <c r="W79" i="19"/>
  <c r="W69" i="19"/>
  <c r="W80" i="19"/>
  <c r="W84" i="19"/>
  <c r="W83" i="19"/>
  <c r="W76" i="19"/>
  <c r="W72" i="19"/>
  <c r="W78" i="19"/>
  <c r="W74" i="19"/>
  <c r="W81" i="19"/>
  <c r="W77" i="19"/>
  <c r="W75" i="19"/>
  <c r="W82" i="19"/>
  <c r="W85" i="19"/>
  <c r="W87" i="19"/>
  <c r="X155" i="19"/>
  <c r="X172" i="19"/>
  <c r="X154" i="19"/>
  <c r="X152" i="19"/>
  <c r="X145" i="19"/>
  <c r="X175" i="19"/>
  <c r="X174" i="19"/>
  <c r="X143" i="19"/>
  <c r="X144" i="19"/>
  <c r="X153" i="19"/>
  <c r="X142" i="19"/>
  <c r="X173" i="19"/>
  <c r="X149" i="19"/>
  <c r="Y45" i="19"/>
  <c r="X119" i="19"/>
  <c r="X57" i="19"/>
  <c r="X52" i="19"/>
  <c r="Y54" i="19"/>
  <c r="X8" i="19"/>
  <c r="V90" i="19"/>
  <c r="W131" i="12"/>
  <c r="W132" i="12"/>
  <c r="W133" i="12"/>
  <c r="W134" i="12"/>
  <c r="W129" i="12"/>
  <c r="G5" i="23"/>
  <c r="H3" i="23"/>
  <c r="H5" i="23" s="1"/>
  <c r="F17" i="23"/>
  <c r="I60" i="21"/>
  <c r="X37" i="12"/>
  <c r="Y12" i="12"/>
  <c r="K31" i="24"/>
  <c r="L31" i="24" s="1"/>
  <c r="M31" i="24" s="1"/>
  <c r="P31" i="24"/>
  <c r="X129" i="19"/>
  <c r="X132" i="19"/>
  <c r="X134" i="19"/>
  <c r="X133" i="19"/>
  <c r="I59" i="21"/>
  <c r="F9" i="23"/>
  <c r="W121" i="19"/>
  <c r="W124" i="19"/>
  <c r="Y10" i="20"/>
  <c r="X36" i="20"/>
  <c r="W124" i="12"/>
  <c r="W121" i="12"/>
  <c r="P28" i="24"/>
  <c r="K28" i="24"/>
  <c r="L28" i="24" s="1"/>
  <c r="M28" i="24" s="1"/>
  <c r="X63" i="19"/>
  <c r="X25" i="19"/>
  <c r="X38" i="19"/>
  <c r="Y7" i="19"/>
  <c r="X24" i="19"/>
  <c r="X23" i="19"/>
  <c r="X35" i="19"/>
  <c r="X31" i="19"/>
  <c r="X27" i="19"/>
  <c r="X32" i="19"/>
  <c r="X26" i="19"/>
  <c r="X29" i="19"/>
  <c r="X28" i="19"/>
  <c r="X30" i="19"/>
  <c r="X130" i="19"/>
  <c r="W86" i="19"/>
  <c r="J11" i="9"/>
  <c r="F109" i="19"/>
  <c r="F108" i="19"/>
  <c r="J14" i="9"/>
  <c r="J9" i="9"/>
  <c r="J12" i="9"/>
  <c r="J10" i="9"/>
  <c r="J13" i="9"/>
  <c r="Z166" i="19" l="1"/>
  <c r="W166" i="20"/>
  <c r="V166" i="20"/>
  <c r="AA166" i="20"/>
  <c r="U166" i="20"/>
  <c r="Z166" i="20"/>
  <c r="X166" i="20"/>
  <c r="W166" i="19"/>
  <c r="V166" i="19"/>
  <c r="D5" i="16"/>
  <c r="F5" i="16" s="1"/>
  <c r="Q35" i="24"/>
  <c r="P34" i="24"/>
  <c r="D3" i="16" s="1"/>
  <c r="F3" i="16" s="1"/>
  <c r="AA166" i="12"/>
  <c r="Y166" i="12"/>
  <c r="W166" i="12"/>
  <c r="U166" i="19"/>
  <c r="V166" i="12"/>
  <c r="AA166" i="19"/>
  <c r="Z166" i="12"/>
  <c r="X166" i="19"/>
  <c r="X166" i="12"/>
  <c r="J30" i="9"/>
  <c r="J31" i="9"/>
  <c r="J15" i="9"/>
  <c r="AA109" i="19"/>
  <c r="Z109" i="19"/>
  <c r="X109" i="19"/>
  <c r="W109" i="19"/>
  <c r="Y109" i="19"/>
  <c r="U109" i="19"/>
  <c r="V109" i="19"/>
  <c r="Z11" i="19"/>
  <c r="Y13" i="19"/>
  <c r="X76" i="19"/>
  <c r="X71" i="19"/>
  <c r="X82" i="19"/>
  <c r="X80" i="19"/>
  <c r="X74" i="19"/>
  <c r="X78" i="19"/>
  <c r="X85" i="19"/>
  <c r="X77" i="19"/>
  <c r="X75" i="19"/>
  <c r="X79" i="19"/>
  <c r="X69" i="19"/>
  <c r="X83" i="19"/>
  <c r="X72" i="19"/>
  <c r="X73" i="19"/>
  <c r="X84" i="19"/>
  <c r="X81" i="19"/>
  <c r="X87" i="19"/>
  <c r="AA91" i="20"/>
  <c r="Z10" i="19"/>
  <c r="Y36" i="19"/>
  <c r="Y37" i="20"/>
  <c r="Z12" i="20"/>
  <c r="N60" i="21"/>
  <c r="O60" i="21" s="1"/>
  <c r="G17" i="23"/>
  <c r="H17" i="23" s="1"/>
  <c r="N59" i="21"/>
  <c r="O59" i="21" s="1"/>
  <c r="G9" i="23"/>
  <c r="H9" i="23" s="1"/>
  <c r="X121" i="19"/>
  <c r="X124" i="19"/>
  <c r="Y132" i="19"/>
  <c r="Y134" i="19"/>
  <c r="Y133" i="19"/>
  <c r="Y135" i="19"/>
  <c r="Y129" i="19"/>
  <c r="Y131" i="19"/>
  <c r="Y119" i="20"/>
  <c r="Z45" i="20"/>
  <c r="Y57" i="20"/>
  <c r="Y52" i="20"/>
  <c r="Z10" i="12"/>
  <c r="Y36" i="12"/>
  <c r="Z45" i="19"/>
  <c r="Y119" i="19"/>
  <c r="Y57" i="19"/>
  <c r="Y52" i="19"/>
  <c r="Y122" i="19"/>
  <c r="Y120" i="19"/>
  <c r="Y123" i="19"/>
  <c r="AA101" i="20"/>
  <c r="AA102" i="20" s="1"/>
  <c r="Z96" i="20"/>
  <c r="Z97" i="20" s="1"/>
  <c r="AA96" i="20"/>
  <c r="AA97" i="20" s="1"/>
  <c r="AA139" i="20"/>
  <c r="AA113" i="20"/>
  <c r="Z113" i="20"/>
  <c r="AA126" i="20"/>
  <c r="Z101" i="20"/>
  <c r="Z102" i="20" s="1"/>
  <c r="AA118" i="20"/>
  <c r="AA54" i="20"/>
  <c r="L13" i="12"/>
  <c r="W70" i="12"/>
  <c r="X124" i="20"/>
  <c r="X121" i="20"/>
  <c r="Y38" i="12"/>
  <c r="Y130" i="12"/>
  <c r="Z7" i="12"/>
  <c r="Y63" i="12"/>
  <c r="Y35" i="12"/>
  <c r="Y24" i="12"/>
  <c r="Y26" i="12"/>
  <c r="Y30" i="12"/>
  <c r="Y25" i="12"/>
  <c r="Y28" i="12"/>
  <c r="Y27" i="12"/>
  <c r="Y32" i="12"/>
  <c r="Y31" i="12"/>
  <c r="Y29" i="12"/>
  <c r="Y23" i="12"/>
  <c r="X86" i="12"/>
  <c r="Z132" i="20"/>
  <c r="Z129" i="20"/>
  <c r="Z135" i="20"/>
  <c r="Z134" i="20"/>
  <c r="Z133" i="20"/>
  <c r="Z131" i="20"/>
  <c r="X155" i="12"/>
  <c r="X173" i="12"/>
  <c r="X175" i="12"/>
  <c r="X154" i="12"/>
  <c r="X143" i="12"/>
  <c r="X172" i="12"/>
  <c r="X153" i="12"/>
  <c r="X174" i="12"/>
  <c r="X144" i="12"/>
  <c r="X142" i="12"/>
  <c r="X145" i="12"/>
  <c r="X152" i="12"/>
  <c r="X149" i="12"/>
  <c r="X115" i="19"/>
  <c r="X114" i="19"/>
  <c r="Y115" i="20"/>
  <c r="Y114" i="20"/>
  <c r="Y116" i="20"/>
  <c r="Z11" i="20"/>
  <c r="Y13" i="20"/>
  <c r="X74" i="20"/>
  <c r="X71" i="20"/>
  <c r="X75" i="20"/>
  <c r="X81" i="20"/>
  <c r="X84" i="20"/>
  <c r="X69" i="20"/>
  <c r="X76" i="20"/>
  <c r="X78" i="20"/>
  <c r="X87" i="20"/>
  <c r="X83" i="20"/>
  <c r="X73" i="20"/>
  <c r="X80" i="20"/>
  <c r="X72" i="20"/>
  <c r="X79" i="20"/>
  <c r="X77" i="20"/>
  <c r="X82" i="20"/>
  <c r="X85" i="20"/>
  <c r="Y118" i="12"/>
  <c r="X113" i="12"/>
  <c r="X101" i="12"/>
  <c r="X102" i="12" s="1"/>
  <c r="X96" i="12"/>
  <c r="X97" i="12" s="1"/>
  <c r="Y139" i="12"/>
  <c r="Z49" i="12"/>
  <c r="Y126" i="12"/>
  <c r="Y54" i="12"/>
  <c r="X116" i="19"/>
  <c r="Z8" i="20"/>
  <c r="X90" i="20"/>
  <c r="Y23" i="19"/>
  <c r="Y28" i="19"/>
  <c r="Y130" i="19"/>
  <c r="Y25" i="19"/>
  <c r="Y32" i="19"/>
  <c r="Y35" i="19"/>
  <c r="Y30" i="19"/>
  <c r="Y26" i="19"/>
  <c r="Y38" i="19"/>
  <c r="Y31" i="19"/>
  <c r="Y24" i="19"/>
  <c r="Y27" i="19"/>
  <c r="Z7" i="19"/>
  <c r="Y29" i="19"/>
  <c r="Y63" i="19"/>
  <c r="X86" i="19"/>
  <c r="Z122" i="20"/>
  <c r="Z120" i="20"/>
  <c r="Z123" i="20"/>
  <c r="Z118" i="19"/>
  <c r="Y101" i="19"/>
  <c r="Y102" i="19" s="1"/>
  <c r="AA49" i="19"/>
  <c r="Y113" i="19"/>
  <c r="Z139" i="19"/>
  <c r="Z126" i="19"/>
  <c r="Y96" i="19"/>
  <c r="Y97" i="19" s="1"/>
  <c r="Z54" i="19"/>
  <c r="Y31" i="20"/>
  <c r="Y32" i="20"/>
  <c r="Y28" i="20"/>
  <c r="Y23" i="20"/>
  <c r="Y27" i="20"/>
  <c r="Y26" i="20"/>
  <c r="Y63" i="20"/>
  <c r="Y29" i="20"/>
  <c r="Y25" i="20"/>
  <c r="Y30" i="20"/>
  <c r="Y24" i="20"/>
  <c r="Y35" i="20"/>
  <c r="Y130" i="20"/>
  <c r="Y38" i="20"/>
  <c r="Z7" i="20"/>
  <c r="X86" i="20"/>
  <c r="L13" i="20"/>
  <c r="W70" i="20"/>
  <c r="X132" i="12"/>
  <c r="X131" i="12"/>
  <c r="X133" i="12"/>
  <c r="X135" i="12"/>
  <c r="X129" i="12"/>
  <c r="X134" i="12"/>
  <c r="H15" i="13"/>
  <c r="N62" i="21" s="1"/>
  <c r="O62" i="21" s="1"/>
  <c r="I13" i="13"/>
  <c r="Y174" i="19"/>
  <c r="Y142" i="19"/>
  <c r="Y154" i="19"/>
  <c r="Y172" i="19"/>
  <c r="Y173" i="19"/>
  <c r="Y175" i="19"/>
  <c r="Y144" i="19"/>
  <c r="Y153" i="19"/>
  <c r="Y155" i="19"/>
  <c r="Y143" i="19"/>
  <c r="Y145" i="19"/>
  <c r="Y152" i="19"/>
  <c r="Y149" i="19"/>
  <c r="Z152" i="20"/>
  <c r="Z155" i="20"/>
  <c r="Z145" i="20"/>
  <c r="Z142" i="20"/>
  <c r="Z174" i="20"/>
  <c r="Z154" i="20"/>
  <c r="Z173" i="20"/>
  <c r="Z144" i="20"/>
  <c r="Z172" i="20"/>
  <c r="Z153" i="20"/>
  <c r="Z143" i="20"/>
  <c r="Z175" i="20"/>
  <c r="Z149" i="20"/>
  <c r="Z11" i="12"/>
  <c r="X68" i="12"/>
  <c r="Y13" i="12"/>
  <c r="X81" i="12"/>
  <c r="X71" i="12"/>
  <c r="X83" i="12"/>
  <c r="X77" i="12"/>
  <c r="X72" i="12"/>
  <c r="X79" i="12"/>
  <c r="X69" i="12"/>
  <c r="X76" i="12"/>
  <c r="X87" i="12"/>
  <c r="X80" i="12"/>
  <c r="X85" i="12"/>
  <c r="X82" i="12"/>
  <c r="X84" i="12"/>
  <c r="X74" i="12"/>
  <c r="X78" i="12"/>
  <c r="X75" i="12"/>
  <c r="X73" i="12"/>
  <c r="X121" i="12"/>
  <c r="X124" i="12"/>
  <c r="Z12" i="19"/>
  <c r="Y37" i="19"/>
  <c r="W115" i="12"/>
  <c r="W114" i="12"/>
  <c r="W116" i="12"/>
  <c r="Y36" i="20"/>
  <c r="Z10" i="20"/>
  <c r="Y37" i="12"/>
  <c r="Z12" i="12"/>
  <c r="Y8" i="19"/>
  <c r="W90" i="19"/>
  <c r="L13" i="19"/>
  <c r="W70" i="19"/>
  <c r="X123" i="12"/>
  <c r="X122" i="12"/>
  <c r="X120" i="12"/>
  <c r="Y119" i="12"/>
  <c r="Z45" i="12"/>
  <c r="Y57" i="12"/>
  <c r="Y52" i="12"/>
  <c r="F108" i="20"/>
  <c r="F109" i="20"/>
  <c r="K13" i="9"/>
  <c r="K11" i="9"/>
  <c r="F14" i="25"/>
  <c r="F17" i="25"/>
  <c r="K10" i="9"/>
  <c r="K9" i="9"/>
  <c r="F108" i="12"/>
  <c r="F109" i="12"/>
  <c r="K14" i="9"/>
  <c r="F15" i="25"/>
  <c r="K12" i="9"/>
  <c r="P35" i="24" l="1"/>
  <c r="F7" i="16" s="1"/>
  <c r="Y109" i="20"/>
  <c r="U109" i="20"/>
  <c r="W109" i="20"/>
  <c r="AA109" i="20"/>
  <c r="V109" i="20"/>
  <c r="Z109" i="20"/>
  <c r="X109" i="20"/>
  <c r="G15" i="25"/>
  <c r="H15" i="25"/>
  <c r="K31" i="9"/>
  <c r="K15" i="9"/>
  <c r="Y109" i="12"/>
  <c r="W109" i="12"/>
  <c r="Z109" i="12"/>
  <c r="V109" i="12"/>
  <c r="X109" i="12"/>
  <c r="U109" i="12"/>
  <c r="AA109" i="12"/>
  <c r="K30" i="9"/>
  <c r="H17" i="25"/>
  <c r="G17" i="25"/>
  <c r="H14" i="25"/>
  <c r="G14" i="25"/>
  <c r="Z132" i="19"/>
  <c r="Z135" i="19"/>
  <c r="Z134" i="19"/>
  <c r="Z129" i="19"/>
  <c r="Z133" i="19"/>
  <c r="Z131" i="19"/>
  <c r="Y132" i="12"/>
  <c r="Y131" i="12"/>
  <c r="Y133" i="12"/>
  <c r="Y134" i="12"/>
  <c r="Y135" i="12"/>
  <c r="Y129" i="12"/>
  <c r="M13" i="20"/>
  <c r="X70" i="20"/>
  <c r="Z118" i="12"/>
  <c r="Y96" i="12"/>
  <c r="Y97" i="12" s="1"/>
  <c r="Z54" i="12"/>
  <c r="Y113" i="12"/>
  <c r="AA49" i="12"/>
  <c r="Z139" i="12"/>
  <c r="Y101" i="12"/>
  <c r="Y102" i="12" s="1"/>
  <c r="Z126" i="12"/>
  <c r="AA11" i="20"/>
  <c r="Z13" i="20"/>
  <c r="Y87" i="20"/>
  <c r="Y75" i="20"/>
  <c r="Y73" i="20"/>
  <c r="Y85" i="20"/>
  <c r="Y69" i="20"/>
  <c r="Y77" i="20"/>
  <c r="Y79" i="20"/>
  <c r="Y76" i="20"/>
  <c r="Y80" i="20"/>
  <c r="Y74" i="20"/>
  <c r="Y71" i="20"/>
  <c r="Y82" i="20"/>
  <c r="Y83" i="20"/>
  <c r="Y72" i="20"/>
  <c r="Y78" i="20"/>
  <c r="Y81" i="20"/>
  <c r="Y84" i="20"/>
  <c r="Y124" i="19"/>
  <c r="Y121" i="19"/>
  <c r="Z8" i="19"/>
  <c r="X90" i="19"/>
  <c r="Z31" i="20"/>
  <c r="Z35" i="20"/>
  <c r="Z130" i="20"/>
  <c r="Z25" i="20"/>
  <c r="Z27" i="20"/>
  <c r="Z30" i="20"/>
  <c r="Z26" i="20"/>
  <c r="Z28" i="20"/>
  <c r="Z24" i="20"/>
  <c r="Z29" i="20"/>
  <c r="Z38" i="20"/>
  <c r="Z63" i="20"/>
  <c r="Z32" i="20"/>
  <c r="AA7" i="20"/>
  <c r="Z23" i="20"/>
  <c r="Y86" i="20"/>
  <c r="Y155" i="12"/>
  <c r="Y142" i="12"/>
  <c r="Y143" i="12"/>
  <c r="Y174" i="12"/>
  <c r="Y145" i="12"/>
  <c r="Y154" i="12"/>
  <c r="Y173" i="12"/>
  <c r="Y152" i="12"/>
  <c r="Y172" i="12"/>
  <c r="Y144" i="12"/>
  <c r="Y153" i="12"/>
  <c r="Y149" i="12"/>
  <c r="Y175" i="12"/>
  <c r="Z116" i="20"/>
  <c r="Z114" i="20"/>
  <c r="Z115" i="20"/>
  <c r="Z119" i="19"/>
  <c r="AA45" i="19"/>
  <c r="Z57" i="19"/>
  <c r="Z52" i="19"/>
  <c r="Z25" i="19"/>
  <c r="Z23" i="19"/>
  <c r="Z24" i="19"/>
  <c r="Z26" i="19"/>
  <c r="Z130" i="19"/>
  <c r="Z35" i="19"/>
  <c r="Z30" i="19"/>
  <c r="Z27" i="19"/>
  <c r="AA7" i="19"/>
  <c r="Z29" i="19"/>
  <c r="Z28" i="19"/>
  <c r="Z63" i="19"/>
  <c r="Z32" i="19"/>
  <c r="Z31" i="19"/>
  <c r="Z38" i="19"/>
  <c r="Y86" i="19"/>
  <c r="Z144" i="19"/>
  <c r="Z174" i="19"/>
  <c r="Z142" i="19"/>
  <c r="Z152" i="19"/>
  <c r="Z143" i="19"/>
  <c r="Z172" i="19"/>
  <c r="Z153" i="19"/>
  <c r="Z154" i="19"/>
  <c r="Z145" i="19"/>
  <c r="Z155" i="19"/>
  <c r="Z175" i="19"/>
  <c r="Z173" i="19"/>
  <c r="Z149" i="19"/>
  <c r="M13" i="12"/>
  <c r="X70" i="12"/>
  <c r="Y115" i="19"/>
  <c r="Y114" i="19"/>
  <c r="Y116" i="19"/>
  <c r="AA126" i="19"/>
  <c r="AA101" i="19"/>
  <c r="AA102" i="19" s="1"/>
  <c r="Z101" i="19"/>
  <c r="Z102" i="19" s="1"/>
  <c r="AA96" i="19"/>
  <c r="AA97" i="19" s="1"/>
  <c r="Z113" i="19"/>
  <c r="AA113" i="19"/>
  <c r="AA118" i="19"/>
  <c r="Z96" i="19"/>
  <c r="Z97" i="19" s="1"/>
  <c r="AA139" i="19"/>
  <c r="AA54" i="19"/>
  <c r="AA120" i="20"/>
  <c r="AA123" i="20"/>
  <c r="AA122" i="20"/>
  <c r="Z122" i="19"/>
  <c r="Z123" i="19"/>
  <c r="Z120" i="19"/>
  <c r="AA132" i="20"/>
  <c r="AA133" i="20"/>
  <c r="AA135" i="20"/>
  <c r="AA129" i="20"/>
  <c r="AA134" i="20"/>
  <c r="AA131" i="20"/>
  <c r="AA12" i="12"/>
  <c r="AA37" i="12" s="1"/>
  <c r="Z37" i="12"/>
  <c r="J13" i="13"/>
  <c r="J15" i="13" s="1"/>
  <c r="I15" i="13"/>
  <c r="Z24" i="12"/>
  <c r="Z28" i="12"/>
  <c r="Z25" i="12"/>
  <c r="Z30" i="12"/>
  <c r="Z23" i="12"/>
  <c r="Z32" i="12"/>
  <c r="Z27" i="12"/>
  <c r="Z35" i="12"/>
  <c r="AA7" i="12"/>
  <c r="Z26" i="12"/>
  <c r="Z31" i="12"/>
  <c r="Z63" i="12"/>
  <c r="Z130" i="12"/>
  <c r="Z38" i="12"/>
  <c r="Z29" i="12"/>
  <c r="Y86" i="12"/>
  <c r="AA116" i="20"/>
  <c r="AA115" i="20"/>
  <c r="AA114" i="20"/>
  <c r="M13" i="19"/>
  <c r="X70" i="19"/>
  <c r="AA45" i="20"/>
  <c r="Z119" i="20"/>
  <c r="Z57" i="20"/>
  <c r="Z52" i="20"/>
  <c r="AA8" i="20"/>
  <c r="Y90" i="20"/>
  <c r="AA12" i="19"/>
  <c r="AA37" i="19" s="1"/>
  <c r="Z37" i="19"/>
  <c r="AA10" i="19"/>
  <c r="AA36" i="19" s="1"/>
  <c r="Z36" i="19"/>
  <c r="AA175" i="20"/>
  <c r="AA173" i="20"/>
  <c r="AA172" i="20"/>
  <c r="AA142" i="20"/>
  <c r="AA152" i="20"/>
  <c r="AA155" i="20"/>
  <c r="AA144" i="20"/>
  <c r="AA145" i="20"/>
  <c r="AA143" i="20"/>
  <c r="AA153" i="20"/>
  <c r="AA174" i="20"/>
  <c r="AA154" i="20"/>
  <c r="AA149" i="20"/>
  <c r="Z36" i="12"/>
  <c r="AA10" i="12"/>
  <c r="AA36" i="12" s="1"/>
  <c r="Z13" i="19"/>
  <c r="AA11" i="19"/>
  <c r="Y77" i="19"/>
  <c r="Y72" i="19"/>
  <c r="Y75" i="19"/>
  <c r="Y85" i="19"/>
  <c r="Y82" i="19"/>
  <c r="Y74" i="19"/>
  <c r="Y80" i="19"/>
  <c r="Y81" i="19"/>
  <c r="Y83" i="19"/>
  <c r="Y69" i="19"/>
  <c r="Y78" i="19"/>
  <c r="Y76" i="19"/>
  <c r="Y71" i="19"/>
  <c r="Y73" i="19"/>
  <c r="Y84" i="19"/>
  <c r="Y79" i="19"/>
  <c r="Y87" i="19"/>
  <c r="Y124" i="12"/>
  <c r="Y121" i="12"/>
  <c r="AA10" i="20"/>
  <c r="AA36" i="20" s="1"/>
  <c r="Z36" i="20"/>
  <c r="X114" i="12"/>
  <c r="X115" i="12"/>
  <c r="X116" i="12"/>
  <c r="Y124" i="20"/>
  <c r="Y121" i="20"/>
  <c r="AA12" i="20"/>
  <c r="AA37" i="20" s="1"/>
  <c r="Z37" i="20"/>
  <c r="AA11" i="12"/>
  <c r="Y68" i="12"/>
  <c r="Z13" i="12"/>
  <c r="Y87" i="12"/>
  <c r="Y74" i="12"/>
  <c r="Y83" i="12"/>
  <c r="Y79" i="12"/>
  <c r="Y73" i="12"/>
  <c r="Y76" i="12"/>
  <c r="Y85" i="12"/>
  <c r="Y80" i="12"/>
  <c r="Y69" i="12"/>
  <c r="Y77" i="12"/>
  <c r="Y84" i="12"/>
  <c r="Y75" i="12"/>
  <c r="Y72" i="12"/>
  <c r="Y78" i="12"/>
  <c r="Y81" i="12"/>
  <c r="Y71" i="12"/>
  <c r="Y82" i="12"/>
  <c r="Z119" i="12"/>
  <c r="AA45" i="12"/>
  <c r="Z57" i="12"/>
  <c r="Z52" i="12"/>
  <c r="Y120" i="12"/>
  <c r="Y122" i="12"/>
  <c r="Y123" i="12"/>
  <c r="P108" i="19"/>
  <c r="P108" i="12"/>
  <c r="P108" i="20"/>
  <c r="L10" i="9"/>
  <c r="L14" i="9"/>
  <c r="L12" i="9"/>
  <c r="L11" i="9"/>
  <c r="L13" i="9"/>
  <c r="L9" i="9"/>
  <c r="Z108" i="20" l="1"/>
  <c r="U108" i="20"/>
  <c r="U168" i="20" s="1"/>
  <c r="U177" i="20" s="1"/>
  <c r="U178" i="20" s="1"/>
  <c r="W108" i="20"/>
  <c r="X108" i="20"/>
  <c r="Y108" i="20"/>
  <c r="V108" i="20"/>
  <c r="V168" i="20" s="1"/>
  <c r="V169" i="20" s="1"/>
  <c r="AA108" i="20"/>
  <c r="U108" i="12"/>
  <c r="U168" i="12" s="1"/>
  <c r="Y108" i="12"/>
  <c r="X108" i="12"/>
  <c r="X168" i="12" s="1"/>
  <c r="AA108" i="12"/>
  <c r="W108" i="12"/>
  <c r="W168" i="12" s="1"/>
  <c r="V108" i="12"/>
  <c r="Z108" i="12"/>
  <c r="Z108" i="19"/>
  <c r="Y108" i="19"/>
  <c r="AA108" i="19"/>
  <c r="X108" i="19"/>
  <c r="X168" i="19" s="1"/>
  <c r="V108" i="19"/>
  <c r="V168" i="19" s="1"/>
  <c r="V169" i="19" s="1"/>
  <c r="U108" i="19"/>
  <c r="U168" i="19" s="1"/>
  <c r="U177" i="19" s="1"/>
  <c r="U178" i="19" s="1"/>
  <c r="W108" i="19"/>
  <c r="W168" i="19" s="1"/>
  <c r="W177" i="19" s="1"/>
  <c r="W178" i="19" s="1"/>
  <c r="X168" i="20"/>
  <c r="X177" i="20" s="1"/>
  <c r="X178" i="20" s="1"/>
  <c r="V168" i="12"/>
  <c r="V169" i="12" s="1"/>
  <c r="W168" i="20"/>
  <c r="W177" i="20" s="1"/>
  <c r="W178" i="20" s="1"/>
  <c r="L30" i="9"/>
  <c r="L15" i="9"/>
  <c r="L31" i="9"/>
  <c r="Z90" i="20"/>
  <c r="AA90" i="20"/>
  <c r="Z132" i="12"/>
  <c r="Z129" i="12"/>
  <c r="Z133" i="12"/>
  <c r="Z134" i="12"/>
  <c r="Z135" i="12"/>
  <c r="Z131" i="12"/>
  <c r="N13" i="19"/>
  <c r="Y70" i="19"/>
  <c r="Z121" i="20"/>
  <c r="Z124" i="20"/>
  <c r="AA116" i="19"/>
  <c r="AA114" i="19"/>
  <c r="AA115" i="19"/>
  <c r="AA119" i="12"/>
  <c r="AA57" i="12"/>
  <c r="AA52" i="12"/>
  <c r="N13" i="20"/>
  <c r="Y70" i="20"/>
  <c r="Y168" i="20" s="1"/>
  <c r="Z121" i="12"/>
  <c r="Z124" i="12"/>
  <c r="AA29" i="20"/>
  <c r="AA25" i="20"/>
  <c r="AA26" i="20"/>
  <c r="AA28" i="20"/>
  <c r="AA30" i="20"/>
  <c r="AA31" i="20"/>
  <c r="AA130" i="20"/>
  <c r="AA63" i="20"/>
  <c r="AA38" i="20"/>
  <c r="AA32" i="20"/>
  <c r="AA23" i="20"/>
  <c r="AA24" i="20"/>
  <c r="AA27" i="20"/>
  <c r="AA35" i="20"/>
  <c r="Z86" i="20"/>
  <c r="AA86" i="20"/>
  <c r="AA13" i="20"/>
  <c r="Z73" i="20"/>
  <c r="Z80" i="20"/>
  <c r="Z69" i="20"/>
  <c r="Z81" i="20"/>
  <c r="Z79" i="20"/>
  <c r="Z84" i="20"/>
  <c r="Z77" i="20"/>
  <c r="Z83" i="20"/>
  <c r="Z87" i="20"/>
  <c r="Z85" i="20"/>
  <c r="Z82" i="20"/>
  <c r="Z71" i="20"/>
  <c r="Z72" i="20"/>
  <c r="Z74" i="20"/>
  <c r="Z78" i="20"/>
  <c r="Z75" i="20"/>
  <c r="Z76" i="20"/>
  <c r="AA84" i="20"/>
  <c r="AA83" i="20"/>
  <c r="AA76" i="20"/>
  <c r="AA72" i="20"/>
  <c r="AA74" i="20"/>
  <c r="AA82" i="20"/>
  <c r="AA79" i="20"/>
  <c r="AA69" i="20"/>
  <c r="AA87" i="20"/>
  <c r="AA80" i="20"/>
  <c r="AA73" i="20"/>
  <c r="AA75" i="20"/>
  <c r="AA71" i="20"/>
  <c r="AA85" i="20"/>
  <c r="AA81" i="20"/>
  <c r="AA78" i="20"/>
  <c r="AA77" i="20"/>
  <c r="AA119" i="20"/>
  <c r="AA57" i="20"/>
  <c r="AA52" i="20"/>
  <c r="AA132" i="19"/>
  <c r="AA135" i="19"/>
  <c r="AA134" i="19"/>
  <c r="AA133" i="19"/>
  <c r="AA129" i="19"/>
  <c r="AA131" i="19"/>
  <c r="AA8" i="19"/>
  <c r="Y90" i="19"/>
  <c r="Z175" i="12"/>
  <c r="Z154" i="12"/>
  <c r="Z174" i="12"/>
  <c r="Z145" i="12"/>
  <c r="Z172" i="12"/>
  <c r="Z149" i="12"/>
  <c r="Z173" i="12"/>
  <c r="Z142" i="12"/>
  <c r="Z155" i="12"/>
  <c r="Z143" i="12"/>
  <c r="Z153" i="12"/>
  <c r="Z144" i="12"/>
  <c r="Z152" i="12"/>
  <c r="Z120" i="12"/>
  <c r="Z122" i="12"/>
  <c r="Z123" i="12"/>
  <c r="AA123" i="19"/>
  <c r="AA122" i="19"/>
  <c r="AA120" i="19"/>
  <c r="AA13" i="19"/>
  <c r="Z87" i="19"/>
  <c r="Z77" i="19"/>
  <c r="AA73" i="19"/>
  <c r="AA82" i="19"/>
  <c r="Z79" i="19"/>
  <c r="AA78" i="19"/>
  <c r="AA71" i="19"/>
  <c r="AA76" i="19"/>
  <c r="Z85" i="19"/>
  <c r="Z74" i="19"/>
  <c r="Z80" i="19"/>
  <c r="AA80" i="19"/>
  <c r="AA74" i="19"/>
  <c r="AA81" i="19"/>
  <c r="AA85" i="19"/>
  <c r="Z82" i="19"/>
  <c r="AA69" i="19"/>
  <c r="Z75" i="19"/>
  <c r="Z71" i="19"/>
  <c r="AA75" i="19"/>
  <c r="AA72" i="19"/>
  <c r="AA87" i="19"/>
  <c r="Z76" i="19"/>
  <c r="Z81" i="19"/>
  <c r="Z73" i="19"/>
  <c r="AA84" i="19"/>
  <c r="AA79" i="19"/>
  <c r="Z69" i="19"/>
  <c r="Z84" i="19"/>
  <c r="Z83" i="19"/>
  <c r="Z72" i="19"/>
  <c r="AA83" i="19"/>
  <c r="Z78" i="19"/>
  <c r="AA77" i="19"/>
  <c r="AA23" i="12"/>
  <c r="AA28" i="12"/>
  <c r="AA31" i="12"/>
  <c r="AA130" i="12"/>
  <c r="AA27" i="12"/>
  <c r="AA29" i="12"/>
  <c r="AA38" i="12"/>
  <c r="AA26" i="12"/>
  <c r="AA35" i="12"/>
  <c r="AA32" i="12"/>
  <c r="AA25" i="12"/>
  <c r="AA24" i="12"/>
  <c r="AA63" i="12"/>
  <c r="AA30" i="12"/>
  <c r="Z86" i="12"/>
  <c r="AA86" i="12"/>
  <c r="AA119" i="19"/>
  <c r="AA57" i="19"/>
  <c r="AA52" i="19"/>
  <c r="AA113" i="12"/>
  <c r="Z113" i="12"/>
  <c r="AA54" i="12"/>
  <c r="AA126" i="12"/>
  <c r="Z101" i="12"/>
  <c r="Z102" i="12" s="1"/>
  <c r="AA96" i="12"/>
  <c r="AA97" i="12" s="1"/>
  <c r="AA118" i="12"/>
  <c r="Z96" i="12"/>
  <c r="Z97" i="12" s="1"/>
  <c r="AA139" i="12"/>
  <c r="AA101" i="12"/>
  <c r="AA102" i="12" s="1"/>
  <c r="AA175" i="19"/>
  <c r="AA173" i="19"/>
  <c r="AA143" i="19"/>
  <c r="AA172" i="19"/>
  <c r="AA152" i="19"/>
  <c r="AA144" i="19"/>
  <c r="AA153" i="19"/>
  <c r="AA142" i="19"/>
  <c r="AA155" i="19"/>
  <c r="AA174" i="19"/>
  <c r="AA145" i="19"/>
  <c r="AA154" i="19"/>
  <c r="AA149" i="19"/>
  <c r="Z115" i="19"/>
  <c r="Z114" i="19"/>
  <c r="Z116" i="19"/>
  <c r="AA130" i="19"/>
  <c r="AA23" i="19"/>
  <c r="AA63" i="19"/>
  <c r="AA26" i="19"/>
  <c r="AA38" i="19"/>
  <c r="AA29" i="19"/>
  <c r="AA30" i="19"/>
  <c r="AA28" i="19"/>
  <c r="AA32" i="19"/>
  <c r="AA27" i="19"/>
  <c r="AA31" i="19"/>
  <c r="AA24" i="19"/>
  <c r="AA25" i="19"/>
  <c r="AA35" i="19"/>
  <c r="AA86" i="19"/>
  <c r="Z86" i="19"/>
  <c r="Z68" i="12"/>
  <c r="AA68" i="12"/>
  <c r="AA13" i="12"/>
  <c r="Z74" i="12"/>
  <c r="Z78" i="12"/>
  <c r="Z84" i="12"/>
  <c r="Z82" i="12"/>
  <c r="Z83" i="12"/>
  <c r="Z69" i="12"/>
  <c r="Z72" i="12"/>
  <c r="Z75" i="12"/>
  <c r="Z80" i="12"/>
  <c r="Z76" i="12"/>
  <c r="Z85" i="12"/>
  <c r="Z87" i="12"/>
  <c r="Z81" i="12"/>
  <c r="Z71" i="12"/>
  <c r="Z79" i="12"/>
  <c r="Z73" i="12"/>
  <c r="Z77" i="12"/>
  <c r="AA74" i="12"/>
  <c r="AA73" i="12"/>
  <c r="AA81" i="12"/>
  <c r="AA85" i="12"/>
  <c r="AA78" i="12"/>
  <c r="AA71" i="12"/>
  <c r="AA87" i="12"/>
  <c r="AA69" i="12"/>
  <c r="AA75" i="12"/>
  <c r="AA77" i="12"/>
  <c r="AA76" i="12"/>
  <c r="AA80" i="12"/>
  <c r="AA82" i="12"/>
  <c r="AA84" i="12"/>
  <c r="AA79" i="12"/>
  <c r="AA83" i="12"/>
  <c r="AA72" i="12"/>
  <c r="Z121" i="19"/>
  <c r="Z124" i="19"/>
  <c r="Y115" i="12"/>
  <c r="Y114" i="12"/>
  <c r="Y116" i="12"/>
  <c r="N13" i="12"/>
  <c r="Y70" i="12"/>
  <c r="V177" i="20"/>
  <c r="V178" i="20" s="1"/>
  <c r="H25" i="21"/>
  <c r="H27" i="21"/>
  <c r="H26" i="21"/>
  <c r="W169" i="19" l="1"/>
  <c r="X169" i="19"/>
  <c r="X177" i="19"/>
  <c r="X178" i="19" s="1"/>
  <c r="V177" i="12"/>
  <c r="V178" i="12" s="1"/>
  <c r="V179" i="12" s="1"/>
  <c r="J179" i="12" s="1"/>
  <c r="I30" i="21" s="1"/>
  <c r="V177" i="19"/>
  <c r="V178" i="19" s="1"/>
  <c r="U169" i="20"/>
  <c r="U169" i="19"/>
  <c r="X169" i="12"/>
  <c r="X177" i="12"/>
  <c r="X178" i="12" s="1"/>
  <c r="X179" i="12" s="1"/>
  <c r="L179" i="12" s="1"/>
  <c r="I57" i="21" s="1"/>
  <c r="U177" i="12"/>
  <c r="U178" i="12" s="1"/>
  <c r="U169" i="12"/>
  <c r="W169" i="20"/>
  <c r="X169" i="20"/>
  <c r="Y168" i="12"/>
  <c r="Y169" i="12" s="1"/>
  <c r="I26" i="21"/>
  <c r="I27" i="21"/>
  <c r="I25" i="21"/>
  <c r="AA124" i="19"/>
  <c r="AA121" i="19"/>
  <c r="AA152" i="12"/>
  <c r="AA155" i="12"/>
  <c r="AA154" i="12"/>
  <c r="AA142" i="12"/>
  <c r="AA144" i="12"/>
  <c r="AA173" i="12"/>
  <c r="AA149" i="12"/>
  <c r="AA143" i="12"/>
  <c r="AA175" i="12"/>
  <c r="AA145" i="12"/>
  <c r="AA174" i="12"/>
  <c r="AA153" i="12"/>
  <c r="AA172" i="12"/>
  <c r="AA122" i="12"/>
  <c r="AA120" i="12"/>
  <c r="AA123" i="12"/>
  <c r="O13" i="19"/>
  <c r="Z70" i="19"/>
  <c r="AA70" i="19"/>
  <c r="Y169" i="20"/>
  <c r="Y177" i="20"/>
  <c r="Y178" i="20" s="1"/>
  <c r="W177" i="12"/>
  <c r="W178" i="12" s="1"/>
  <c r="W169" i="12"/>
  <c r="Z90" i="19"/>
  <c r="AA90" i="19"/>
  <c r="AA132" i="12"/>
  <c r="AA135" i="12"/>
  <c r="AA131" i="12"/>
  <c r="AA129" i="12"/>
  <c r="AA134" i="12"/>
  <c r="AA133" i="12"/>
  <c r="Y168" i="19"/>
  <c r="O13" i="12"/>
  <c r="Z70" i="12"/>
  <c r="AA70" i="12"/>
  <c r="O13" i="20"/>
  <c r="Z70" i="20"/>
  <c r="Z168" i="20" s="1"/>
  <c r="AA70" i="20"/>
  <c r="AA121" i="20"/>
  <c r="AA124" i="20"/>
  <c r="Z114" i="12"/>
  <c r="Z115" i="12"/>
  <c r="Z116" i="12"/>
  <c r="AA115" i="12"/>
  <c r="AA114" i="12"/>
  <c r="AA116" i="12"/>
  <c r="AA124" i="12"/>
  <c r="AA121" i="12"/>
  <c r="M26" i="21"/>
  <c r="H53" i="21"/>
  <c r="H10" i="21"/>
  <c r="H11" i="21"/>
  <c r="H52" i="21"/>
  <c r="H9" i="21"/>
  <c r="M27" i="21"/>
  <c r="H54" i="21"/>
  <c r="M52" i="21"/>
  <c r="M54" i="21"/>
  <c r="M25" i="21"/>
  <c r="N26" i="21" l="1"/>
  <c r="O26" i="21" s="1"/>
  <c r="I11" i="21"/>
  <c r="I10" i="21"/>
  <c r="I53" i="21"/>
  <c r="U179" i="12"/>
  <c r="I179" i="12" s="1"/>
  <c r="I14" i="21" s="1"/>
  <c r="O14" i="21" s="1"/>
  <c r="N27" i="21"/>
  <c r="I9" i="21"/>
  <c r="I52" i="21"/>
  <c r="I54" i="21"/>
  <c r="O27" i="21"/>
  <c r="AA168" i="19"/>
  <c r="AA169" i="19" s="1"/>
  <c r="Z168" i="19"/>
  <c r="Z169" i="19" s="1"/>
  <c r="Y177" i="12"/>
  <c r="Y178" i="12" s="1"/>
  <c r="Y179" i="12" s="1"/>
  <c r="M179" i="12" s="1"/>
  <c r="N57" i="21" s="1"/>
  <c r="O57" i="21" s="1"/>
  <c r="AA168" i="20"/>
  <c r="AA169" i="20" s="1"/>
  <c r="W179" i="12"/>
  <c r="K179" i="12" s="1"/>
  <c r="N30" i="21" s="1"/>
  <c r="O30" i="21" s="1"/>
  <c r="N25" i="21"/>
  <c r="N54" i="21"/>
  <c r="N52" i="21"/>
  <c r="AA168" i="12"/>
  <c r="Z177" i="20"/>
  <c r="Z178" i="20" s="1"/>
  <c r="Z169" i="20"/>
  <c r="Z168" i="12"/>
  <c r="Y169" i="19"/>
  <c r="Y177" i="19"/>
  <c r="Y178" i="19" s="1"/>
  <c r="I29" i="21"/>
  <c r="F10" i="25"/>
  <c r="M53" i="21"/>
  <c r="I13" i="21" l="1"/>
  <c r="F13" i="21" s="1"/>
  <c r="I56" i="21"/>
  <c r="I58" i="21" s="1"/>
  <c r="I63" i="21" s="1"/>
  <c r="N29" i="21"/>
  <c r="O29" i="21" s="1"/>
  <c r="O31" i="21" s="1"/>
  <c r="O36" i="21" s="1"/>
  <c r="O42" i="21" s="1"/>
  <c r="O44" i="21" s="1"/>
  <c r="O45" i="21" s="1"/>
  <c r="AA177" i="19"/>
  <c r="AA178" i="19" s="1"/>
  <c r="Z177" i="19"/>
  <c r="Z178" i="19" s="1"/>
  <c r="AA177" i="20"/>
  <c r="AA178" i="20" s="1"/>
  <c r="H10" i="25"/>
  <c r="G10" i="25"/>
  <c r="O25" i="21"/>
  <c r="N53" i="21"/>
  <c r="N56" i="21" s="1"/>
  <c r="I31" i="21"/>
  <c r="I36" i="21" s="1"/>
  <c r="H29" i="21"/>
  <c r="F29" i="21"/>
  <c r="AA169" i="12"/>
  <c r="AA177" i="12"/>
  <c r="AA178" i="12" s="1"/>
  <c r="Z177" i="12"/>
  <c r="Z178" i="12" s="1"/>
  <c r="Z169" i="12"/>
  <c r="F6" i="25"/>
  <c r="F7" i="25"/>
  <c r="N31" i="21" l="1"/>
  <c r="N36" i="21" s="1"/>
  <c r="N37" i="21" s="1"/>
  <c r="K29" i="21"/>
  <c r="M29" i="21"/>
  <c r="H13" i="21"/>
  <c r="I15" i="21"/>
  <c r="I17" i="21" s="1"/>
  <c r="O17" i="21" s="1"/>
  <c r="O18" i="21" s="1"/>
  <c r="O13" i="21"/>
  <c r="G6" i="25"/>
  <c r="H6" i="25"/>
  <c r="O56" i="21"/>
  <c r="O58" i="21" s="1"/>
  <c r="O63" i="21" s="1"/>
  <c r="O69" i="21" s="1"/>
  <c r="O71" i="21" s="1"/>
  <c r="O72" i="21" s="1"/>
  <c r="H56" i="21"/>
  <c r="F56" i="21"/>
  <c r="AA179" i="12"/>
  <c r="O179" i="12" s="1"/>
  <c r="H7" i="25"/>
  <c r="G7" i="25"/>
  <c r="F8" i="25"/>
  <c r="Z179" i="12"/>
  <c r="N179" i="12" s="1"/>
  <c r="I64" i="21"/>
  <c r="I69" i="21"/>
  <c r="I71" i="21" s="1"/>
  <c r="I72" i="21" s="1"/>
  <c r="I37" i="21"/>
  <c r="I38" i="21" s="1"/>
  <c r="I42" i="21"/>
  <c r="I44" i="21" s="1"/>
  <c r="I45" i="21" s="1"/>
  <c r="K56" i="21"/>
  <c r="M56" i="21"/>
  <c r="N58" i="21"/>
  <c r="N63" i="21" s="1"/>
  <c r="I18" i="21" l="1"/>
  <c r="N42" i="21"/>
  <c r="N44" i="21" s="1"/>
  <c r="N45" i="21" s="1"/>
  <c r="O37" i="21"/>
  <c r="I65" i="21"/>
  <c r="H8" i="25"/>
  <c r="F12" i="25"/>
  <c r="G8" i="25"/>
  <c r="N38" i="21"/>
  <c r="O38" i="21" s="1"/>
  <c r="N64" i="21"/>
  <c r="N65" i="21" s="1"/>
  <c r="N69" i="21"/>
  <c r="N71" i="21" s="1"/>
  <c r="N72" i="21" s="1"/>
  <c r="O65" i="21" l="1"/>
  <c r="F18" i="25"/>
  <c r="H12" i="25"/>
  <c r="G12" i="25"/>
  <c r="O64" i="21"/>
  <c r="G18" i="25" l="1"/>
  <c r="F21" i="25"/>
  <c r="H18" i="25"/>
  <c r="G21" i="25" l="1"/>
  <c r="F24" i="25"/>
  <c r="G24" i="25" s="1"/>
  <c r="H24" i="25" s="1"/>
  <c r="H21"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reederb</author>
    <author>"reederb"</author>
  </authors>
  <commentList>
    <comment ref="N13" authorId="0" shapeId="0" xr:uid="{00000000-0006-0000-1200-000001000000}">
      <text>
        <r>
          <rPr>
            <b/>
            <sz val="9"/>
            <color indexed="81"/>
            <rFont val="Tahoma"/>
            <family val="2"/>
          </rPr>
          <t>reederb:</t>
        </r>
        <r>
          <rPr>
            <sz val="9"/>
            <color indexed="81"/>
            <rFont val="Tahoma"/>
            <family val="2"/>
          </rPr>
          <t xml:space="preserve">
Actual 
Operating Exp. Of districts from OLAP--Excludes Objects 7xx and 8xx</t>
        </r>
      </text>
    </comment>
    <comment ref="N14" authorId="1" shapeId="0" xr:uid="{00000000-0006-0000-1200-000002000000}">
      <text>
        <r>
          <rPr>
            <b/>
            <sz val="9"/>
            <color indexed="81"/>
            <rFont val="Tahoma"/>
            <family val="2"/>
          </rPr>
          <t>"reederb":</t>
        </r>
        <r>
          <rPr>
            <sz val="9"/>
            <color indexed="81"/>
            <rFont val="Tahoma"/>
            <family val="2"/>
          </rPr>
          <t xml:space="preserve">
Excludes revenue for paid services to school districts since those are counted as expenditures by diistricts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6" authorId="0" shapeId="0" xr:uid="{00000000-0006-0000-0D00-000001000000}">
      <text>
        <r>
          <rPr>
            <b/>
            <sz val="9"/>
            <color indexed="81"/>
            <rFont val="Tahoma"/>
            <family val="2"/>
          </rPr>
          <t>Administrator:May be different than actual in the base year if legislation affects amount in future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"reederb"</author>
  </authors>
  <commentList>
    <comment ref="C17" authorId="0" shapeId="0" xr:uid="{00000000-0006-0000-0700-000001000000}">
      <text>
        <r>
          <rPr>
            <b/>
            <sz val="9"/>
            <color indexed="81"/>
            <rFont val="Tahoma"/>
            <family val="2"/>
          </rPr>
          <t>"fullere":</t>
        </r>
        <r>
          <rPr>
            <sz val="9"/>
            <color indexed="81"/>
            <rFont val="Tahoma"/>
            <family val="2"/>
          </rPr>
          <t xml:space="preserve">
From Debt Management  Dept. of 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reederb</author>
  </authors>
  <commentList>
    <comment ref="A2" authorId="0" shapeId="0" xr:uid="{00000000-0006-0000-0600-000001000000}">
      <text>
        <r>
          <rPr>
            <b/>
            <sz val="9"/>
            <color indexed="81"/>
            <rFont val="Tahoma"/>
            <family val="2"/>
          </rPr>
          <t>reederb:</t>
        </r>
        <r>
          <rPr>
            <sz val="9"/>
            <color indexed="81"/>
            <rFont val="Tahoma"/>
            <family val="2"/>
          </rPr>
          <t xml:space="preserve">
Office of Economic Analysis Forecasts</t>
        </r>
      </text>
    </comment>
    <comment ref="A6" authorId="0" shapeId="0" xr:uid="{00000000-0006-0000-0600-000002000000}">
      <text>
        <r>
          <rPr>
            <b/>
            <sz val="9"/>
            <color indexed="81"/>
            <rFont val="Tahoma"/>
            <family val="2"/>
          </rPr>
          <t>reederb:</t>
        </r>
        <r>
          <rPr>
            <sz val="9"/>
            <color indexed="81"/>
            <rFont val="Tahoma"/>
            <family val="2"/>
          </rPr>
          <t xml:space="preserve">
Reflects level of appropriation above what is reflected in just price increases</t>
        </r>
      </text>
    </comment>
  </commentList>
</comments>
</file>

<file path=xl/sharedStrings.xml><?xml version="1.0" encoding="utf-8"?>
<sst xmlns="http://schemas.openxmlformats.org/spreadsheetml/2006/main" count="2974" uniqueCount="1084">
  <si>
    <t>How to use this workbook:</t>
  </si>
  <si>
    <t>Table of Contents</t>
  </si>
  <si>
    <t>Note: The numbers in table names indicate the order in which they are updated during each biennial model run. They have been reordered here to group worksheets with similar data.</t>
  </si>
  <si>
    <t>Worksheet Name</t>
  </si>
  <si>
    <t>Description</t>
  </si>
  <si>
    <t>Worksheet purpose</t>
  </si>
  <si>
    <t>Notes</t>
  </si>
  <si>
    <t>Contains Table of contents describing all worksheets in workbook and describing how to use workbook</t>
  </si>
  <si>
    <t xml:space="preserve">Informational and technical </t>
  </si>
  <si>
    <t>K-12 Output Tables</t>
  </si>
  <si>
    <t>Model Output comparing the costs and recommended funding levels between the CSL base case and an alternate policy scenario</t>
  </si>
  <si>
    <t>Scale-Up</t>
  </si>
  <si>
    <t>Model Output describing the annual detail of costs and recommended funding levels for the set of policy scenarios currently selected  in the K-12_assumptions tab</t>
  </si>
  <si>
    <t>Staffing_ClassSizeReport</t>
  </si>
  <si>
    <t>Model output estimating the statewide teacher staffing levels by gradeband and expected class size under a system of prototype schools. This table is a diagnostic tool to compare modelled staffing levels and class sizes to actual observed values.</t>
  </si>
  <si>
    <t>K-12_assumptions</t>
  </si>
  <si>
    <t>Sets of parameterized policy assumptions regarding best practices, teacher/admistrator effectiveness, core K-12 services, staffing levels, instructional days, that differ between the CSL and policy scenarios</t>
  </si>
  <si>
    <t>Switches Model parameters from CSL base case to Full QEM, or other Model Policy Scenarios by selecting "CSL" or "Full QEM" from drop-down menus in the header row of table under the desired years. This function has been disabled for all other years besides the 2025-26 and 2026-27 school year in this version of the workbook.</t>
  </si>
  <si>
    <t>ES_Detail</t>
  </si>
  <si>
    <t>Elementary School Detail</t>
  </si>
  <si>
    <t>Synthesizes all actual and policy scenario inputs expenditures which cannot be estimated upon a per-pupil basis directly and combines them with the directly estimable costs from 4.PerStudentExpenditures to calculate the annualized per-pupil cost of providing education in a prototype elementary school serving 360 students.</t>
  </si>
  <si>
    <t>MS_Detail</t>
  </si>
  <si>
    <t>Middle School Detail</t>
  </si>
  <si>
    <t>Synthesizes all actual and policy scenario inputs expenditures which cannot be estimated upon a per-pupil basis directly and combines them with the directly estimable costs from 4.PerStudentExpenditures to calculate the annualized per-pupil cost of providing education in a prototype middle school serving 500 students.</t>
  </si>
  <si>
    <t>HS_Detail</t>
  </si>
  <si>
    <t>High School Detail</t>
  </si>
  <si>
    <t>Synthesizes all actual and policy scenario inputs expenditures which cannot be estimated upon a per-pupil basis directly and combines them with the directly estimable costs from 4.PerStudentExpenditures to calculate the annualized per-pupil cost of providing education in a prototype high school serving 1000 students.</t>
  </si>
  <si>
    <t>1.Years</t>
  </si>
  <si>
    <t>Set of years from base year through last modelled year in workbook</t>
  </si>
  <si>
    <t>Data entry. Updating the base year field in this tab updates all other year fields in the workbook. This functionality has been disabled in this version of the workbook.</t>
  </si>
  <si>
    <t>2.StudentAssumptions</t>
  </si>
  <si>
    <t>Student enrollment data for base year and current year</t>
  </si>
  <si>
    <t>Input data regarding enrollment by gradeband and student focal group</t>
  </si>
  <si>
    <t>11.Enrollment</t>
  </si>
  <si>
    <t>Student enrollment and ADMw forecasts</t>
  </si>
  <si>
    <t>Input data used to scale per-pupil costs determined in the prototype school detail tabs to statewide enrollment and determine statewide expenditures</t>
  </si>
  <si>
    <t>3.SalaryHistory</t>
  </si>
  <si>
    <t>Historical and forecast average salary data</t>
  </si>
  <si>
    <t>Input data used to calculate salary and payroll expenditures</t>
  </si>
  <si>
    <t>Salary_Assumptions</t>
  </si>
  <si>
    <t>District total salaries</t>
  </si>
  <si>
    <t>Historical actual salary expenditures</t>
  </si>
  <si>
    <t>7.PayrollBenefits</t>
  </si>
  <si>
    <t>Historical and forecast non-salary payroll expenditures</t>
  </si>
  <si>
    <t>RIPROS</t>
  </si>
  <si>
    <t>Historical Retirement Incentive expenditures</t>
  </si>
  <si>
    <t>4.PerStudentExpenditures</t>
  </si>
  <si>
    <t>Historical District and ESD Per-Pupil expenditures which can be estimated upon a per-pupil basis directly.</t>
  </si>
  <si>
    <t>centralized sped expenditures</t>
  </si>
  <si>
    <t>Historical Centralized Special Education Expenditures</t>
  </si>
  <si>
    <t>Input data to determine the long-run growth rate in centralized special education expenditures for forecasting future expenditure in this category</t>
  </si>
  <si>
    <t>5.LocalAndFedRevenues</t>
  </si>
  <si>
    <t>Base Year Local, Federal and Food Service Revenues</t>
  </si>
  <si>
    <t>Revenue from Non-State School Fund allocated sources accounted for to to pay down the total funding requirement and reduce the QEM recommended state funding amount</t>
  </si>
  <si>
    <t>Food service</t>
  </si>
  <si>
    <t>Historical Food Service Revenues</t>
  </si>
  <si>
    <t>Input data used to determine long-run growth rate in Food Service Enterprise Revenues</t>
  </si>
  <si>
    <t>12.RevenueForecasts</t>
  </si>
  <si>
    <t>Historical Revenues and Revenue Forecasts from Department of Revenue School Revenues Report</t>
  </si>
  <si>
    <t>Input data used to account for future anticipated Non-SFF allocated funding sources utilized to pay down the total funding requirement and reduce the QEM recommended state funding amount</t>
  </si>
  <si>
    <t>6.GrowthFactors</t>
  </si>
  <si>
    <t>Set of inflation factors</t>
  </si>
  <si>
    <t>Used to adjust base period expenditures for inflation in the forecast period</t>
  </si>
  <si>
    <t>computer cost growth</t>
  </si>
  <si>
    <t>Bureau of Labor Statistics computer cost growth projections</t>
  </si>
  <si>
    <t>Input data for 6.GrowthFactors</t>
  </si>
  <si>
    <t>textbook cost growth</t>
  </si>
  <si>
    <t>Bureau of Labor Statistics textbook cost growth projections</t>
  </si>
  <si>
    <t>8.OtherStaffingAssumptions</t>
  </si>
  <si>
    <t>Set of parameterized assumptions regarding staffing levels, or input costs that are common between the CSL base case and the Full QEM Models</t>
  </si>
  <si>
    <t>Input data for prototype school detail calculations</t>
  </si>
  <si>
    <t>9.ComputerAssumptions</t>
  </si>
  <si>
    <t>Assumptions regarding computer software  and hardware costs and staff and student computer allocation ratios that are common between the CSL base case and Full QEM models</t>
  </si>
  <si>
    <t>10.CostShares</t>
  </si>
  <si>
    <t>Salary Share of Categorical expeditures. Used to model impact of changes in the PERS rate on the cost of categorical expenditures in forecast years.</t>
  </si>
  <si>
    <t>Raw Data</t>
  </si>
  <si>
    <t>Input data regarding Enrollment, Salaries and Revenues</t>
  </si>
  <si>
    <t>Data Entry. Data from this workbook is used in multiple worksheets in the workbook and locating it in this single location to update minimizes the opportunity for data entry errors.</t>
  </si>
  <si>
    <t>Biennium_1</t>
  </si>
  <si>
    <t>'Scale-Up'!$A$47:$O$47</t>
  </si>
  <si>
    <t>Policy Scenario Compared to the Current Service Level</t>
  </si>
  <si>
    <t>CSL</t>
  </si>
  <si>
    <t>2023-24</t>
  </si>
  <si>
    <t>2024-25</t>
  </si>
  <si>
    <t>Biennium Totals</t>
  </si>
  <si>
    <t>'Scale-Up'!$A$47:$A$72</t>
  </si>
  <si>
    <t>Current Service</t>
  </si>
  <si>
    <t>Policy</t>
  </si>
  <si>
    <t>Percent</t>
  </si>
  <si>
    <t>Expenditure</t>
  </si>
  <si>
    <t>Level</t>
  </si>
  <si>
    <t>Scenario</t>
  </si>
  <si>
    <t>Difference</t>
  </si>
  <si>
    <t>per</t>
  </si>
  <si>
    <t>ADMw</t>
  </si>
  <si>
    <t>October 1</t>
  </si>
  <si>
    <t>TME</t>
  </si>
  <si>
    <t>Extended</t>
  </si>
  <si>
    <t>Enrollment*</t>
  </si>
  <si>
    <t>Elementary</t>
  </si>
  <si>
    <t>Middle</t>
  </si>
  <si>
    <t>High</t>
  </si>
  <si>
    <t>ESD</t>
  </si>
  <si>
    <t>Plus: ESD Expenditures</t>
  </si>
  <si>
    <t>HCDF</t>
  </si>
  <si>
    <t>Plus: High-Cost Disabilities Fund for Special Education Students</t>
  </si>
  <si>
    <t>Total Model Estimate--Districts</t>
  </si>
  <si>
    <t>Plus: ESDs</t>
  </si>
  <si>
    <t>Total Costs: Districts plus ESDs</t>
  </si>
  <si>
    <t>LR_NIF</t>
  </si>
  <si>
    <t>Less: Local Revenue not in Formula (local option taxes, fees, grants, donations, etc.)</t>
  </si>
  <si>
    <t>Less: Local Revenue not in Formula</t>
  </si>
  <si>
    <t>FedRev</t>
  </si>
  <si>
    <t>Less: Federal Revenue To School Districts and ESDs</t>
  </si>
  <si>
    <t>Less: Federal Revenue</t>
  </si>
  <si>
    <t>FSE_Rev</t>
  </si>
  <si>
    <t>Less: Food Service Enterprise Revenue</t>
  </si>
  <si>
    <t>PERS_SAE</t>
  </si>
  <si>
    <t>Less: PERS Side Account Earnings Net of Debt Service Costs</t>
  </si>
  <si>
    <t>Less: PERS Side Account Earnings</t>
  </si>
  <si>
    <t>Equals: Total Equalization Formula Funding Requirement</t>
  </si>
  <si>
    <t>Equals:Total Formula Distribution</t>
  </si>
  <si>
    <t xml:space="preserve">            District Share</t>
  </si>
  <si>
    <t>LR_DIST</t>
  </si>
  <si>
    <t>Less: Property Taxes and other Local Revenues Distributed by Formula</t>
  </si>
  <si>
    <t xml:space="preserve">            ESD Share</t>
  </si>
  <si>
    <t>Less: Local Revenue Distributed by Formula</t>
  </si>
  <si>
    <t>Less: 2025-27 SSA Transfer</t>
  </si>
  <si>
    <t>QEM Policy Model Estimated Expenditures</t>
  </si>
  <si>
    <t>Scaling Factor</t>
  </si>
  <si>
    <t>Use this to calibrate Baseline to CSL</t>
  </si>
  <si>
    <t>&lt;- value to calibrrate</t>
  </si>
  <si>
    <t>ADMw Extended Used in Model Scenario</t>
  </si>
  <si>
    <t xml:space="preserve">October 1 Enrollment: </t>
  </si>
  <si>
    <t>School Cost Per Pupil</t>
  </si>
  <si>
    <t>District</t>
  </si>
  <si>
    <t>Expenditure/Revenue</t>
  </si>
  <si>
    <t>Distribution</t>
  </si>
  <si>
    <t>get from parameters</t>
  </si>
  <si>
    <t>K-5</t>
  </si>
  <si>
    <t>Per StudentTarget=</t>
  </si>
  <si>
    <t>6-8</t>
  </si>
  <si>
    <t>9-12</t>
  </si>
  <si>
    <t>Total Model Estimate--Districts incl. HCD Fund</t>
  </si>
  <si>
    <t>Target=</t>
  </si>
  <si>
    <t>ESDs</t>
  </si>
  <si>
    <t>Total with HCD Fund</t>
  </si>
  <si>
    <t>\</t>
  </si>
  <si>
    <t>diff from target</t>
  </si>
  <si>
    <t>Net Revenues</t>
  </si>
  <si>
    <t>*  Excludes Pre-Kindergarten</t>
  </si>
  <si>
    <t>% diff</t>
  </si>
  <si>
    <t>** Difference between GF Expenditures and Formula Distribution is primarily local resources that are outside the formula.</t>
  </si>
  <si>
    <t>'12.RevenueForecasts'!</t>
  </si>
  <si>
    <t>$A$1:$H$17</t>
  </si>
  <si>
    <t>$A$1:$A$17</t>
  </si>
  <si>
    <t>$A$1:$H$1</t>
  </si>
  <si>
    <t>Local Revenue Outside Formula</t>
  </si>
  <si>
    <t>Federal Revenue</t>
  </si>
  <si>
    <t>Food Service Enterprise Revenue</t>
  </si>
  <si>
    <t>PERS Side Account Earnings Amount</t>
  </si>
  <si>
    <t>Equals: Formula Distribution</t>
  </si>
  <si>
    <t>District Share of Formula Revenue</t>
  </si>
  <si>
    <t>Local Revenue Distributed by Formula</t>
  </si>
  <si>
    <t>State_SpEd_Fund</t>
  </si>
  <si>
    <t>Plus: High-Cost Special Education</t>
  </si>
  <si>
    <t>Less: Added Federal Special Education Funding</t>
  </si>
  <si>
    <t>Equals: State Funding Requirement</t>
  </si>
  <si>
    <t>target=</t>
  </si>
  <si>
    <t>&lt;- 23-25 Actual Appropriation</t>
  </si>
  <si>
    <t>Plus: High-Cost Disability Fund</t>
  </si>
  <si>
    <t>Equals: State School Fund Requirement</t>
  </si>
  <si>
    <t>DAS SSF CSL - Final (SSF CSL - Display Updated)</t>
  </si>
  <si>
    <t>Number of Prototype Schools</t>
  </si>
  <si>
    <t>Total Number of Teachers</t>
  </si>
  <si>
    <t>Average Class Size</t>
  </si>
  <si>
    <t>Total</t>
  </si>
  <si>
    <t>Total Number of Licensed Staff</t>
  </si>
  <si>
    <t>Number of Teachers for Class Size Calculation</t>
  </si>
  <si>
    <t xml:space="preserve">Classes per student </t>
  </si>
  <si>
    <t>Classes per teacher</t>
  </si>
  <si>
    <t>Number of School Administrators</t>
  </si>
  <si>
    <t>Students for Class Size Calculation (K at .5 when half-day)</t>
  </si>
  <si>
    <t>Number of School-Level Support (Classified) Staff</t>
  </si>
  <si>
    <t>Total School-Level Staff</t>
  </si>
  <si>
    <t>Staff per prototype school</t>
  </si>
  <si>
    <t>SubTotal</t>
  </si>
  <si>
    <t>District-Level</t>
  </si>
  <si>
    <t>COMPUTER STAFF COUNT</t>
  </si>
  <si>
    <t>K-12 Assumptions</t>
  </si>
  <si>
    <t xml:space="preserve">Note: </t>
  </si>
  <si>
    <t>Select Policy Scenario Assumptions for each year from drop down menu above year.</t>
  </si>
  <si>
    <t>Policy Assumptions</t>
  </si>
  <si>
    <t>Policy Scenario Assumptions</t>
  </si>
  <si>
    <t>Actual</t>
  </si>
  <si>
    <t>Full QEM</t>
  </si>
  <si>
    <t>LOOKUP</t>
  </si>
  <si>
    <t>Base</t>
  </si>
  <si>
    <t>QEM</t>
  </si>
  <si>
    <t>Case</t>
  </si>
  <si>
    <t>Evidence-Based Practices</t>
  </si>
  <si>
    <t>Research-Based Policy Initiatives</t>
  </si>
  <si>
    <t>Early Grade Class Size Reduction</t>
  </si>
  <si>
    <t>KG_ClassSize</t>
  </si>
  <si>
    <t xml:space="preserve">    Median Kindergarten Class Size</t>
  </si>
  <si>
    <t>G1_ClassSize</t>
  </si>
  <si>
    <t xml:space="preserve">   Median Grade 1 Class Size</t>
  </si>
  <si>
    <t>Early Grade Tutoring Programs (% of students participating)</t>
  </si>
  <si>
    <t>ES_atRisk</t>
  </si>
  <si>
    <t xml:space="preserve">    Elementary School</t>
  </si>
  <si>
    <t>Assistance for Students at Risk of Dropping Out (% of Students Participating)</t>
  </si>
  <si>
    <t>MS_atRisk</t>
  </si>
  <si>
    <t xml:space="preserve">    Middle School</t>
  </si>
  <si>
    <t>HS_atRisk</t>
  </si>
  <si>
    <t xml:space="preserve">    High School</t>
  </si>
  <si>
    <t>Other Effective Practices</t>
  </si>
  <si>
    <t>Teacher Collaboration Time (hours per week)</t>
  </si>
  <si>
    <t>ES_TeacherCollab</t>
  </si>
  <si>
    <t>MS_TeacherCollab</t>
  </si>
  <si>
    <t>HS_TeacherCollab</t>
  </si>
  <si>
    <t>Additional Teachers for Focused Instruction (e.g., double-dosing)</t>
  </si>
  <si>
    <t>ES_ProgramStaff</t>
  </si>
  <si>
    <t>MS_ProgramStaff</t>
  </si>
  <si>
    <t>HS_ProgramStaff</t>
  </si>
  <si>
    <t>Additional Instruction Time (weeks of summer school)</t>
  </si>
  <si>
    <t>ES_AIT</t>
  </si>
  <si>
    <t>MS_AIT</t>
  </si>
  <si>
    <t>HS_AIT</t>
  </si>
  <si>
    <t>Building-Level Leadership Development (days)</t>
  </si>
  <si>
    <t>ES_LeadershipDev</t>
  </si>
  <si>
    <t>MS_LeadershipDev</t>
  </si>
  <si>
    <t>HS_LeadershipDev</t>
  </si>
  <si>
    <t>Parent/Community Outreach Programs ($ per Student)</t>
  </si>
  <si>
    <t>ES_ParComOutreach</t>
  </si>
  <si>
    <t>MS_ParComOutreach</t>
  </si>
  <si>
    <t>HS_ParComOutreach</t>
  </si>
  <si>
    <t>Additional Commercial Assessments to Identify Student Needs ($ per Student)</t>
  </si>
  <si>
    <t>ES_FormAssess</t>
  </si>
  <si>
    <t>MS_FormAssess</t>
  </si>
  <si>
    <t>HS_FormAssess</t>
  </si>
  <si>
    <t>Teacher/Administrator Effectiveness</t>
  </si>
  <si>
    <t>Teacher Professional Development (days)</t>
  </si>
  <si>
    <t>ES_TeachProfDev</t>
  </si>
  <si>
    <t xml:space="preserve">      Elementary School</t>
  </si>
  <si>
    <t>MS_TeachProfDev</t>
  </si>
  <si>
    <t xml:space="preserve">      Middle School</t>
  </si>
  <si>
    <t>HS_TeachProfDev</t>
  </si>
  <si>
    <t xml:space="preserve">      High School</t>
  </si>
  <si>
    <t>Instructional Improvement--e.g. mentoring, peer evaluation (FTE)</t>
  </si>
  <si>
    <t>ES_InstImp</t>
  </si>
  <si>
    <t>MS_InstImp</t>
  </si>
  <si>
    <t>HS_InstImp</t>
  </si>
  <si>
    <t>Stipends to Encourage Additional Training in Math/Science (% of Teachers)</t>
  </si>
  <si>
    <t>MS_STEM_Stipend</t>
  </si>
  <si>
    <t>HS_STEM_Stipend</t>
  </si>
  <si>
    <t>Consultants for Staff Development ($ per school)</t>
  </si>
  <si>
    <t>ES_ConsStaffDev</t>
  </si>
  <si>
    <t>MS_ConsStaffDev</t>
  </si>
  <si>
    <t>HS_ConsStaffDev</t>
  </si>
  <si>
    <t>Core K-12 Services</t>
  </si>
  <si>
    <t>KG_allday</t>
  </si>
  <si>
    <t>All-Day Kindergarten (Y=Yes, N=No)</t>
  </si>
  <si>
    <t>Y</t>
  </si>
  <si>
    <t>Class Size</t>
  </si>
  <si>
    <t>G2-3_ClassSize</t>
  </si>
  <si>
    <t xml:space="preserve">   Median Grade 2-3 Class Size</t>
  </si>
  <si>
    <t>G4-5_ClassSize</t>
  </si>
  <si>
    <t xml:space="preserve">   Grade 4-5 Class Size</t>
  </si>
  <si>
    <t>Staffing Levels (FTE)</t>
  </si>
  <si>
    <t xml:space="preserve">   Staffing in Core Classes at Middle and High Schools</t>
  </si>
  <si>
    <t>MS_CoreStaff</t>
  </si>
  <si>
    <t>HS_CoreStaff</t>
  </si>
  <si>
    <t xml:space="preserve">   English as a Second Language Licensed Staff</t>
  </si>
  <si>
    <t>ES_ESL</t>
  </si>
  <si>
    <t>MS_ESL</t>
  </si>
  <si>
    <t>HS_ESL</t>
  </si>
  <si>
    <t xml:space="preserve">   Special Education and Alternative Education Licensed Staff</t>
  </si>
  <si>
    <t>ES_SpEd</t>
  </si>
  <si>
    <t>MS_SpEd</t>
  </si>
  <si>
    <t>HS_SpEd</t>
  </si>
  <si>
    <t xml:space="preserve">   Counselors</t>
  </si>
  <si>
    <t>ES_Couns</t>
  </si>
  <si>
    <t>MS_Couns</t>
  </si>
  <si>
    <t>HS_Couns</t>
  </si>
  <si>
    <t xml:space="preserve">  Media/Librarian</t>
  </si>
  <si>
    <t>`</t>
  </si>
  <si>
    <t>ES_librarian</t>
  </si>
  <si>
    <t>MS_librarian</t>
  </si>
  <si>
    <t>HS_librarian</t>
  </si>
  <si>
    <t>Additional special student programs (FTE)</t>
  </si>
  <si>
    <t>HS_ASSP</t>
  </si>
  <si>
    <t xml:space="preserve">   Co-Curricular Activities Director (FTE)</t>
  </si>
  <si>
    <t>HS_CCAD</t>
  </si>
  <si>
    <t>Instructional Assistant</t>
  </si>
  <si>
    <t>ES_InstAsst</t>
  </si>
  <si>
    <t>MS_InstAsst</t>
  </si>
  <si>
    <t>HS_InstAsst</t>
  </si>
  <si>
    <t xml:space="preserve">   Classified Staff</t>
  </si>
  <si>
    <t>ES_Clsfd</t>
  </si>
  <si>
    <t>MS_Clsfd</t>
  </si>
  <si>
    <t>HS_Clsfd</t>
  </si>
  <si>
    <t>Length of School Year (Instructional Days)</t>
  </si>
  <si>
    <t>ES_InstructionDays</t>
  </si>
  <si>
    <t>MS_InstructionDays</t>
  </si>
  <si>
    <t>HS_InstructionDays</t>
  </si>
  <si>
    <t>Computers and Technology</t>
  </si>
  <si>
    <t xml:space="preserve">   Hardware (percent of computers replaced each year)</t>
  </si>
  <si>
    <t>ES_CompHardware</t>
  </si>
  <si>
    <t>MS_CompHardware</t>
  </si>
  <si>
    <t>HS_CompHardware</t>
  </si>
  <si>
    <t xml:space="preserve">   Software (percent of computers upgraded each year)</t>
  </si>
  <si>
    <t>ES_CompSoftware</t>
  </si>
  <si>
    <t>MS_CompSoftware</t>
  </si>
  <si>
    <t>HS_CompSoftware</t>
  </si>
  <si>
    <t xml:space="preserve">  Technology Services and Infrastructure</t>
  </si>
  <si>
    <t>ES_TechServices</t>
  </si>
  <si>
    <t>MS_TechServices</t>
  </si>
  <si>
    <t>HS_TechServices</t>
  </si>
  <si>
    <t>Texts, Consumables, Classroom Sets ($ per student)</t>
  </si>
  <si>
    <t>ES_TextsConsumables</t>
  </si>
  <si>
    <t>MS_TextsConsumables</t>
  </si>
  <si>
    <t>HS_TextsConsumables</t>
  </si>
  <si>
    <t>Classroom Materials &amp; Equipment ($ per student)</t>
  </si>
  <si>
    <t>ES_CME</t>
  </si>
  <si>
    <t>MS_CME</t>
  </si>
  <si>
    <t>HS_CME</t>
  </si>
  <si>
    <t>Reimbursement of Teacher Expenses for Supplies ($ per Student)</t>
  </si>
  <si>
    <t>ES_TeacherReimbExp</t>
  </si>
  <si>
    <t>MS_TeacherReimbExp</t>
  </si>
  <si>
    <t>HS_TeacherReimbExp</t>
  </si>
  <si>
    <t>Media Materials ($ per student)</t>
  </si>
  <si>
    <t>ES_MediaMaterials</t>
  </si>
  <si>
    <t>MS_MediaMaterials</t>
  </si>
  <si>
    <t>HS_MediaMaterials</t>
  </si>
  <si>
    <t>Extracurricular Activities Sponsors (Number of staff)</t>
  </si>
  <si>
    <t>HS_ExtraCurrSponsors</t>
  </si>
  <si>
    <t>Operations and Maintenance($ per Student)</t>
  </si>
  <si>
    <t>ES_O&amp;M</t>
  </si>
  <si>
    <t>MS_O&amp;M</t>
  </si>
  <si>
    <t>HS_O&amp;M</t>
  </si>
  <si>
    <t>Assessment and Curriculum Development</t>
  </si>
  <si>
    <t>ES_AssessCurDev</t>
  </si>
  <si>
    <t>MS_AssessCurDev</t>
  </si>
  <si>
    <t>HS_AssessCurDev</t>
  </si>
  <si>
    <t>State-Level Special Education Fund ($ millions per year)</t>
  </si>
  <si>
    <t>ESD Expenditures ($ per Student)</t>
  </si>
  <si>
    <t>ESD_SpEd</t>
  </si>
  <si>
    <t xml:space="preserve">     Special Education Services</t>
  </si>
  <si>
    <t>ESD_InstructSupport</t>
  </si>
  <si>
    <t xml:space="preserve">     Instructional Support</t>
  </si>
  <si>
    <t>ESD_TechService</t>
  </si>
  <si>
    <t xml:space="preserve">     Technoogy Services</t>
  </si>
  <si>
    <t>ESD_CentService</t>
  </si>
  <si>
    <t xml:space="preserve">     Central Services</t>
  </si>
  <si>
    <t>ESD_Admin</t>
  </si>
  <si>
    <t xml:space="preserve">     ESD Administration</t>
  </si>
  <si>
    <t>School Size</t>
  </si>
  <si>
    <t>Students</t>
  </si>
  <si>
    <t>Component</t>
  </si>
  <si>
    <t>Salary Growth Rates</t>
  </si>
  <si>
    <t>Salary Forecasts (accounts only for inflation, not for growth in enrollment or ADMw)</t>
  </si>
  <si>
    <t>Program Element:</t>
  </si>
  <si>
    <t>Unit Cost Base year</t>
  </si>
  <si>
    <t>'Salary_Assumptions'!</t>
  </si>
  <si>
    <t>TeachCounsGrowthRate</t>
  </si>
  <si>
    <t>Teacher average salary assumption</t>
  </si>
  <si>
    <t>AvgTeachSal</t>
  </si>
  <si>
    <t>$A$1:$L$31</t>
  </si>
  <si>
    <t>PrinGrowthRate</t>
  </si>
  <si>
    <t>Principal average salary assumption</t>
  </si>
  <si>
    <t>AvgPrinSal</t>
  </si>
  <si>
    <t>$A$1:$A$31</t>
  </si>
  <si>
    <t>AsstPrinGrowthRate</t>
  </si>
  <si>
    <t>Assistant Principal salary assumption</t>
  </si>
  <si>
    <t>AvgAstPrinSal</t>
  </si>
  <si>
    <t>$A$4:$L$4</t>
  </si>
  <si>
    <t>Counselor average salary assumption</t>
  </si>
  <si>
    <t>AvgCounsSal</t>
  </si>
  <si>
    <t>AvgClsfdGrowthRate</t>
  </si>
  <si>
    <t>Classified employee wage rate assumption</t>
  </si>
  <si>
    <t>AvgClsfdWageRate</t>
  </si>
  <si>
    <t>Instructional Assistant wage rate assumption</t>
  </si>
  <si>
    <t>InstAsstWageRate</t>
  </si>
  <si>
    <t>Principal's secretary wage rate assumption</t>
  </si>
  <si>
    <t>AvgSecWageRate</t>
  </si>
  <si>
    <t>'7.PayrollBenefits'!</t>
  </si>
  <si>
    <t>HealthInsGrowthRate</t>
  </si>
  <si>
    <t>$A$1:$K$15</t>
  </si>
  <si>
    <t>ContractBenefits</t>
  </si>
  <si>
    <t>Contract Benefits</t>
  </si>
  <si>
    <t>$A$1:$K$16</t>
  </si>
  <si>
    <t>$B$1:$B$15</t>
  </si>
  <si>
    <t>OtherBenefits</t>
  </si>
  <si>
    <t>Other Benefits: Retirement, Employer Payroll Taxes</t>
  </si>
  <si>
    <t>$B$1:$B$16</t>
  </si>
  <si>
    <t>$A$2:$K$2</t>
  </si>
  <si>
    <t>UnempIns</t>
  </si>
  <si>
    <t>Unemployment Insurance</t>
  </si>
  <si>
    <t>'K-12_Assumptions'!</t>
  </si>
  <si>
    <t>Core instructional staff</t>
  </si>
  <si>
    <t>Core Staff - Kindergarten</t>
  </si>
  <si>
    <t>$A$6:$N$188</t>
  </si>
  <si>
    <t>Core Staff - Grade 1</t>
  </si>
  <si>
    <t>$G$6:$N$6</t>
  </si>
  <si>
    <t>Core Staff - Grades 2-3</t>
  </si>
  <si>
    <t>Core Staff - Grades 4-5</t>
  </si>
  <si>
    <t>Program staff - Elementary</t>
  </si>
  <si>
    <t>Core Staff - non-Elementary</t>
  </si>
  <si>
    <t>Program Staff - non-Elementary</t>
  </si>
  <si>
    <t>Media/Librarian</t>
  </si>
  <si>
    <t>English as a Second Language (ESL)</t>
  </si>
  <si>
    <t>'4.PerStudentExpenditures'!</t>
  </si>
  <si>
    <t>Special education staffing</t>
  </si>
  <si>
    <t>$A$3:$E$21</t>
  </si>
  <si>
    <t>Licensed substitute teachers for general instruction</t>
  </si>
  <si>
    <t>$A$3:$A$21</t>
  </si>
  <si>
    <t>Reg_Sub</t>
  </si>
  <si>
    <t>Licensed substitute teachers for special education</t>
  </si>
  <si>
    <t>$A$3:$E$3</t>
  </si>
  <si>
    <t>SpEd_Sub</t>
  </si>
  <si>
    <t>Additional special student programs</t>
  </si>
  <si>
    <t>Counselors</t>
  </si>
  <si>
    <t>Co-curricular/activities director</t>
  </si>
  <si>
    <t>$A$1:$N$188</t>
  </si>
  <si>
    <t>$A$1:$A$188</t>
  </si>
  <si>
    <t>$A$6:$N$6</t>
  </si>
  <si>
    <t>'6.GrowthFactors'!</t>
  </si>
  <si>
    <t>Cumulative Teacher Growth Rate</t>
  </si>
  <si>
    <t>$A$3:$M$20</t>
  </si>
  <si>
    <t>$A$3:$A$20</t>
  </si>
  <si>
    <t>Cumulative Classified Growth Rate</t>
  </si>
  <si>
    <t>$A$3:$M$3</t>
  </si>
  <si>
    <t>Growth Factor Chosen plus adjustment for appropriation</t>
  </si>
  <si>
    <t>Cumulative Growth Rate</t>
  </si>
  <si>
    <t>'8.OtherStaffingAssumptions'!</t>
  </si>
  <si>
    <t>$A$1:$P$99</t>
  </si>
  <si>
    <t>Additional instructional time for students to achieve standards</t>
  </si>
  <si>
    <t>Licensed--Summer School</t>
  </si>
  <si>
    <t>DailyTeacherCost</t>
  </si>
  <si>
    <t>$A$1:$A$99</t>
  </si>
  <si>
    <t>Classified--Summer School</t>
  </si>
  <si>
    <t>$A$1:$L$32</t>
  </si>
  <si>
    <t>DailyClsfdCost</t>
  </si>
  <si>
    <t>$A$1:$P$1</t>
  </si>
  <si>
    <t>Supplies--Summer School</t>
  </si>
  <si>
    <t>$A$1:$A$32</t>
  </si>
  <si>
    <t>Tutoring &amp; After School Programs</t>
  </si>
  <si>
    <t>Instructional improvement</t>
  </si>
  <si>
    <t>_Clsfd</t>
  </si>
  <si>
    <t>Instructional support staff</t>
  </si>
  <si>
    <t xml:space="preserve">Classified </t>
  </si>
  <si>
    <t>_SpEdStaff</t>
  </si>
  <si>
    <t>Special education</t>
  </si>
  <si>
    <t>_PrinSec</t>
  </si>
  <si>
    <t>Principal's secretary</t>
  </si>
  <si>
    <t>_AltEdTeenParent</t>
  </si>
  <si>
    <t>Support staff for alternative education/teen parents</t>
  </si>
  <si>
    <t>_CounsOffice</t>
  </si>
  <si>
    <t>Counseling office</t>
  </si>
  <si>
    <t>_S2W_Coord</t>
  </si>
  <si>
    <t>School-to-work coordinator</t>
  </si>
  <si>
    <t>$A$1:$P$87</t>
  </si>
  <si>
    <t>_Registrar</t>
  </si>
  <si>
    <t>Registrar</t>
  </si>
  <si>
    <t>$A$1:$A$87</t>
  </si>
  <si>
    <t>_Attendance</t>
  </si>
  <si>
    <t>Attendance</t>
  </si>
  <si>
    <t>_CommOutreach</t>
  </si>
  <si>
    <t>Community outreach</t>
  </si>
  <si>
    <t>_FamResCenCoord</t>
  </si>
  <si>
    <t>Family resource center coordinator</t>
  </si>
  <si>
    <t>_DeptSupport</t>
  </si>
  <si>
    <t>Departmental support</t>
  </si>
  <si>
    <t>_Bookkeeper</t>
  </si>
  <si>
    <t>Bookkeeper</t>
  </si>
  <si>
    <t>_Vol_Coord</t>
  </si>
  <si>
    <t>Volunteer coordinator</t>
  </si>
  <si>
    <t>_HlthClrk</t>
  </si>
  <si>
    <t>Health clerk</t>
  </si>
  <si>
    <t>_MediaCentAsst</t>
  </si>
  <si>
    <t>Media center assistant</t>
  </si>
  <si>
    <t>_Receptionist</t>
  </si>
  <si>
    <t>Receptionist</t>
  </si>
  <si>
    <t>_AddlSupport</t>
  </si>
  <si>
    <t>AdditionalSupport</t>
  </si>
  <si>
    <t>_CampusMonitor</t>
  </si>
  <si>
    <t>Campus monitor</t>
  </si>
  <si>
    <t>_Nurse</t>
  </si>
  <si>
    <t>School Nurse</t>
  </si>
  <si>
    <t>Change in classified staff: policy scenario compared to baseline</t>
  </si>
  <si>
    <t>_Prin</t>
  </si>
  <si>
    <t>Administrative accountability</t>
  </si>
  <si>
    <t>Principal</t>
  </si>
  <si>
    <t>_AsstPrin</t>
  </si>
  <si>
    <t>Assistant principals</t>
  </si>
  <si>
    <t>_TchrLeadership</t>
  </si>
  <si>
    <t>Teacher leadership</t>
  </si>
  <si>
    <t>$A$6:$P$6</t>
  </si>
  <si>
    <t>_ParComOutreach</t>
  </si>
  <si>
    <t>Parent/Community Outreach</t>
  </si>
  <si>
    <t>OPSM</t>
  </si>
  <si>
    <t>Supplies and materials</t>
  </si>
  <si>
    <t>'9.ComputerAssumptions'!</t>
  </si>
  <si>
    <t>$A$1:$F$9</t>
  </si>
  <si>
    <t>$A$1:$A$9</t>
  </si>
  <si>
    <t>$A$2:$F$2</t>
  </si>
  <si>
    <t>Comp_CumGrowthRate</t>
  </si>
  <si>
    <t>_CompHardware</t>
  </si>
  <si>
    <t>Total Computers</t>
  </si>
  <si>
    <t>Computer hardware/software</t>
  </si>
  <si>
    <t>Hardware replacement including student and administrative (%)</t>
  </si>
  <si>
    <t>HW_Cost</t>
  </si>
  <si>
    <t>_CompSoftware</t>
  </si>
  <si>
    <t>Software--percent upgraded each year</t>
  </si>
  <si>
    <t>SW_Cost</t>
  </si>
  <si>
    <t>Text_CumGrowthRate</t>
  </si>
  <si>
    <t>_TextsConsumables</t>
  </si>
  <si>
    <t>Supplies, books, materials</t>
  </si>
  <si>
    <t>Texts, consumables, classroom sets--amount per student</t>
  </si>
  <si>
    <t>_CME</t>
  </si>
  <si>
    <t>Classroom materials, equipment, supplies</t>
  </si>
  <si>
    <t>_MediaMaterials</t>
  </si>
  <si>
    <t>Media center materials--amount per student</t>
  </si>
  <si>
    <t>_TeacherReimbExp</t>
  </si>
  <si>
    <t>Teacher reimbursement of materials purchases--amount per student</t>
  </si>
  <si>
    <t>_ExCurrExp</t>
  </si>
  <si>
    <t>Extra-Curricular Activities</t>
  </si>
  <si>
    <t>Extracurricular expenditures (Non-High School)</t>
  </si>
  <si>
    <t>_Coach</t>
  </si>
  <si>
    <t>Coaching</t>
  </si>
  <si>
    <t>_AthlEventExp</t>
  </si>
  <si>
    <t>Athletic event-related expenses</t>
  </si>
  <si>
    <t>_OtherExtCurExp</t>
  </si>
  <si>
    <t>Other extracurricular materials and supplies</t>
  </si>
  <si>
    <t>_ExtraCurrSponsors</t>
  </si>
  <si>
    <t>Cther extracurricular sponsors</t>
  </si>
  <si>
    <t>_TeachProfDev</t>
  </si>
  <si>
    <t>_LeadershipDev</t>
  </si>
  <si>
    <t>SUM NON-SHADED CORE INSTRUCTIONAL AND INSTRUCTIONAL IMPROVEMENT</t>
  </si>
  <si>
    <t>Professional training &amp; development</t>
  </si>
  <si>
    <t>Teacher professional development[standards and assessments] (FTE)</t>
  </si>
  <si>
    <t>_TeacherCollab</t>
  </si>
  <si>
    <t>Teacher collaboration time (hours per week for 36 weeks)</t>
  </si>
  <si>
    <t>_STEMStipend</t>
  </si>
  <si>
    <t>Stipends for math and science teachers to encourage further training</t>
  </si>
  <si>
    <t>_ConsStaffDev</t>
  </si>
  <si>
    <t>Consultants</t>
  </si>
  <si>
    <t>Special ed. support staff</t>
  </si>
  <si>
    <t>Leadership training for Principal</t>
  </si>
  <si>
    <t>_MaterTrav</t>
  </si>
  <si>
    <t>Materials, Travel</t>
  </si>
  <si>
    <t>'10.CostShares'!</t>
  </si>
  <si>
    <t>FoodServ_GrowthRate</t>
  </si>
  <si>
    <t>$A$1:$C$19</t>
  </si>
  <si>
    <t>CentSpEd_GrowthRate</t>
  </si>
  <si>
    <t>$A$1:$A$19</t>
  </si>
  <si>
    <t>All Years</t>
  </si>
  <si>
    <t>FoodService</t>
  </si>
  <si>
    <t>Building support costs: Costs distributed to each building</t>
  </si>
  <si>
    <t>Food services</t>
  </si>
  <si>
    <t>$A$4:$C$4</t>
  </si>
  <si>
    <t>PERS_EmContGrowth</t>
  </si>
  <si>
    <t>Transport</t>
  </si>
  <si>
    <t>Student transportation</t>
  </si>
  <si>
    <t>StudTrans</t>
  </si>
  <si>
    <t>_TechServices</t>
  </si>
  <si>
    <t>Technology services</t>
  </si>
  <si>
    <t>TechService</t>
  </si>
  <si>
    <t>_O&amp;M</t>
  </si>
  <si>
    <t>Operation, maintenance of plant</t>
  </si>
  <si>
    <t>O&amp;M</t>
  </si>
  <si>
    <t>_OtherSuppServ</t>
  </si>
  <si>
    <t>Other support services</t>
  </si>
  <si>
    <t>OSS_Serv</t>
  </si>
  <si>
    <t>_CentSpEd</t>
  </si>
  <si>
    <t>Cent_SpEd</t>
  </si>
  <si>
    <t>_AssessCurDev</t>
  </si>
  <si>
    <t>_FormAssess</t>
  </si>
  <si>
    <t>$A$1:$A$16</t>
  </si>
  <si>
    <t>Curriculum development, assessment</t>
  </si>
  <si>
    <t>CurDevAssess</t>
  </si>
  <si>
    <t>Cent_Admin</t>
  </si>
  <si>
    <t>District administrative support</t>
  </si>
  <si>
    <t>Central administration (Board of Education, superintendent)</t>
  </si>
  <si>
    <t>ExecAdmin</t>
  </si>
  <si>
    <t>BusFiscServ</t>
  </si>
  <si>
    <t>Business &amp; Fiscal Services</t>
  </si>
  <si>
    <t>BusFiscAdmin</t>
  </si>
  <si>
    <t>PersonnelServ</t>
  </si>
  <si>
    <t>Personnel Services</t>
  </si>
  <si>
    <t>PersAdmin</t>
  </si>
  <si>
    <t>PublicInfo</t>
  </si>
  <si>
    <t>Public Information</t>
  </si>
  <si>
    <t>Calculations for Change in Instruction Days Impacts</t>
  </si>
  <si>
    <t>Full-Year Number of Teacher Days</t>
  </si>
  <si>
    <t>Variable Licensed Compensation costs per student per day</t>
  </si>
  <si>
    <t>Variable Classified Compensation costs per student per day</t>
  </si>
  <si>
    <t>Variable Administrator Compensation costs per student per day</t>
  </si>
  <si>
    <t>Full-Year Total District Days</t>
  </si>
  <si>
    <t>Building Support and Centralized support costs per student per day</t>
  </si>
  <si>
    <t>District administrative support costs per student per day</t>
  </si>
  <si>
    <t>Total Variable Costs per student per day</t>
  </si>
  <si>
    <t>_InstructionDays</t>
  </si>
  <si>
    <t>Change in Instructional Days</t>
  </si>
  <si>
    <t>Total School Cost</t>
  </si>
  <si>
    <t>Education Service District support</t>
  </si>
  <si>
    <t>Special Education Services</t>
  </si>
  <si>
    <t>Instructional Support</t>
  </si>
  <si>
    <t>ESD_InstSupp</t>
  </si>
  <si>
    <t>Technoogy Services</t>
  </si>
  <si>
    <t>ESD_TechServ</t>
  </si>
  <si>
    <t>Central Services</t>
  </si>
  <si>
    <t>ESD_CentServ</t>
  </si>
  <si>
    <t>ESD Administration</t>
  </si>
  <si>
    <t>Total Cost</t>
  </si>
  <si>
    <t>Total Cost per Pupil</t>
  </si>
  <si>
    <t>diff</t>
  </si>
  <si>
    <t>$A$1:$P$999</t>
  </si>
  <si>
    <t>_STEM_Stipend</t>
  </si>
  <si>
    <t xml:space="preserve">Centralized special education </t>
  </si>
  <si>
    <t>Update the years in row 7 when updating the model with new data.  Do not add new columns</t>
  </si>
  <si>
    <t>The Base Year is the latest year for which we have audited financial data</t>
  </si>
  <si>
    <t>Base Year</t>
  </si>
  <si>
    <t>Base+1</t>
  </si>
  <si>
    <t>Base+2</t>
  </si>
  <si>
    <t>Base+3</t>
  </si>
  <si>
    <t>Base+4</t>
  </si>
  <si>
    <t>Base+5</t>
  </si>
  <si>
    <t>Base+6</t>
  </si>
  <si>
    <t>2022-23</t>
  </si>
  <si>
    <t>Note:</t>
  </si>
  <si>
    <t>Enter Base Year in YYY1-Y2 format. All other fields update automatically.</t>
  </si>
  <si>
    <t>Student Data</t>
  </si>
  <si>
    <t>Grade</t>
  </si>
  <si>
    <t>Fall Memb</t>
  </si>
  <si>
    <t>ADM</t>
  </si>
  <si>
    <t>ESL</t>
  </si>
  <si>
    <t>LEP</t>
  </si>
  <si>
    <t>SpEd</t>
  </si>
  <si>
    <t>EcDis</t>
  </si>
  <si>
    <t>ADM 2223</t>
  </si>
  <si>
    <t>LEP 2223</t>
  </si>
  <si>
    <t>ESL 2223</t>
  </si>
  <si>
    <t>EcDis 2223</t>
  </si>
  <si>
    <t>Year</t>
  </si>
  <si>
    <t>Collection_ID</t>
  </si>
  <si>
    <t>EnrlGrdCd</t>
  </si>
  <si>
    <t>SumOfCalcADMAmt</t>
  </si>
  <si>
    <t>CountOfRptChkDigitStdntID</t>
  </si>
  <si>
    <t>KG</t>
  </si>
  <si>
    <t>01</t>
  </si>
  <si>
    <t>02</t>
  </si>
  <si>
    <t>03</t>
  </si>
  <si>
    <t>04</t>
  </si>
  <si>
    <t>05</t>
  </si>
  <si>
    <t>06</t>
  </si>
  <si>
    <t>07</t>
  </si>
  <si>
    <t>08</t>
  </si>
  <si>
    <t>09</t>
  </si>
  <si>
    <t>10</t>
  </si>
  <si>
    <t>11</t>
  </si>
  <si>
    <t>12</t>
  </si>
  <si>
    <t>K-12</t>
  </si>
  <si>
    <t>In districts only</t>
  </si>
  <si>
    <t>Districts Only</t>
  </si>
  <si>
    <t>CountOfChkDigitStdntID</t>
  </si>
  <si>
    <t>Fall Membership 2223</t>
  </si>
  <si>
    <t>Fall Membership 2324</t>
  </si>
  <si>
    <t>SpEd 2021</t>
  </si>
  <si>
    <t>Sources:</t>
  </si>
  <si>
    <t>Fall Membership</t>
  </si>
  <si>
    <t>Fall Membership table in Secure Student database</t>
  </si>
  <si>
    <t>CumADM table in Secure Student database</t>
  </si>
  <si>
    <t>LEP table in PIE database</t>
  </si>
  <si>
    <t>Sped</t>
  </si>
  <si>
    <t>SECC table in Secure Student database</t>
  </si>
  <si>
    <t>Spring membership table in Secure Student database</t>
  </si>
  <si>
    <t>Item</t>
  </si>
  <si>
    <t>Enrollment</t>
  </si>
  <si>
    <t>From SSF ADMw Forecast as of 3/20/2024</t>
  </si>
  <si>
    <t xml:space="preserve">October 1 Enrollment </t>
  </si>
  <si>
    <t>Actual data or calculated in worksheet from Actual data and SSF ADMw forecast</t>
  </si>
  <si>
    <t>October 1 Enrollment: K-5</t>
  </si>
  <si>
    <t>Calculated in worksheet based on three year average growth rate.</t>
  </si>
  <si>
    <t>October 1 Enrollment: 6-8</t>
  </si>
  <si>
    <t>October 1 Enrollment: 9-12</t>
  </si>
  <si>
    <t>October 1 Enrollment Growth Rate</t>
  </si>
  <si>
    <t>ADMw Extended at half-day Kindergarten</t>
  </si>
  <si>
    <t>ADMw Extended Growth Rate at Half-day K</t>
  </si>
  <si>
    <t>Kindergarteners (October 1 Enrollment)</t>
  </si>
  <si>
    <t>Growth Rate for Kindergarteners</t>
  </si>
  <si>
    <t>ADMw Extended at full-day Kindergarten</t>
  </si>
  <si>
    <t>ADMw Extended Growth Rate at Full-day K</t>
  </si>
  <si>
    <t>$A$1:$R$188</t>
  </si>
  <si>
    <t>$A$6:$R$6</t>
  </si>
  <si>
    <t>Salaries and Wage Rates</t>
  </si>
  <si>
    <t>VLOOKUP RANGE</t>
  </si>
  <si>
    <t>$A$5:$G$12</t>
  </si>
  <si>
    <t>Average Salaries--Historical and Forecast</t>
  </si>
  <si>
    <t>Salary</t>
  </si>
  <si>
    <t>% Change</t>
  </si>
  <si>
    <t>Teachers</t>
  </si>
  <si>
    <t>Principals</t>
  </si>
  <si>
    <t>Asst. Principals</t>
  </si>
  <si>
    <t>2021-22</t>
  </si>
  <si>
    <t>2025-26</t>
  </si>
  <si>
    <t>Classified 1 Wage Rate</t>
  </si>
  <si>
    <t>2026-27</t>
  </si>
  <si>
    <t>Instr. Asst. Wage Rate</t>
  </si>
  <si>
    <t>2027-28</t>
  </si>
  <si>
    <t>2028-29</t>
  </si>
  <si>
    <t>Data Source: Revenue Forecast Committee Salary and Benefits forecast</t>
  </si>
  <si>
    <t>May 2024 SalaryBenefit Forecast (Gross PERS Rate) - With Model Error Variance Correction Factor - v2</t>
  </si>
  <si>
    <t>file:///L:\Revenue Forecast Committee\Compensation Forecast Model\Secure Staff for Compensation Forecast Model.accdb</t>
  </si>
  <si>
    <t>Average Salary for Counselors -- Output</t>
  </si>
  <si>
    <t>Average Wage of Classified Staff -- Output</t>
  </si>
  <si>
    <t>Average Wage of EA -- Output</t>
  </si>
  <si>
    <t>Nm</t>
  </si>
  <si>
    <t>SumOfPERSSalary</t>
  </si>
  <si>
    <t>SumOfFTE</t>
  </si>
  <si>
    <t>SumOfAdjFTE</t>
  </si>
  <si>
    <t>AvgSal</t>
  </si>
  <si>
    <t>AdjAvgSal</t>
  </si>
  <si>
    <t>SchlYr</t>
  </si>
  <si>
    <t>AvgOfHrlyRt</t>
  </si>
  <si>
    <t>SpringStfPos08-09</t>
  </si>
  <si>
    <t>2008-09</t>
  </si>
  <si>
    <t>SpringStfPos09-10</t>
  </si>
  <si>
    <t>2009-10</t>
  </si>
  <si>
    <t>SpringStfPos10-11</t>
  </si>
  <si>
    <t>2010-11</t>
  </si>
  <si>
    <t>SpringStfPos11-12</t>
  </si>
  <si>
    <t>2011-12</t>
  </si>
  <si>
    <t>SpringStfPos12-13</t>
  </si>
  <si>
    <t>2012-13</t>
  </si>
  <si>
    <t>SpringStfPos13-14</t>
  </si>
  <si>
    <t>2013-14</t>
  </si>
  <si>
    <t>SpringStfPos14-15</t>
  </si>
  <si>
    <t>2014-15</t>
  </si>
  <si>
    <t>SpringStfPos15-16</t>
  </si>
  <si>
    <t>2015-16</t>
  </si>
  <si>
    <t>SpringStfPos16-17</t>
  </si>
  <si>
    <t>2016-17</t>
  </si>
  <si>
    <t>SpringStfPos17-18</t>
  </si>
  <si>
    <t>2017-18</t>
  </si>
  <si>
    <t>SpringStfPos18-19</t>
  </si>
  <si>
    <t>2018-19</t>
  </si>
  <si>
    <t>SpringStfPos19-20</t>
  </si>
  <si>
    <t>2019-20</t>
  </si>
  <si>
    <t>SpringStfPos20-21</t>
  </si>
  <si>
    <t>2020-21</t>
  </si>
  <si>
    <t>SpringStfPos21-22</t>
  </si>
  <si>
    <t>SpringStfPos22-23</t>
  </si>
  <si>
    <t>SpringStfPos23-24</t>
  </si>
  <si>
    <t>ROW MATCH</t>
  </si>
  <si>
    <t>Salary Forecast Assumptions</t>
  </si>
  <si>
    <t>$E$1:$E$30</t>
  </si>
  <si>
    <t>'3.SalaryHistory'!</t>
  </si>
  <si>
    <t>$I$4:$K$11</t>
  </si>
  <si>
    <t>$I$4:$I$11</t>
  </si>
  <si>
    <t>$I$4:$K$4</t>
  </si>
  <si>
    <t>Average Teacher Salary</t>
  </si>
  <si>
    <t>Teacher Salary Growth Rate</t>
  </si>
  <si>
    <t>Average Counselor Salary</t>
  </si>
  <si>
    <t>Average Principal Salary</t>
  </si>
  <si>
    <t>Pricipal Salary Growth Rate</t>
  </si>
  <si>
    <t>Average Asst. Principal Salary</t>
  </si>
  <si>
    <t>Asst. Principal Salary Growth Rate</t>
  </si>
  <si>
    <t>Average Instr. Asst. Wage Rate</t>
  </si>
  <si>
    <t>Average Classified Salary Growth Rate</t>
  </si>
  <si>
    <t>Average Classified Wage Rate</t>
  </si>
  <si>
    <t>Average Secretary Wage Rate</t>
  </si>
  <si>
    <t>Classified-&gt;Secretary adj. factor</t>
  </si>
  <si>
    <t>SHEET</t>
  </si>
  <si>
    <t>INDEX RANGE</t>
  </si>
  <si>
    <t>$A$3:$G$32</t>
  </si>
  <si>
    <t>$A$3:$A$32</t>
  </si>
  <si>
    <t>COLUMN MATCH</t>
  </si>
  <si>
    <t>$E$4:$G$4</t>
  </si>
  <si>
    <t>$A$1:$H$9</t>
  </si>
  <si>
    <t>$A$2:$H$2</t>
  </si>
  <si>
    <t>Percent Change in Western CPI</t>
  </si>
  <si>
    <t>WeightedAvgGrowthRate</t>
  </si>
  <si>
    <t>Weighted Average Wage&amp;Salary Growth Rate</t>
  </si>
  <si>
    <t>Daily Teacher Cost</t>
  </si>
  <si>
    <t>Daily Classified Cost</t>
  </si>
  <si>
    <t>SchoolYear</t>
  </si>
  <si>
    <t>SumOfActualExpAmt</t>
  </si>
  <si>
    <t>Growth Rate</t>
  </si>
  <si>
    <t>3-Yr Rate</t>
  </si>
  <si>
    <t>LRAVG</t>
  </si>
  <si>
    <t>\\odefs\RADAR\Quality Education Commission\Model Update\Cost Update Files\QEC Databases\Finance Database--QEC.accdb</t>
  </si>
  <si>
    <t>0001</t>
  </si>
  <si>
    <t>0102</t>
  </si>
  <si>
    <t>0203</t>
  </si>
  <si>
    <t>0304</t>
  </si>
  <si>
    <t>0405</t>
  </si>
  <si>
    <t>0506</t>
  </si>
  <si>
    <t>0607</t>
  </si>
  <si>
    <t>0708</t>
  </si>
  <si>
    <t>0809</t>
  </si>
  <si>
    <t>0910</t>
  </si>
  <si>
    <t>Source:</t>
  </si>
  <si>
    <t>Unemployment Insurance Rate</t>
  </si>
  <si>
    <t>Health Insurance Cost to Districts Growth Rate</t>
  </si>
  <si>
    <t>PERS_Rate</t>
  </si>
  <si>
    <t>PERS Employer Contribution Rate</t>
  </si>
  <si>
    <t>PERS Board estimate of employer rate</t>
  </si>
  <si>
    <t>PERS Board</t>
  </si>
  <si>
    <t>Fed_Tax_Rate</t>
  </si>
  <si>
    <t>Federal Payroll Tax Rate</t>
  </si>
  <si>
    <t>Federal tax rate</t>
  </si>
  <si>
    <t>Retirement Incentive Payment Rate and Other Salaries</t>
  </si>
  <si>
    <t>Percentage of district instructional salaries</t>
  </si>
  <si>
    <t>DBI data</t>
  </si>
  <si>
    <t>'5.LocalAndFedRevenues'!</t>
  </si>
  <si>
    <t>Total Salaries</t>
  </si>
  <si>
    <t>$C$25:$D$26</t>
  </si>
  <si>
    <t>PERS Side Account Earnings Rate</t>
  </si>
  <si>
    <t>$C$25:$C$27</t>
  </si>
  <si>
    <t>$C$25:$D$25</t>
  </si>
  <si>
    <t>PERS Blended Rate Net of Side Acct Earnings</t>
  </si>
  <si>
    <t>District and ESD Debt Service Payments in PERS Bonds</t>
  </si>
  <si>
    <t>POB - SD &amp; ESD Debt Service as of 7/1/2022</t>
  </si>
  <si>
    <t>DMD/OST</t>
  </si>
  <si>
    <t>Total Instructional Salaries of Districts</t>
  </si>
  <si>
    <t>RIPROS %</t>
  </si>
  <si>
    <t>Long Run Average</t>
  </si>
  <si>
    <t>3-Year Lag Average</t>
  </si>
  <si>
    <t>Base Year Expenditures per Student</t>
  </si>
  <si>
    <t>Category</t>
  </si>
  <si>
    <t>Elementary School</t>
  </si>
  <si>
    <t>Middle School</t>
  </si>
  <si>
    <t>High School</t>
  </si>
  <si>
    <t>Business and Fiscal Services</t>
  </si>
  <si>
    <t>School District audited financial statements (OLAP database)</t>
  </si>
  <si>
    <t>Central Administration</t>
  </si>
  <si>
    <t>Centralized Special Education</t>
  </si>
  <si>
    <t>Classroom Materials and Equipment</t>
  </si>
  <si>
    <t>Curriculum Development and Assessment</t>
  </si>
  <si>
    <t>ExtCurrActivities</t>
  </si>
  <si>
    <t>Food Service</t>
  </si>
  <si>
    <t>Media Materials</t>
  </si>
  <si>
    <t>Office of the Principal Supplies and Materials</t>
  </si>
  <si>
    <t>Operations and Maintenance</t>
  </si>
  <si>
    <t>OSS</t>
  </si>
  <si>
    <t>Other Support Services</t>
  </si>
  <si>
    <t>TechServices</t>
  </si>
  <si>
    <t>Technology Services</t>
  </si>
  <si>
    <t>Textbooks</t>
  </si>
  <si>
    <t>Transportation</t>
  </si>
  <si>
    <t>Regular Substitute Costs per Student</t>
  </si>
  <si>
    <t>Special Ed Substitute Costs per Student</t>
  </si>
  <si>
    <t>ESD Expenditures</t>
  </si>
  <si>
    <t>per Student</t>
  </si>
  <si>
    <t>ESD audited financial statements (OLAP database)</t>
  </si>
  <si>
    <t>Special Ed.</t>
  </si>
  <si>
    <t>Administration</t>
  </si>
  <si>
    <t>Data Source: Calculated from school district audited financial reports.  Stored in "Expenditure Data--All Categories.xls"</t>
  </si>
  <si>
    <t>ESD Expenditures are net of ESD fee-for-service revenues from school districts since those are reported as expenditures by school districts</t>
  </si>
  <si>
    <t>centralized special ed expenditures</t>
  </si>
  <si>
    <t>ADMr</t>
  </si>
  <si>
    <t>LRAvg</t>
  </si>
  <si>
    <t>'Raw Data'!</t>
  </si>
  <si>
    <t>A1:P1</t>
  </si>
  <si>
    <t>A1:P50</t>
  </si>
  <si>
    <t>District Total Outside Formula</t>
  </si>
  <si>
    <t xml:space="preserve">    Districts</t>
  </si>
  <si>
    <t>ESDs Total Outside Formula</t>
  </si>
  <si>
    <t xml:space="preserve">    ESDs</t>
  </si>
  <si>
    <t>Local Revenue in Formula</t>
  </si>
  <si>
    <t>Districts Local Revenue in Formula</t>
  </si>
  <si>
    <t xml:space="preserve">     Districts</t>
  </si>
  <si>
    <t>SSFQuery Budget worksheet</t>
  </si>
  <si>
    <t>ESDs Local Revenue in Formula</t>
  </si>
  <si>
    <t xml:space="preserve">     ESDs</t>
  </si>
  <si>
    <t>Total Local Revenue Formula Basis</t>
  </si>
  <si>
    <t>calculated in worksheet</t>
  </si>
  <si>
    <t>Federal Revenue (Districts and ESDs)</t>
  </si>
  <si>
    <t>Unrestricted Revenue</t>
  </si>
  <si>
    <t>Unrestricted Revenue Direct from the Federal government (4100)</t>
  </si>
  <si>
    <t xml:space="preserve">    Direct from the Federal government (4100)</t>
  </si>
  <si>
    <t>Unrestricted Revenue Through the State (4200)</t>
  </si>
  <si>
    <t xml:space="preserve">    Through the State (4200)</t>
  </si>
  <si>
    <t>Restricted Revenue</t>
  </si>
  <si>
    <t>Restricted Revenue Direct from the Federal government (4300)</t>
  </si>
  <si>
    <t xml:space="preserve">    Direct from the Federal government (4300)</t>
  </si>
  <si>
    <t>Restricted Revenue Through the State (4500)</t>
  </si>
  <si>
    <t xml:space="preserve">    Through the State (4500)</t>
  </si>
  <si>
    <t>Grants-in-Aid Through Intermediate Sources (4700)</t>
  </si>
  <si>
    <t>Other Federal Revenue (4802 - 4900)</t>
  </si>
  <si>
    <t xml:space="preserve">           Totals</t>
  </si>
  <si>
    <t>This is used as part of PERS side account calculations in 7.PayrollBenefits tab</t>
  </si>
  <si>
    <t>1--Elementary</t>
  </si>
  <si>
    <t>2--Middle</t>
  </si>
  <si>
    <t>3--High</t>
  </si>
  <si>
    <t>School Level</t>
  </si>
  <si>
    <t>District Level</t>
  </si>
  <si>
    <t>total</t>
  </si>
  <si>
    <t>1) LOCAL REVENUE IN FORMULA</t>
  </si>
  <si>
    <t>a) 2022-23 From audited school financial data in OLAP</t>
  </si>
  <si>
    <t>b) 2023-34 through 2026-27 from DOR March 2024 School Revenue Report</t>
  </si>
  <si>
    <t xml:space="preserve">     District Local Revenue Growth Rate</t>
  </si>
  <si>
    <t>c) 2027-28 &amp; 2028-29 Forecast in worksheet using lagging four-year average growth rate</t>
  </si>
  <si>
    <t xml:space="preserve">     ESD Local Revenue Growth Rate</t>
  </si>
  <si>
    <t xml:space="preserve">    Local Rev Outside Formula Growth Rate</t>
  </si>
  <si>
    <t>Food Services Growth Rate</t>
  </si>
  <si>
    <t>ESD Share of Formula Revenue</t>
  </si>
  <si>
    <t>Federal Revenue Growth Rate</t>
  </si>
  <si>
    <t>Possible Growth Factors</t>
  </si>
  <si>
    <t>Western Region CPI</t>
  </si>
  <si>
    <t>DAS, Office of Economic Analysis</t>
  </si>
  <si>
    <t>Mar 2024 Forecast</t>
  </si>
  <si>
    <t>U.S. GDP Implicit Price Deflator</t>
  </si>
  <si>
    <t>Adjustments to reflect legislative appropriation</t>
  </si>
  <si>
    <t>Percent Change in U.S. IPD</t>
  </si>
  <si>
    <t>Oregon Educational Sector Price Index</t>
  </si>
  <si>
    <t>Computer Hardware/Software</t>
  </si>
  <si>
    <t>BLS PERSONAL COMPUTER GROWTH RATE</t>
  </si>
  <si>
    <t>BLS EDUCATIONAL BOOK AND SUPPLY COST GROWTH INDEX</t>
  </si>
  <si>
    <t>Long-term growth rate in centalized SpEd expenditures per student from audited financial data</t>
  </si>
  <si>
    <t>Food Services</t>
  </si>
  <si>
    <t>Long-term growth rate in food service expenditures per student from audited financial data</t>
  </si>
  <si>
    <t>Personal computers and peripheral equipment in U.S. city average, all urban consumers, not seasonally adjusted</t>
  </si>
  <si>
    <t>RETURN</t>
  </si>
  <si>
    <t>https://data.bls.gov/timeseries/CUUR0000SEEE01?output_view=data</t>
  </si>
  <si>
    <t>Shool Year Index Average</t>
  </si>
  <si>
    <t>Jan</t>
  </si>
  <si>
    <t>Feb</t>
  </si>
  <si>
    <t>Mar</t>
  </si>
  <si>
    <t>Apr</t>
  </si>
  <si>
    <t>May</t>
  </si>
  <si>
    <t>Jun</t>
  </si>
  <si>
    <t>Jul</t>
  </si>
  <si>
    <t>Aug</t>
  </si>
  <si>
    <t>Sep</t>
  </si>
  <si>
    <t>Oct</t>
  </si>
  <si>
    <t>Nov</t>
  </si>
  <si>
    <t>Dec</t>
  </si>
  <si>
    <t>HALF1</t>
  </si>
  <si>
    <t>HALF2</t>
  </si>
  <si>
    <t>Educational books and supplies in U.S. city average, all urban consumers, seasonally adjusted</t>
  </si>
  <si>
    <t>https://data.bls.gov/timeseries/CUSR0000SEEA?output_view=data</t>
  </si>
  <si>
    <t>HS_SpecStudProg</t>
  </si>
  <si>
    <t>MS_AddlSupport</t>
  </si>
  <si>
    <t>Additional support</t>
  </si>
  <si>
    <t>HS_AsstPrin</t>
  </si>
  <si>
    <t>Assistant principal</t>
  </si>
  <si>
    <t>MS_AsstPrin</t>
  </si>
  <si>
    <t>HS_AthlEventExp</t>
  </si>
  <si>
    <t>HS_Attendance</t>
  </si>
  <si>
    <t>MS_Attendance</t>
  </si>
  <si>
    <t>HS_Bookkeeper</t>
  </si>
  <si>
    <t>HS_CampusMonitor</t>
  </si>
  <si>
    <t>MS_CampusMonitor</t>
  </si>
  <si>
    <t>ES_CentSpEd</t>
  </si>
  <si>
    <t>HS_CentSpEd</t>
  </si>
  <si>
    <t>MS_CentSpEd</t>
  </si>
  <si>
    <t>ES_ClsfdSumSchool</t>
  </si>
  <si>
    <t>HS_ClsfdSumSchool</t>
  </si>
  <si>
    <t>MS_ClsfdSumSchool</t>
  </si>
  <si>
    <t>HS_Coach</t>
  </si>
  <si>
    <t>HS_CommOutreach</t>
  </si>
  <si>
    <t>MS_CommOutreach</t>
  </si>
  <si>
    <t>HS_CounsOffice</t>
  </si>
  <si>
    <t>HS_DeptSupport</t>
  </si>
  <si>
    <t>ES_ExCurrExp</t>
  </si>
  <si>
    <t>Extracurricular expenditures</t>
  </si>
  <si>
    <t>MS_ExCurrExp</t>
  </si>
  <si>
    <t>ES_FamResCenCoord</t>
  </si>
  <si>
    <t>HS_FamResCenCoord</t>
  </si>
  <si>
    <t>MS_FamResCenCoord</t>
  </si>
  <si>
    <t>HS_HlthClrk</t>
  </si>
  <si>
    <t>ES_PrinLeadership</t>
  </si>
  <si>
    <t>HS_PrinLeadership</t>
  </si>
  <si>
    <t>MS_PrinLeadership</t>
  </si>
  <si>
    <t>ES_SumSchool</t>
  </si>
  <si>
    <t>HS_SumSchool</t>
  </si>
  <si>
    <t>MS_SumSchool</t>
  </si>
  <si>
    <t>ES_MaterTrav</t>
  </si>
  <si>
    <t>HS_MaterTrav</t>
  </si>
  <si>
    <t>MS_MaterTrav</t>
  </si>
  <si>
    <t>ES_MediaCentAsst</t>
  </si>
  <si>
    <t>HS_MediaCentAsst</t>
  </si>
  <si>
    <t>MS_MediaCentAsst</t>
  </si>
  <si>
    <t>HS_Media/Lib</t>
  </si>
  <si>
    <t>MS_Media/Lib</t>
  </si>
  <si>
    <t>HS_OtherExtCurExp</t>
  </si>
  <si>
    <t>Other extracurricular sponsors</t>
  </si>
  <si>
    <t>ES_OtherSuppServ</t>
  </si>
  <si>
    <t>HS_OtherSuppServ</t>
  </si>
  <si>
    <t>MS_OtherSuppServ</t>
  </si>
  <si>
    <t>ES_Prin</t>
  </si>
  <si>
    <t>HS_Prin</t>
  </si>
  <si>
    <t>MS_Prin</t>
  </si>
  <si>
    <t>HS_PrinSec</t>
  </si>
  <si>
    <t>MS_PrinSec</t>
  </si>
  <si>
    <t>ES_PubInfo</t>
  </si>
  <si>
    <t>HS_PubInfo</t>
  </si>
  <si>
    <t>MS_PubInfo</t>
  </si>
  <si>
    <t>HS_Receptionist</t>
  </si>
  <si>
    <t>MS_Receptionist</t>
  </si>
  <si>
    <t>MS_Registrar</t>
  </si>
  <si>
    <t>ES_Nurse</t>
  </si>
  <si>
    <t>HS_Nurse</t>
  </si>
  <si>
    <t>MS_Nurse</t>
  </si>
  <si>
    <t>HS_S2W_Coord</t>
  </si>
  <si>
    <t>ES_PrinSec</t>
  </si>
  <si>
    <t>Principal's Secretary</t>
  </si>
  <si>
    <t>ES_SpEdSupport</t>
  </si>
  <si>
    <t>HS_SpEdSupport</t>
  </si>
  <si>
    <t>MS_SpEdSupport</t>
  </si>
  <si>
    <t>ES_SpEdStaff</t>
  </si>
  <si>
    <t>HS_SpEdStaff</t>
  </si>
  <si>
    <t>MS_SpEdStaff</t>
  </si>
  <si>
    <t>Stipends for math and science</t>
  </si>
  <si>
    <t>ES_SumSchlSupplies</t>
  </si>
  <si>
    <t>HS_SumSchlSupplies</t>
  </si>
  <si>
    <t>MS_SumSchlSupplies</t>
  </si>
  <si>
    <t>HS_AltEdTeenParent</t>
  </si>
  <si>
    <t>Support staff for alternative education and  teen parent</t>
  </si>
  <si>
    <t>HS_TchrLeadership</t>
  </si>
  <si>
    <t>MS_TchrLeadership</t>
  </si>
  <si>
    <t>ES_TchrProfDev</t>
  </si>
  <si>
    <t>Teacher professional development</t>
  </si>
  <si>
    <t>HS_TchrProfDev</t>
  </si>
  <si>
    <t>MS_TchrProfDev</t>
  </si>
  <si>
    <t>HS_Vol_Coord</t>
  </si>
  <si>
    <t>MS_Vol_Coord</t>
  </si>
  <si>
    <t>ES_SpecStudProg</t>
  </si>
  <si>
    <t>MS_SpecStudProg</t>
  </si>
  <si>
    <t>ES_AsstPrin</t>
  </si>
  <si>
    <t>MS_Coach</t>
  </si>
  <si>
    <t>ES_CommOutreach</t>
  </si>
  <si>
    <t>MS_CounsOffice</t>
  </si>
  <si>
    <t>ES_CounsOffice</t>
  </si>
  <si>
    <t>ES_Receptionist</t>
  </si>
  <si>
    <t>HS_Registrar</t>
  </si>
  <si>
    <t>ES_Vol_Coord</t>
  </si>
  <si>
    <t>ES_Media/Lib</t>
  </si>
  <si>
    <t>Computers per school</t>
  </si>
  <si>
    <t>Students per Computer</t>
  </si>
  <si>
    <t>Teacher and Admin Computers</t>
  </si>
  <si>
    <t>Student Computers</t>
  </si>
  <si>
    <t>STUDENT DEVICE COST PER UNIT</t>
  </si>
  <si>
    <t>iPad</t>
  </si>
  <si>
    <t>Chromebook</t>
  </si>
  <si>
    <t>STAFF DEVICE COST PER UNIT</t>
  </si>
  <si>
    <t>Hardware cost per Unit</t>
  </si>
  <si>
    <t>Teacher laptop</t>
  </si>
  <si>
    <t>Software cost per Unit</t>
  </si>
  <si>
    <t>Share of Costs Represented by Salaries</t>
  </si>
  <si>
    <t>Change in PERS rate affects centralized services to the extent of their salary share. Adds amount equal to the difference</t>
  </si>
  <si>
    <t>(Affects costs when PERS rate changes)</t>
  </si>
  <si>
    <t>in the PERS rate from the base year times the share that is salary.</t>
  </si>
  <si>
    <t>Salaries</t>
  </si>
  <si>
    <t>Total  Op Exp</t>
  </si>
  <si>
    <t>Student Transportation</t>
  </si>
  <si>
    <t>Centralized Special Ed Services</t>
  </si>
  <si>
    <t>Curriculum Dev. and Assessment</t>
  </si>
  <si>
    <t>Executive Administration</t>
  </si>
  <si>
    <t>Business and Fiscal Administration</t>
  </si>
  <si>
    <t>Personnel Administration</t>
  </si>
  <si>
    <t>ESD Special Education Services</t>
  </si>
  <si>
    <t>ESD Instructional Support</t>
  </si>
  <si>
    <t>ESD Technoogy Services</t>
  </si>
  <si>
    <t>ESD Central Services</t>
  </si>
  <si>
    <t>2027-2028</t>
  </si>
  <si>
    <t>2028-2029</t>
  </si>
  <si>
    <t xml:space="preserve">   October 1 Enrollment </t>
  </si>
  <si>
    <t xml:space="preserve">   October 1 Enrollment Growth Rate</t>
  </si>
  <si>
    <t xml:space="preserve">   ADMw Extended at half-day Kindergarten</t>
  </si>
  <si>
    <t xml:space="preserve">   ADMw Extended Growth Rate at Half-day K</t>
  </si>
  <si>
    <t xml:space="preserve">   ADMw Extended at Full-day Kindergarten</t>
  </si>
  <si>
    <t xml:space="preserve">   ADMw Extended Growth Rate at Full-day K</t>
  </si>
  <si>
    <t xml:space="preserve">        Growth Rate</t>
  </si>
  <si>
    <t xml:space="preserve">      District Local Option Revenue</t>
  </si>
  <si>
    <t xml:space="preserve">      District Other Revenue Outside Formula</t>
  </si>
  <si>
    <t xml:space="preserve">   Growth Rate</t>
  </si>
  <si>
    <t>COVID expanded FRPL impacts</t>
  </si>
  <si>
    <t xml:space="preserve">      Growth Rate</t>
  </si>
  <si>
    <t xml:space="preserve">           Total Federal Revenue</t>
  </si>
  <si>
    <t>Total Salaries of Districts</t>
  </si>
  <si>
    <t>This workbook is a restricted public use version of the QEM cost model workbook that has had the functionality limited to comparing the QEC's CSL base case estimation and the Fully-Implemented QEM estimation for the 2025-27 biennium. These two policy scenarios can be explored by selecting either "CSL" or "Full QEM" from both cells K5 and L5 in the worksheet titled "K-12_assumptions."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</si>
</sst>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
    <numFmt numFmtId="166" formatCode="&quot;$&quot;#,##0"/>
    <numFmt numFmtId="167" formatCode="_(&quot;$&quot;* #,##0_);_(&quot;$&quot;* \(#,##0\);_(&quot;$&quot;* &quot;-&quot;??_);_(@_)"/>
    <numFmt numFmtId="168" formatCode="&quot;$&quot;#,##0.0"/>
    <numFmt numFmtId="169" formatCode="#,##0.0"/>
    <numFmt numFmtId="170" formatCode="&quot;$&quot;#,##0.00"/>
    <numFmt numFmtId="171" formatCode="0.000%"/>
    <numFmt numFmtId="172" formatCode="#,##0.0000"/>
    <numFmt numFmtId="173" formatCode="0.0000000"/>
    <numFmt numFmtId="174" formatCode="&quot;$&quot;#,##0.00000"/>
    <numFmt numFmtId="175" formatCode="0.00000"/>
    <numFmt numFmtId="176" formatCode="&quot;$&quot;#,##0.0000000"/>
    <numFmt numFmtId="177" formatCode="&quot;$&quot;#,##0.00;\(&quot;$&quot;#,##0.00\)"/>
    <numFmt numFmtId="178" formatCode="dd\-mmm\-yy"/>
    <numFmt numFmtId="179" formatCode="_(* #,##0_);_(* \(#,##0\);_(* &quot;-&quot;??_);_(@_)"/>
    <numFmt numFmtId="180" formatCode="&quot;$&quot;#,##0;\(&quot;$&quot;#,##0\)"/>
    <numFmt numFmtId="181" formatCode="_(* #,##0.0_);_(* \(#,##0.0\);_(* &quot;0.0&quot;_);_(@_)"/>
    <numFmt numFmtId="182" formatCode="0.0000%"/>
  </numFmts>
  <fonts count="47">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6"/>
      <name val="Arial"/>
      <family val="2"/>
    </font>
    <font>
      <sz val="10"/>
      <name val="Calibri"/>
      <family val="2"/>
    </font>
    <font>
      <b/>
      <sz val="9"/>
      <color indexed="81"/>
      <name val="Tahoma"/>
      <family val="2"/>
    </font>
    <font>
      <sz val="9"/>
      <color indexed="81"/>
      <name val="Tahoma"/>
      <family val="2"/>
    </font>
    <font>
      <sz val="11"/>
      <name val="Arial"/>
      <family val="2"/>
    </font>
    <font>
      <i/>
      <sz val="11"/>
      <name val="Arial"/>
      <family val="2"/>
    </font>
    <font>
      <b/>
      <sz val="14"/>
      <name val="Arial"/>
      <family val="2"/>
    </font>
    <font>
      <sz val="9"/>
      <name val="Arial"/>
      <family val="2"/>
    </font>
    <font>
      <sz val="10"/>
      <name val="Calibri"/>
      <family val="2"/>
      <scheme val="minor"/>
    </font>
    <font>
      <sz val="10"/>
      <color theme="1"/>
      <name val="Calibri"/>
      <family val="2"/>
      <scheme val="minor"/>
    </font>
    <font>
      <b/>
      <u/>
      <sz val="10"/>
      <name val="Arial"/>
      <family val="2"/>
    </font>
    <font>
      <b/>
      <sz val="10"/>
      <color theme="1"/>
      <name val="Calibri"/>
      <family val="2"/>
      <scheme val="minor"/>
    </font>
    <font>
      <b/>
      <sz val="24"/>
      <color theme="1"/>
      <name val="Calibri"/>
      <family val="2"/>
      <scheme val="minor"/>
    </font>
    <font>
      <b/>
      <sz val="10"/>
      <name val="Calibri"/>
      <family val="2"/>
      <scheme val="minor"/>
    </font>
    <font>
      <b/>
      <sz val="24"/>
      <name val="Calibri"/>
      <family val="2"/>
      <scheme val="minor"/>
    </font>
    <font>
      <b/>
      <u/>
      <sz val="10"/>
      <name val="Calibri"/>
      <family val="2"/>
      <scheme val="minor"/>
    </font>
    <font>
      <b/>
      <sz val="10"/>
      <name val="Calibri"/>
      <family val="2"/>
    </font>
    <font>
      <sz val="12"/>
      <name val="Palatino"/>
    </font>
    <font>
      <u/>
      <sz val="10"/>
      <color indexed="12"/>
      <name val="Verdana"/>
      <family val="2"/>
    </font>
    <font>
      <sz val="11"/>
      <name val="Calibri"/>
      <family val="2"/>
      <scheme val="minor"/>
    </font>
    <font>
      <sz val="10"/>
      <name val="Arial"/>
      <family val="2"/>
    </font>
    <font>
      <b/>
      <sz val="8"/>
      <name val="Arial"/>
      <family val="2"/>
    </font>
    <font>
      <b/>
      <sz val="12"/>
      <name val="Arial"/>
      <family val="2"/>
    </font>
    <font>
      <b/>
      <sz val="11"/>
      <name val="Arial"/>
      <family val="2"/>
    </font>
    <font>
      <sz val="8"/>
      <name val="Arial"/>
      <family val="2"/>
    </font>
    <font>
      <b/>
      <sz val="19"/>
      <name val="Arial"/>
      <family val="2"/>
    </font>
    <font>
      <b/>
      <sz val="11"/>
      <name val="Calibri"/>
      <family val="2"/>
      <scheme val="minor"/>
    </font>
    <font>
      <sz val="10"/>
      <color theme="1"/>
      <name val="Arial"/>
      <family val="2"/>
    </font>
    <font>
      <sz val="10"/>
      <color indexed="8"/>
      <name val="Arial"/>
      <family val="2"/>
    </font>
    <font>
      <sz val="11"/>
      <color indexed="8"/>
      <name val="Calibri"/>
      <family val="2"/>
    </font>
    <font>
      <u/>
      <sz val="11"/>
      <color theme="10"/>
      <name val="Calibri"/>
      <family val="2"/>
      <scheme val="minor"/>
    </font>
    <font>
      <sz val="10"/>
      <name val="Times New Roman"/>
      <family val="1"/>
    </font>
    <font>
      <b/>
      <sz val="14"/>
      <color theme="1"/>
      <name val="Calibri"/>
      <family val="2"/>
      <scheme val="minor"/>
    </font>
    <font>
      <sz val="10"/>
      <color indexed="8"/>
      <name val="Arial"/>
      <family val="2"/>
    </font>
    <font>
      <sz val="11"/>
      <color rgb="FF000000"/>
      <name val="Arial"/>
      <family val="2"/>
    </font>
    <font>
      <sz val="10"/>
      <color indexed="8"/>
      <name val="Arial"/>
      <family val="2"/>
    </font>
    <font>
      <sz val="10"/>
      <color indexed="8"/>
      <name val="Arial"/>
      <family val="2"/>
    </font>
    <font>
      <sz val="10"/>
      <name val="Arial"/>
      <family val="2"/>
    </font>
    <font>
      <sz val="10"/>
      <color indexed="8"/>
      <name val="Arial"/>
      <family val="2"/>
    </font>
    <font>
      <b/>
      <sz val="12"/>
      <color theme="1"/>
      <name val="Calibri"/>
      <family val="2"/>
      <scheme val="minor"/>
    </font>
    <font>
      <b/>
      <sz val="16"/>
      <color theme="1"/>
      <name val="Calibri"/>
      <family val="2"/>
      <scheme val="minor"/>
    </font>
    <font>
      <sz val="12"/>
      <color theme="1"/>
      <name val="Calibri"/>
      <family val="2"/>
      <scheme val="minor"/>
    </font>
  </fonts>
  <fills count="28">
    <fill>
      <patternFill patternType="none"/>
    </fill>
    <fill>
      <patternFill patternType="gray125"/>
    </fill>
    <fill>
      <patternFill patternType="solid">
        <fgColor rgb="FFFFC0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indexed="22"/>
        <bgColor indexed="0"/>
      </patternFill>
    </fill>
    <fill>
      <patternFill patternType="solid">
        <fgColor rgb="FFFFFFFF"/>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tint="-9.9978637043366805E-2"/>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double">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rgb="FFAAAAAA"/>
      </left>
      <right/>
      <top style="medium">
        <color rgb="FFAAAAAA"/>
      </top>
      <bottom/>
      <diagonal/>
    </border>
    <border>
      <left/>
      <right/>
      <top style="medium">
        <color rgb="FFAAAAAA"/>
      </top>
      <bottom/>
      <diagonal/>
    </border>
    <border>
      <left/>
      <right style="medium">
        <color rgb="FFAAAAAA"/>
      </right>
      <top style="medium">
        <color rgb="FFAAAAAA"/>
      </top>
      <bottom/>
      <diagonal/>
    </border>
    <border>
      <left style="medium">
        <color rgb="FFCCCCCC"/>
      </left>
      <right style="medium">
        <color rgb="FFCCCCCC"/>
      </right>
      <top style="medium">
        <color rgb="FFCCCCCC"/>
      </top>
      <bottom style="medium">
        <color rgb="FFCCCCCC"/>
      </bottom>
      <diagonal/>
    </border>
    <border>
      <left style="thin">
        <color indexed="8"/>
      </left>
      <right style="thin">
        <color indexed="8"/>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8"/>
      </left>
      <right style="thin">
        <color indexed="8"/>
      </right>
      <top/>
      <bottom style="thin">
        <color indexed="8"/>
      </bottom>
      <diagonal/>
    </border>
    <border>
      <left style="thin">
        <color auto="1"/>
      </left>
      <right/>
      <top/>
      <bottom style="thin">
        <color auto="1"/>
      </bottom>
      <diagonal/>
    </border>
  </borders>
  <cellStyleXfs count="5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2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2" fillId="0" borderId="0"/>
    <xf numFmtId="0" fontId="4" fillId="0" borderId="0"/>
    <xf numFmtId="9" fontId="4"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33" fillId="0" borderId="0"/>
    <xf numFmtId="0" fontId="35" fillId="0" borderId="0" applyNumberFormat="0" applyFill="0" applyBorder="0" applyAlignment="0" applyProtection="0"/>
    <xf numFmtId="0" fontId="32" fillId="0" borderId="0"/>
    <xf numFmtId="0" fontId="1" fillId="0" borderId="0"/>
    <xf numFmtId="0" fontId="36" fillId="0" borderId="0"/>
    <xf numFmtId="0" fontId="38" fillId="0" borderId="0"/>
    <xf numFmtId="0" fontId="40" fillId="0" borderId="0"/>
    <xf numFmtId="0" fontId="33" fillId="0" borderId="0"/>
    <xf numFmtId="0" fontId="41" fillId="0" borderId="0"/>
    <xf numFmtId="0" fontId="33" fillId="0" borderId="0"/>
    <xf numFmtId="0" fontId="42" fillId="0" borderId="0"/>
    <xf numFmtId="43" fontId="42" fillId="0" borderId="0" applyFont="0" applyFill="0" applyBorder="0" applyAlignment="0" applyProtection="0"/>
    <xf numFmtId="0" fontId="43" fillId="0" borderId="0"/>
    <xf numFmtId="0" fontId="33" fillId="0" borderId="0"/>
  </cellStyleXfs>
  <cellXfs count="1253">
    <xf numFmtId="0" fontId="0" fillId="0" borderId="0" xfId="0"/>
    <xf numFmtId="0" fontId="4" fillId="0" borderId="0" xfId="0" applyFont="1"/>
    <xf numFmtId="0" fontId="4" fillId="0" borderId="0" xfId="0" applyFont="1" applyAlignment="1">
      <alignment horizontal="center"/>
    </xf>
    <xf numFmtId="10" fontId="0" fillId="0" borderId="0" xfId="0" applyNumberFormat="1"/>
    <xf numFmtId="166" fontId="0" fillId="0" borderId="0" xfId="0" applyNumberFormat="1"/>
    <xf numFmtId="166" fontId="4" fillId="0" borderId="0" xfId="0" applyNumberFormat="1" applyFont="1"/>
    <xf numFmtId="0" fontId="0" fillId="0" borderId="1" xfId="0" applyBorder="1"/>
    <xf numFmtId="0" fontId="4" fillId="0" borderId="4" xfId="0" applyFont="1" applyBorder="1"/>
    <xf numFmtId="0" fontId="13" fillId="0" borderId="0" xfId="0" applyFont="1"/>
    <xf numFmtId="0" fontId="13" fillId="0" borderId="0" xfId="0" applyFont="1" applyAlignment="1">
      <alignment vertical="top"/>
    </xf>
    <xf numFmtId="0" fontId="14" fillId="0" borderId="0" xfId="0" applyFont="1"/>
    <xf numFmtId="10" fontId="0" fillId="0" borderId="0" xfId="3" applyNumberFormat="1" applyFont="1"/>
    <xf numFmtId="170" fontId="14" fillId="0" borderId="0" xfId="0" applyNumberFormat="1" applyFont="1" applyAlignment="1" applyProtection="1">
      <alignment horizontal="center"/>
      <protection locked="0"/>
    </xf>
    <xf numFmtId="170" fontId="14" fillId="0" borderId="0" xfId="0" applyNumberFormat="1" applyFont="1" applyAlignment="1">
      <alignment horizontal="center"/>
    </xf>
    <xf numFmtId="170" fontId="14" fillId="0" borderId="8" xfId="0" applyNumberFormat="1" applyFont="1" applyBorder="1" applyAlignment="1">
      <alignment horizontal="center"/>
    </xf>
    <xf numFmtId="0" fontId="14" fillId="0" borderId="0" xfId="0" quotePrefix="1" applyFont="1"/>
    <xf numFmtId="0" fontId="17" fillId="0" borderId="0" xfId="0" applyFont="1"/>
    <xf numFmtId="0" fontId="13" fillId="0" borderId="4" xfId="0" applyFont="1" applyBorder="1"/>
    <xf numFmtId="165" fontId="13" fillId="0" borderId="0" xfId="2" applyNumberFormat="1" applyFont="1" applyFill="1" applyBorder="1" applyProtection="1"/>
    <xf numFmtId="165" fontId="13" fillId="0" borderId="0" xfId="3" applyNumberFormat="1" applyFont="1" applyFill="1" applyBorder="1" applyAlignment="1" applyProtection="1">
      <alignment horizontal="right"/>
    </xf>
    <xf numFmtId="167" fontId="13" fillId="0" borderId="0" xfId="2" applyNumberFormat="1" applyFont="1" applyFill="1" applyBorder="1" applyAlignment="1" applyProtection="1">
      <alignment horizontal="right"/>
    </xf>
    <xf numFmtId="9" fontId="13" fillId="0" borderId="0" xfId="3" applyFont="1" applyFill="1" applyBorder="1" applyAlignment="1" applyProtection="1">
      <alignment horizontal="right"/>
    </xf>
    <xf numFmtId="167" fontId="13" fillId="0" borderId="20" xfId="2" applyNumberFormat="1" applyFont="1" applyFill="1" applyBorder="1" applyAlignment="1">
      <alignment horizontal="right" vertical="center"/>
    </xf>
    <xf numFmtId="167" fontId="13" fillId="0" borderId="6" xfId="2" applyNumberFormat="1" applyFont="1" applyFill="1" applyBorder="1" applyAlignment="1">
      <alignment horizontal="right" vertical="center"/>
    </xf>
    <xf numFmtId="167" fontId="13" fillId="0" borderId="34" xfId="2" applyNumberFormat="1" applyFont="1" applyFill="1" applyBorder="1" applyAlignment="1">
      <alignment horizontal="right" vertical="center"/>
    </xf>
    <xf numFmtId="166" fontId="13" fillId="0" borderId="6" xfId="0" applyNumberFormat="1" applyFont="1" applyBorder="1" applyAlignment="1">
      <alignment horizontal="right" vertical="center" wrapText="1"/>
    </xf>
    <xf numFmtId="166" fontId="13" fillId="0" borderId="6" xfId="1" applyNumberFormat="1" applyFont="1" applyFill="1" applyBorder="1" applyAlignment="1">
      <alignment horizontal="right" vertical="center"/>
    </xf>
    <xf numFmtId="166" fontId="13" fillId="0" borderId="6" xfId="0" applyNumberFormat="1" applyFont="1" applyBorder="1" applyAlignment="1">
      <alignment horizontal="right" vertical="center"/>
    </xf>
    <xf numFmtId="166" fontId="13" fillId="0" borderId="34" xfId="0" applyNumberFormat="1" applyFont="1" applyBorder="1" applyAlignment="1">
      <alignment horizontal="right" vertical="center" wrapText="1"/>
    </xf>
    <xf numFmtId="166" fontId="13" fillId="0" borderId="21" xfId="0" applyNumberFormat="1" applyFont="1" applyBorder="1" applyAlignment="1">
      <alignment horizontal="right" vertical="center" wrapText="1"/>
    </xf>
    <xf numFmtId="166" fontId="13" fillId="0" borderId="28" xfId="0" applyNumberFormat="1" applyFont="1" applyBorder="1" applyAlignment="1">
      <alignment horizontal="right" vertical="center" wrapText="1"/>
    </xf>
    <xf numFmtId="0" fontId="13" fillId="0" borderId="1" xfId="0" applyFont="1" applyBorder="1"/>
    <xf numFmtId="167" fontId="14" fillId="0" borderId="2" xfId="2" applyNumberFormat="1" applyFont="1" applyFill="1" applyBorder="1"/>
    <xf numFmtId="167" fontId="14" fillId="0" borderId="3" xfId="2" applyNumberFormat="1" applyFont="1" applyFill="1" applyBorder="1"/>
    <xf numFmtId="167" fontId="14" fillId="0" borderId="0" xfId="2" applyNumberFormat="1" applyFont="1" applyFill="1" applyBorder="1"/>
    <xf numFmtId="167" fontId="14" fillId="0" borderId="5" xfId="2" applyNumberFormat="1" applyFont="1" applyFill="1" applyBorder="1"/>
    <xf numFmtId="44" fontId="14" fillId="0" borderId="0" xfId="2" applyFont="1" applyFill="1" applyBorder="1"/>
    <xf numFmtId="44" fontId="14" fillId="0" borderId="5" xfId="2" applyFont="1" applyFill="1" applyBorder="1"/>
    <xf numFmtId="0" fontId="13" fillId="0" borderId="11" xfId="0" applyFont="1" applyBorder="1"/>
    <xf numFmtId="44" fontId="14" fillId="0" borderId="12" xfId="2" applyFont="1" applyFill="1" applyBorder="1"/>
    <xf numFmtId="0" fontId="14" fillId="0" borderId="4" xfId="0" applyFont="1" applyBorder="1"/>
    <xf numFmtId="0" fontId="14" fillId="0" borderId="5" xfId="0" applyFont="1" applyBorder="1"/>
    <xf numFmtId="10" fontId="14" fillId="0" borderId="0" xfId="3" applyNumberFormat="1" applyFont="1" applyFill="1" applyBorder="1"/>
    <xf numFmtId="10" fontId="14" fillId="0" borderId="5" xfId="3" applyNumberFormat="1" applyFont="1" applyFill="1" applyBorder="1"/>
    <xf numFmtId="0" fontId="14" fillId="0" borderId="7" xfId="0" applyFont="1" applyBorder="1"/>
    <xf numFmtId="10" fontId="14" fillId="0" borderId="8" xfId="3" applyNumberFormat="1" applyFont="1" applyFill="1" applyBorder="1"/>
    <xf numFmtId="10" fontId="14" fillId="0" borderId="9" xfId="3" applyNumberFormat="1" applyFont="1" applyFill="1" applyBorder="1"/>
    <xf numFmtId="0" fontId="14" fillId="0" borderId="1" xfId="0" applyFont="1" applyBorder="1"/>
    <xf numFmtId="170" fontId="14" fillId="0" borderId="2" xfId="0" applyNumberFormat="1" applyFont="1" applyBorder="1" applyAlignment="1" applyProtection="1">
      <alignment horizontal="center"/>
      <protection locked="0"/>
    </xf>
    <xf numFmtId="170" fontId="14" fillId="0" borderId="3" xfId="0" applyNumberFormat="1" applyFont="1" applyBorder="1" applyAlignment="1" applyProtection="1">
      <alignment horizontal="center"/>
      <protection locked="0"/>
    </xf>
    <xf numFmtId="170" fontId="14" fillId="0" borderId="9" xfId="0" applyNumberFormat="1" applyFont="1" applyBorder="1" applyAlignment="1">
      <alignment horizontal="center"/>
    </xf>
    <xf numFmtId="170" fontId="14" fillId="0" borderId="1" xfId="0" applyNumberFormat="1" applyFont="1" applyBorder="1" applyAlignment="1" applyProtection="1">
      <alignment horizontal="center"/>
      <protection locked="0"/>
    </xf>
    <xf numFmtId="170" fontId="14" fillId="0" borderId="7" xfId="0" applyNumberFormat="1" applyFont="1" applyBorder="1" applyAlignment="1">
      <alignment horizontal="center"/>
    </xf>
    <xf numFmtId="170" fontId="14" fillId="0" borderId="4" xfId="0" applyNumberFormat="1" applyFont="1" applyBorder="1" applyAlignment="1">
      <alignment horizontal="center"/>
    </xf>
    <xf numFmtId="170" fontId="14" fillId="0" borderId="5" xfId="0" applyNumberFormat="1" applyFont="1" applyBorder="1" applyAlignment="1">
      <alignment horizontal="center"/>
    </xf>
    <xf numFmtId="167" fontId="14" fillId="0" borderId="1" xfId="2" applyNumberFormat="1" applyFont="1" applyFill="1" applyBorder="1"/>
    <xf numFmtId="167" fontId="14" fillId="0" borderId="4" xfId="2" applyNumberFormat="1" applyFont="1" applyFill="1" applyBorder="1"/>
    <xf numFmtId="44" fontId="14" fillId="0" borderId="4" xfId="2" applyFont="1" applyFill="1" applyBorder="1"/>
    <xf numFmtId="44" fontId="14" fillId="0" borderId="11" xfId="2" applyFont="1" applyFill="1" applyBorder="1"/>
    <xf numFmtId="10" fontId="14" fillId="0" borderId="4" xfId="3" applyNumberFormat="1" applyFont="1" applyFill="1" applyBorder="1"/>
    <xf numFmtId="10" fontId="14" fillId="0" borderId="7" xfId="3" applyNumberFormat="1" applyFont="1" applyFill="1" applyBorder="1"/>
    <xf numFmtId="0" fontId="0" fillId="0" borderId="8" xfId="0" applyBorder="1"/>
    <xf numFmtId="0" fontId="0" fillId="0" borderId="0" xfId="0" applyAlignment="1">
      <alignment horizontal="left"/>
    </xf>
    <xf numFmtId="0" fontId="0" fillId="0" borderId="0" xfId="0" applyAlignment="1">
      <alignment horizontal="left" vertical="top"/>
    </xf>
    <xf numFmtId="0" fontId="0" fillId="0" borderId="15" xfId="0" applyBorder="1"/>
    <xf numFmtId="167" fontId="13" fillId="0" borderId="21" xfId="2" applyNumberFormat="1" applyFont="1" applyFill="1" applyBorder="1" applyAlignment="1">
      <alignment horizontal="right" vertical="center"/>
    </xf>
    <xf numFmtId="0" fontId="0" fillId="0" borderId="0" xfId="0" quotePrefix="1"/>
    <xf numFmtId="167" fontId="13" fillId="0" borderId="33" xfId="2" applyNumberFormat="1" applyFont="1" applyFill="1" applyBorder="1" applyAlignment="1">
      <alignment horizontal="right" vertical="center"/>
    </xf>
    <xf numFmtId="167" fontId="13" fillId="0" borderId="28" xfId="2" applyNumberFormat="1" applyFont="1" applyFill="1" applyBorder="1" applyAlignment="1">
      <alignment horizontal="right" vertical="center"/>
    </xf>
    <xf numFmtId="167" fontId="13" fillId="0" borderId="30" xfId="2" applyNumberFormat="1" applyFont="1" applyFill="1" applyBorder="1" applyAlignment="1">
      <alignment horizontal="right" vertical="center"/>
    </xf>
    <xf numFmtId="167" fontId="13" fillId="0" borderId="31" xfId="2" applyNumberFormat="1" applyFont="1" applyFill="1" applyBorder="1" applyAlignment="1">
      <alignment horizontal="right" vertical="center"/>
    </xf>
    <xf numFmtId="167" fontId="13" fillId="0" borderId="32" xfId="2" applyNumberFormat="1" applyFont="1" applyFill="1" applyBorder="1" applyAlignment="1">
      <alignment horizontal="right" vertical="center"/>
    </xf>
    <xf numFmtId="167" fontId="14" fillId="0" borderId="0" xfId="0" applyNumberFormat="1" applyFont="1"/>
    <xf numFmtId="44" fontId="14" fillId="0" borderId="0" xfId="0" applyNumberFormat="1" applyFont="1"/>
    <xf numFmtId="0" fontId="13" fillId="3" borderId="6" xfId="0" applyFont="1" applyFill="1" applyBorder="1" applyAlignment="1">
      <alignment horizontal="left" vertical="top"/>
    </xf>
    <xf numFmtId="0" fontId="13" fillId="4" borderId="6" xfId="0" applyFont="1" applyFill="1" applyBorder="1" applyAlignment="1">
      <alignment horizontal="left" vertical="top"/>
    </xf>
    <xf numFmtId="0" fontId="13" fillId="4" borderId="18" xfId="0" applyFont="1" applyFill="1" applyBorder="1" applyAlignment="1">
      <alignment horizontal="left" vertical="top"/>
    </xf>
    <xf numFmtId="170" fontId="13" fillId="3" borderId="6" xfId="0" applyNumberFormat="1" applyFont="1" applyFill="1" applyBorder="1" applyAlignment="1">
      <alignment horizontal="right" vertical="center" wrapText="1"/>
    </xf>
    <xf numFmtId="167" fontId="13" fillId="0" borderId="29" xfId="2" applyNumberFormat="1" applyFont="1" applyFill="1" applyBorder="1" applyAlignment="1">
      <alignment horizontal="right" vertical="center"/>
    </xf>
    <xf numFmtId="0" fontId="13" fillId="8" borderId="6" xfId="0" applyFont="1" applyFill="1" applyBorder="1" applyAlignment="1">
      <alignment horizontal="left" vertical="top"/>
    </xf>
    <xf numFmtId="0" fontId="13" fillId="8" borderId="31" xfId="0" applyFont="1" applyFill="1" applyBorder="1" applyAlignment="1">
      <alignment horizontal="left" vertical="top"/>
    </xf>
    <xf numFmtId="0" fontId="13" fillId="7" borderId="6" xfId="0" applyFont="1" applyFill="1" applyBorder="1" applyAlignment="1">
      <alignment horizontal="left" vertical="top"/>
    </xf>
    <xf numFmtId="0" fontId="13" fillId="7" borderId="18" xfId="0" applyFont="1" applyFill="1" applyBorder="1" applyAlignment="1">
      <alignment horizontal="left" vertical="top"/>
    </xf>
    <xf numFmtId="49" fontId="13" fillId="4" borderId="6" xfId="0" applyNumberFormat="1" applyFont="1" applyFill="1" applyBorder="1" applyAlignment="1">
      <alignment horizontal="left" vertical="top" wrapText="1"/>
    </xf>
    <xf numFmtId="0" fontId="13" fillId="3" borderId="6" xfId="0" applyFont="1" applyFill="1" applyBorder="1" applyAlignment="1">
      <alignment horizontal="left" vertical="center" wrapText="1"/>
    </xf>
    <xf numFmtId="0" fontId="13" fillId="8" borderId="37" xfId="0" applyFont="1" applyFill="1" applyBorder="1" applyAlignment="1">
      <alignment horizontal="left" vertical="center" wrapText="1"/>
    </xf>
    <xf numFmtId="0" fontId="3" fillId="0" borderId="0" xfId="0" applyFont="1"/>
    <xf numFmtId="0" fontId="13" fillId="0" borderId="49" xfId="0" applyFont="1" applyBorder="1"/>
    <xf numFmtId="0" fontId="13" fillId="0" borderId="50" xfId="0" applyFont="1" applyBorder="1"/>
    <xf numFmtId="0" fontId="0" fillId="7" borderId="0" xfId="0" applyFill="1"/>
    <xf numFmtId="0" fontId="0" fillId="4" borderId="0" xfId="0" applyFill="1"/>
    <xf numFmtId="0" fontId="13" fillId="5" borderId="6" xfId="0" applyFont="1" applyFill="1" applyBorder="1" applyAlignment="1">
      <alignment horizontal="left" vertical="top"/>
    </xf>
    <xf numFmtId="0" fontId="13" fillId="5" borderId="18" xfId="0" applyFont="1" applyFill="1" applyBorder="1" applyAlignment="1">
      <alignment horizontal="left" vertical="top"/>
    </xf>
    <xf numFmtId="0" fontId="13" fillId="3" borderId="18" xfId="0" applyFont="1" applyFill="1" applyBorder="1" applyAlignment="1">
      <alignment horizontal="left" vertical="top"/>
    </xf>
    <xf numFmtId="169" fontId="13" fillId="3" borderId="6" xfId="0" applyNumberFormat="1" applyFont="1" applyFill="1" applyBorder="1" applyAlignment="1">
      <alignment horizontal="left" vertical="top"/>
    </xf>
    <xf numFmtId="0" fontId="13" fillId="9" borderId="6" xfId="0" applyFont="1" applyFill="1" applyBorder="1" applyAlignment="1">
      <alignment horizontal="left" vertical="top"/>
    </xf>
    <xf numFmtId="2" fontId="13" fillId="0" borderId="6" xfId="0" applyNumberFormat="1" applyFont="1" applyBorder="1" applyAlignment="1">
      <alignment horizontal="right" vertical="center"/>
    </xf>
    <xf numFmtId="0" fontId="13" fillId="7" borderId="6" xfId="0" applyFont="1" applyFill="1" applyBorder="1" applyAlignment="1">
      <alignment horizontal="right" vertical="top"/>
    </xf>
    <xf numFmtId="0" fontId="13" fillId="3" borderId="6" xfId="0" applyFont="1" applyFill="1" applyBorder="1" applyAlignment="1">
      <alignment horizontal="right" vertical="top"/>
    </xf>
    <xf numFmtId="0" fontId="13" fillId="3" borderId="6" xfId="0" applyFont="1" applyFill="1" applyBorder="1" applyAlignment="1">
      <alignment horizontal="right"/>
    </xf>
    <xf numFmtId="2" fontId="13" fillId="8" borderId="6" xfId="0" applyNumberFormat="1" applyFont="1" applyFill="1" applyBorder="1" applyAlignment="1">
      <alignment horizontal="right" vertical="center"/>
    </xf>
    <xf numFmtId="2" fontId="13" fillId="4" borderId="6" xfId="0" applyNumberFormat="1" applyFont="1" applyFill="1" applyBorder="1" applyAlignment="1">
      <alignment horizontal="right" vertical="center"/>
    </xf>
    <xf numFmtId="44" fontId="13" fillId="0" borderId="6" xfId="2" applyFont="1" applyFill="1" applyBorder="1" applyAlignment="1">
      <alignment horizontal="right" vertical="center"/>
    </xf>
    <xf numFmtId="4" fontId="13" fillId="0" borderId="6" xfId="0" applyNumberFormat="1" applyFont="1" applyBorder="1" applyAlignment="1">
      <alignment horizontal="right" vertical="center"/>
    </xf>
    <xf numFmtId="9" fontId="13" fillId="0" borderId="6" xfId="3" applyFont="1" applyFill="1" applyBorder="1" applyAlignment="1">
      <alignment horizontal="right" vertical="center"/>
    </xf>
    <xf numFmtId="10" fontId="13" fillId="0" borderId="6" xfId="3" applyNumberFormat="1" applyFont="1" applyFill="1" applyBorder="1" applyAlignment="1">
      <alignment horizontal="right" vertical="center"/>
    </xf>
    <xf numFmtId="166" fontId="13" fillId="3" borderId="6" xfId="0" applyNumberFormat="1" applyFont="1" applyFill="1" applyBorder="1" applyAlignment="1">
      <alignment horizontal="right" vertical="center"/>
    </xf>
    <xf numFmtId="0" fontId="25" fillId="0" borderId="0" xfId="30" applyAlignment="1">
      <alignment horizontal="right"/>
    </xf>
    <xf numFmtId="0" fontId="25" fillId="0" borderId="0" xfId="30" applyAlignment="1">
      <alignment horizontal="left"/>
    </xf>
    <xf numFmtId="0" fontId="4" fillId="0" borderId="0" xfId="30" applyFont="1" applyAlignment="1">
      <alignment horizontal="left"/>
    </xf>
    <xf numFmtId="0" fontId="4" fillId="0" borderId="0" xfId="20"/>
    <xf numFmtId="49" fontId="13" fillId="5" borderId="6" xfId="0" applyNumberFormat="1" applyFont="1" applyFill="1" applyBorder="1" applyAlignment="1">
      <alignment horizontal="left" vertical="top" wrapText="1"/>
    </xf>
    <xf numFmtId="49" fontId="13" fillId="3" borderId="6" xfId="0" applyNumberFormat="1" applyFont="1" applyFill="1" applyBorder="1" applyAlignment="1">
      <alignment horizontal="left" vertical="top" wrapText="1"/>
    </xf>
    <xf numFmtId="49" fontId="13" fillId="6" borderId="6" xfId="0" applyNumberFormat="1" applyFont="1" applyFill="1" applyBorder="1" applyAlignment="1">
      <alignment horizontal="left" vertical="top" wrapText="1"/>
    </xf>
    <xf numFmtId="169" fontId="13" fillId="5" borderId="6" xfId="0" applyNumberFormat="1" applyFont="1" applyFill="1" applyBorder="1" applyAlignment="1">
      <alignment horizontal="left" vertical="top"/>
    </xf>
    <xf numFmtId="10" fontId="13" fillId="5" borderId="6" xfId="3" applyNumberFormat="1" applyFont="1" applyFill="1" applyBorder="1" applyAlignment="1">
      <alignment horizontal="right" vertical="top" wrapText="1"/>
    </xf>
    <xf numFmtId="166" fontId="13" fillId="12" borderId="6" xfId="0" applyNumberFormat="1" applyFont="1" applyFill="1" applyBorder="1" applyAlignment="1">
      <alignment horizontal="right" vertical="center"/>
    </xf>
    <xf numFmtId="10" fontId="13" fillId="4" borderId="6" xfId="3" applyNumberFormat="1" applyFont="1" applyFill="1" applyBorder="1" applyAlignment="1">
      <alignment horizontal="right" vertical="center"/>
    </xf>
    <xf numFmtId="166" fontId="13" fillId="4" borderId="6" xfId="0" applyNumberFormat="1" applyFont="1" applyFill="1" applyBorder="1" applyAlignment="1">
      <alignment horizontal="right" vertical="center"/>
    </xf>
    <xf numFmtId="10" fontId="13" fillId="7" borderId="6" xfId="3" applyNumberFormat="1" applyFont="1" applyFill="1" applyBorder="1" applyAlignment="1">
      <alignment horizontal="right" vertical="center"/>
    </xf>
    <xf numFmtId="166" fontId="13" fillId="7" borderId="6" xfId="0" applyNumberFormat="1" applyFont="1" applyFill="1" applyBorder="1" applyAlignment="1">
      <alignment horizontal="right" vertical="center"/>
    </xf>
    <xf numFmtId="10" fontId="13" fillId="9" borderId="19" xfId="3" applyNumberFormat="1" applyFont="1" applyFill="1" applyBorder="1" applyAlignment="1">
      <alignment horizontal="right" vertical="center" wrapText="1"/>
    </xf>
    <xf numFmtId="0" fontId="0" fillId="9" borderId="0" xfId="0" applyFill="1"/>
    <xf numFmtId="10" fontId="13" fillId="9" borderId="31" xfId="3" applyNumberFormat="1" applyFont="1" applyFill="1" applyBorder="1" applyAlignment="1">
      <alignment horizontal="right" vertical="center" wrapText="1"/>
    </xf>
    <xf numFmtId="170" fontId="13" fillId="9" borderId="31" xfId="0" applyNumberFormat="1" applyFont="1" applyFill="1" applyBorder="1" applyAlignment="1">
      <alignment horizontal="right" vertical="center" wrapText="1"/>
    </xf>
    <xf numFmtId="0" fontId="0" fillId="3" borderId="6" xfId="0" applyFill="1" applyBorder="1" applyAlignment="1">
      <alignment horizontal="right"/>
    </xf>
    <xf numFmtId="3" fontId="18" fillId="3" borderId="6" xfId="0" applyNumberFormat="1" applyFont="1" applyFill="1" applyBorder="1" applyAlignment="1">
      <alignment horizontal="right" vertical="top" wrapText="1"/>
    </xf>
    <xf numFmtId="3" fontId="18" fillId="3" borderId="6" xfId="0" applyNumberFormat="1" applyFont="1" applyFill="1" applyBorder="1" applyAlignment="1">
      <alignment horizontal="right" vertical="center" wrapText="1"/>
    </xf>
    <xf numFmtId="169" fontId="13" fillId="6" borderId="6" xfId="0" applyNumberFormat="1" applyFont="1" applyFill="1" applyBorder="1" applyAlignment="1">
      <alignment horizontal="right" vertical="top"/>
    </xf>
    <xf numFmtId="0" fontId="18" fillId="6" borderId="6" xfId="0" applyFont="1" applyFill="1" applyBorder="1" applyAlignment="1">
      <alignment horizontal="center" vertical="center" wrapText="1"/>
    </xf>
    <xf numFmtId="169" fontId="13" fillId="5" borderId="18" xfId="0" applyNumberFormat="1" applyFont="1" applyFill="1" applyBorder="1" applyAlignment="1">
      <alignment horizontal="left" vertical="top"/>
    </xf>
    <xf numFmtId="0" fontId="0" fillId="6" borderId="6" xfId="0" applyFill="1" applyBorder="1"/>
    <xf numFmtId="166" fontId="18" fillId="6" borderId="6" xfId="0" quotePrefix="1" applyNumberFormat="1" applyFont="1" applyFill="1" applyBorder="1" applyAlignment="1">
      <alignment horizontal="right" vertical="center"/>
    </xf>
    <xf numFmtId="0" fontId="0" fillId="9" borderId="6" xfId="0" applyFill="1" applyBorder="1"/>
    <xf numFmtId="166" fontId="18" fillId="9" borderId="6" xfId="0" quotePrefix="1" applyNumberFormat="1" applyFont="1" applyFill="1" applyBorder="1" applyAlignment="1">
      <alignment horizontal="right" vertical="center"/>
    </xf>
    <xf numFmtId="0" fontId="13" fillId="9" borderId="6" xfId="0" applyFont="1" applyFill="1" applyBorder="1" applyAlignment="1">
      <alignment horizontal="right" vertical="top"/>
    </xf>
    <xf numFmtId="10" fontId="13" fillId="3" borderId="6" xfId="3" applyNumberFormat="1" applyFont="1" applyFill="1" applyBorder="1" applyAlignment="1">
      <alignment horizontal="right" vertical="center" wrapText="1"/>
    </xf>
    <xf numFmtId="166" fontId="18" fillId="3" borderId="6" xfId="0" quotePrefix="1" applyNumberFormat="1" applyFont="1" applyFill="1" applyBorder="1" applyAlignment="1">
      <alignment horizontal="right" vertical="top"/>
    </xf>
    <xf numFmtId="166" fontId="13" fillId="3" borderId="6" xfId="0" applyNumberFormat="1" applyFont="1" applyFill="1" applyBorder="1" applyAlignment="1">
      <alignment horizontal="right" vertical="center" wrapText="1"/>
    </xf>
    <xf numFmtId="0" fontId="0" fillId="0" borderId="6" xfId="0" applyBorder="1"/>
    <xf numFmtId="49" fontId="13" fillId="8" borderId="6" xfId="0" applyNumberFormat="1" applyFont="1" applyFill="1" applyBorder="1" applyAlignment="1">
      <alignment horizontal="left" vertical="top" wrapText="1"/>
    </xf>
    <xf numFmtId="167" fontId="13" fillId="8" borderId="6" xfId="2" applyNumberFormat="1" applyFont="1" applyFill="1" applyBorder="1" applyAlignment="1">
      <alignment horizontal="right" vertical="center"/>
    </xf>
    <xf numFmtId="44" fontId="13" fillId="4" borderId="6" xfId="2" applyFont="1" applyFill="1" applyBorder="1" applyAlignment="1">
      <alignment horizontal="right" vertical="center"/>
    </xf>
    <xf numFmtId="0" fontId="0" fillId="6" borderId="6" xfId="0" applyFill="1" applyBorder="1" applyAlignment="1">
      <alignment horizontal="left" vertical="top"/>
    </xf>
    <xf numFmtId="0" fontId="13" fillId="6" borderId="6" xfId="0" applyFont="1" applyFill="1" applyBorder="1" applyAlignment="1">
      <alignment horizontal="left" vertical="top"/>
    </xf>
    <xf numFmtId="0" fontId="18" fillId="6" borderId="6" xfId="0" applyFont="1" applyFill="1" applyBorder="1" applyAlignment="1">
      <alignment horizontal="left" vertical="top"/>
    </xf>
    <xf numFmtId="0" fontId="18" fillId="9" borderId="6" xfId="0" applyFont="1" applyFill="1" applyBorder="1" applyAlignment="1">
      <alignment horizontal="left" vertical="top"/>
    </xf>
    <xf numFmtId="0" fontId="14" fillId="9" borderId="6" xfId="0" applyFont="1" applyFill="1" applyBorder="1" applyAlignment="1">
      <alignment horizontal="left" vertical="top"/>
    </xf>
    <xf numFmtId="166" fontId="18" fillId="9" borderId="6" xfId="0" quotePrefix="1" applyNumberFormat="1" applyFont="1" applyFill="1" applyBorder="1" applyAlignment="1">
      <alignment horizontal="left" vertical="top"/>
    </xf>
    <xf numFmtId="0" fontId="0" fillId="9" borderId="6" xfId="0" applyFill="1" applyBorder="1" applyAlignment="1">
      <alignment horizontal="left" vertical="top"/>
    </xf>
    <xf numFmtId="0" fontId="0" fillId="3" borderId="6" xfId="0" applyFill="1" applyBorder="1" applyAlignment="1">
      <alignment horizontal="left" vertical="top"/>
    </xf>
    <xf numFmtId="166" fontId="18" fillId="3" borderId="6" xfId="0" quotePrefix="1" applyNumberFormat="1" applyFont="1" applyFill="1" applyBorder="1" applyAlignment="1">
      <alignment horizontal="left" vertical="top"/>
    </xf>
    <xf numFmtId="0" fontId="14" fillId="3" borderId="6" xfId="0" applyFont="1" applyFill="1" applyBorder="1" applyAlignment="1">
      <alignment horizontal="left" vertical="top"/>
    </xf>
    <xf numFmtId="0" fontId="0" fillId="8" borderId="6" xfId="0" quotePrefix="1" applyFill="1" applyBorder="1" applyAlignment="1">
      <alignment horizontal="left" vertical="top"/>
    </xf>
    <xf numFmtId="0" fontId="0" fillId="8" borderId="6" xfId="0" applyFill="1" applyBorder="1" applyAlignment="1">
      <alignment horizontal="left" vertical="top"/>
    </xf>
    <xf numFmtId="0" fontId="0" fillId="4" borderId="6" xfId="0" quotePrefix="1" applyFill="1" applyBorder="1" applyAlignment="1">
      <alignment horizontal="left" vertical="top"/>
    </xf>
    <xf numFmtId="0" fontId="0" fillId="4" borderId="6" xfId="0" applyFill="1" applyBorder="1" applyAlignment="1">
      <alignment horizontal="left" vertical="top"/>
    </xf>
    <xf numFmtId="49" fontId="13" fillId="5" borderId="6" xfId="0" applyNumberFormat="1" applyFont="1" applyFill="1" applyBorder="1" applyAlignment="1">
      <alignment horizontal="right" vertical="top"/>
    </xf>
    <xf numFmtId="0" fontId="0" fillId="5" borderId="6" xfId="0" applyFill="1" applyBorder="1" applyAlignment="1">
      <alignment horizontal="left" vertical="top"/>
    </xf>
    <xf numFmtId="166" fontId="13" fillId="9" borderId="6" xfId="0" applyNumberFormat="1" applyFont="1" applyFill="1" applyBorder="1" applyAlignment="1">
      <alignment horizontal="right" vertical="center" wrapText="1"/>
    </xf>
    <xf numFmtId="3" fontId="18" fillId="9" borderId="6" xfId="0" applyNumberFormat="1" applyFont="1" applyFill="1" applyBorder="1" applyAlignment="1">
      <alignment horizontal="right" vertical="center" wrapText="1"/>
    </xf>
    <xf numFmtId="0" fontId="0" fillId="10" borderId="6" xfId="0" applyFill="1" applyBorder="1" applyAlignment="1">
      <alignment horizontal="left" vertical="top"/>
    </xf>
    <xf numFmtId="0" fontId="13" fillId="10" borderId="6" xfId="0" applyFont="1" applyFill="1" applyBorder="1" applyAlignment="1">
      <alignment horizontal="left" vertical="top"/>
    </xf>
    <xf numFmtId="0" fontId="13" fillId="10" borderId="6" xfId="0" applyFont="1" applyFill="1" applyBorder="1" applyAlignment="1">
      <alignment horizontal="left" vertical="center" wrapText="1"/>
    </xf>
    <xf numFmtId="0" fontId="0" fillId="10" borderId="6" xfId="0" applyFill="1" applyBorder="1"/>
    <xf numFmtId="166" fontId="13" fillId="10" borderId="6" xfId="0" applyNumberFormat="1" applyFont="1" applyFill="1" applyBorder="1" applyAlignment="1">
      <alignment horizontal="right" vertical="center" wrapText="1"/>
    </xf>
    <xf numFmtId="3" fontId="18" fillId="10" borderId="6" xfId="0" applyNumberFormat="1" applyFont="1" applyFill="1" applyBorder="1" applyAlignment="1">
      <alignment horizontal="right" vertical="center" wrapText="1"/>
    </xf>
    <xf numFmtId="166" fontId="18" fillId="10" borderId="6" xfId="0" quotePrefix="1" applyNumberFormat="1" applyFont="1" applyFill="1" applyBorder="1" applyAlignment="1">
      <alignment horizontal="right" vertical="top"/>
    </xf>
    <xf numFmtId="0" fontId="13" fillId="10" borderId="6" xfId="0" quotePrefix="1" applyFont="1" applyFill="1" applyBorder="1" applyAlignment="1">
      <alignment horizontal="left" vertical="top"/>
    </xf>
    <xf numFmtId="1" fontId="13" fillId="10" borderId="6" xfId="0" applyNumberFormat="1" applyFont="1" applyFill="1" applyBorder="1" applyAlignment="1">
      <alignment horizontal="right" vertical="top"/>
    </xf>
    <xf numFmtId="0" fontId="6" fillId="10" borderId="6" xfId="0" applyFont="1" applyFill="1" applyBorder="1" applyAlignment="1">
      <alignment vertical="top"/>
    </xf>
    <xf numFmtId="0" fontId="13" fillId="10" borderId="6" xfId="0" applyFont="1" applyFill="1" applyBorder="1" applyAlignment="1">
      <alignment horizontal="left" vertical="top" wrapText="1"/>
    </xf>
    <xf numFmtId="0" fontId="13" fillId="10" borderId="6" xfId="0" applyFont="1" applyFill="1" applyBorder="1"/>
    <xf numFmtId="2" fontId="13" fillId="10" borderId="6" xfId="0" applyNumberFormat="1" applyFont="1" applyFill="1" applyBorder="1" applyAlignment="1">
      <alignment horizontal="right" vertical="center"/>
    </xf>
    <xf numFmtId="0" fontId="13" fillId="14" borderId="6" xfId="0" applyFont="1" applyFill="1" applyBorder="1" applyAlignment="1">
      <alignment horizontal="left" vertical="top"/>
    </xf>
    <xf numFmtId="0" fontId="0" fillId="14" borderId="6" xfId="0" applyFill="1" applyBorder="1" applyAlignment="1">
      <alignment horizontal="left" vertical="top"/>
    </xf>
    <xf numFmtId="2" fontId="13" fillId="14" borderId="6" xfId="0" applyNumberFormat="1" applyFont="1" applyFill="1" applyBorder="1" applyAlignment="1">
      <alignment horizontal="right" vertical="center"/>
    </xf>
    <xf numFmtId="167" fontId="13" fillId="14" borderId="6" xfId="2" applyNumberFormat="1" applyFont="1" applyFill="1" applyBorder="1" applyAlignment="1">
      <alignment horizontal="right" vertical="center"/>
    </xf>
    <xf numFmtId="0" fontId="13" fillId="6" borderId="6" xfId="0" applyFont="1" applyFill="1" applyBorder="1"/>
    <xf numFmtId="0" fontId="13" fillId="6" borderId="6" xfId="0" applyFont="1" applyFill="1" applyBorder="1" applyAlignment="1">
      <alignment horizontal="left" vertical="center" wrapText="1"/>
    </xf>
    <xf numFmtId="2" fontId="13" fillId="6" borderId="6" xfId="0" applyNumberFormat="1" applyFont="1" applyFill="1" applyBorder="1" applyAlignment="1">
      <alignment horizontal="right" vertical="center"/>
    </xf>
    <xf numFmtId="0" fontId="14" fillId="14" borderId="6" xfId="0" applyFont="1" applyFill="1" applyBorder="1" applyAlignment="1">
      <alignment horizontal="left" vertical="top"/>
    </xf>
    <xf numFmtId="0" fontId="18" fillId="14" borderId="6" xfId="0" applyFont="1" applyFill="1" applyBorder="1" applyAlignment="1">
      <alignment horizontal="left" vertical="top"/>
    </xf>
    <xf numFmtId="2" fontId="13" fillId="9" borderId="6" xfId="0" applyNumberFormat="1" applyFont="1" applyFill="1" applyBorder="1" applyAlignment="1">
      <alignment horizontal="right" vertical="center"/>
    </xf>
    <xf numFmtId="2" fontId="13" fillId="14" borderId="6" xfId="0" quotePrefix="1" applyNumberFormat="1" applyFont="1" applyFill="1" applyBorder="1" applyAlignment="1">
      <alignment horizontal="right" vertical="center"/>
    </xf>
    <xf numFmtId="0" fontId="0" fillId="6" borderId="6" xfId="0" quotePrefix="1" applyFill="1" applyBorder="1" applyAlignment="1">
      <alignment horizontal="left" vertical="top"/>
    </xf>
    <xf numFmtId="0" fontId="0" fillId="6" borderId="6" xfId="0" applyFill="1" applyBorder="1" applyAlignment="1">
      <alignment horizontal="right"/>
    </xf>
    <xf numFmtId="0" fontId="0" fillId="14" borderId="6" xfId="0" applyFill="1" applyBorder="1" applyAlignment="1">
      <alignment horizontal="right"/>
    </xf>
    <xf numFmtId="0" fontId="0" fillId="14" borderId="6" xfId="0" quotePrefix="1" applyFill="1" applyBorder="1" applyAlignment="1">
      <alignment horizontal="right" vertical="top"/>
    </xf>
    <xf numFmtId="0" fontId="0" fillId="14" borderId="6" xfId="0" applyFill="1" applyBorder="1" applyAlignment="1">
      <alignment horizontal="right" vertical="top"/>
    </xf>
    <xf numFmtId="0" fontId="0" fillId="13" borderId="6" xfId="0" quotePrefix="1" applyFill="1" applyBorder="1" applyAlignment="1">
      <alignment horizontal="right" vertical="top"/>
    </xf>
    <xf numFmtId="0" fontId="0" fillId="13" borderId="6" xfId="0" applyFill="1" applyBorder="1" applyAlignment="1">
      <alignment horizontal="right" vertical="top"/>
    </xf>
    <xf numFmtId="0" fontId="0" fillId="9" borderId="6" xfId="0" quotePrefix="1" applyFill="1" applyBorder="1" applyAlignment="1">
      <alignment horizontal="left" vertical="top"/>
    </xf>
    <xf numFmtId="0" fontId="13" fillId="9" borderId="6" xfId="0" applyFont="1" applyFill="1" applyBorder="1" applyAlignment="1">
      <alignment horizontal="left" vertical="center"/>
    </xf>
    <xf numFmtId="49" fontId="13" fillId="9" borderId="6" xfId="0" applyNumberFormat="1" applyFont="1" applyFill="1" applyBorder="1" applyAlignment="1">
      <alignment horizontal="left" vertical="top" wrapText="1"/>
    </xf>
    <xf numFmtId="4" fontId="13" fillId="9" borderId="6" xfId="0" applyNumberFormat="1" applyFont="1" applyFill="1" applyBorder="1" applyAlignment="1">
      <alignment horizontal="right" vertical="center"/>
    </xf>
    <xf numFmtId="44" fontId="13" fillId="9" borderId="6" xfId="2" applyFont="1" applyFill="1" applyBorder="1" applyAlignment="1">
      <alignment horizontal="right" vertical="center"/>
    </xf>
    <xf numFmtId="0" fontId="13" fillId="15" borderId="6" xfId="0" applyFont="1" applyFill="1" applyBorder="1" applyAlignment="1">
      <alignment horizontal="left" vertical="top"/>
    </xf>
    <xf numFmtId="0" fontId="13" fillId="0" borderId="6" xfId="2" applyNumberFormat="1" applyFont="1" applyFill="1" applyBorder="1" applyAlignment="1">
      <alignment horizontal="right" vertical="center"/>
    </xf>
    <xf numFmtId="49" fontId="13" fillId="7" borderId="0" xfId="0" applyNumberFormat="1" applyFont="1" applyFill="1" applyAlignment="1">
      <alignment horizontal="right" vertical="top"/>
    </xf>
    <xf numFmtId="49" fontId="13" fillId="7" borderId="6" xfId="0" applyNumberFormat="1" applyFont="1" applyFill="1" applyBorder="1" applyAlignment="1">
      <alignment horizontal="right" vertical="top"/>
    </xf>
    <xf numFmtId="0" fontId="0" fillId="7" borderId="6" xfId="0" applyFill="1" applyBorder="1" applyAlignment="1">
      <alignment horizontal="right"/>
    </xf>
    <xf numFmtId="49" fontId="13" fillId="7" borderId="6" xfId="0" applyNumberFormat="1" applyFont="1" applyFill="1" applyBorder="1" applyAlignment="1">
      <alignment horizontal="left" vertical="top" wrapText="1"/>
    </xf>
    <xf numFmtId="0" fontId="0" fillId="7" borderId="6" xfId="0" applyFill="1" applyBorder="1"/>
    <xf numFmtId="0" fontId="6" fillId="7" borderId="6" xfId="20" applyFont="1" applyFill="1" applyBorder="1" applyAlignment="1">
      <alignment vertical="top"/>
    </xf>
    <xf numFmtId="0" fontId="13" fillId="7" borderId="31" xfId="0" applyFont="1" applyFill="1" applyBorder="1" applyAlignment="1">
      <alignment vertical="center" wrapText="1"/>
    </xf>
    <xf numFmtId="2" fontId="13" fillId="7" borderId="6" xfId="0" applyNumberFormat="1" applyFont="1" applyFill="1" applyBorder="1" applyAlignment="1">
      <alignment horizontal="right" vertical="center"/>
    </xf>
    <xf numFmtId="166" fontId="13" fillId="7" borderId="31" xfId="0" applyNumberFormat="1" applyFont="1" applyFill="1" applyBorder="1" applyAlignment="1">
      <alignment horizontal="right" vertical="center"/>
    </xf>
    <xf numFmtId="44" fontId="13" fillId="3" borderId="6" xfId="2" applyFont="1" applyFill="1" applyBorder="1" applyAlignment="1">
      <alignment horizontal="right" vertical="center"/>
    </xf>
    <xf numFmtId="49" fontId="13" fillId="3" borderId="6" xfId="0" applyNumberFormat="1" applyFont="1" applyFill="1" applyBorder="1" applyAlignment="1">
      <alignment horizontal="left" vertical="top"/>
    </xf>
    <xf numFmtId="0" fontId="13" fillId="7" borderId="37" xfId="0" applyFont="1" applyFill="1" applyBorder="1" applyAlignment="1">
      <alignment vertical="center" wrapText="1"/>
    </xf>
    <xf numFmtId="0" fontId="0" fillId="7" borderId="6" xfId="0" quotePrefix="1" applyFill="1" applyBorder="1" applyAlignment="1">
      <alignment horizontal="left" vertical="top"/>
    </xf>
    <xf numFmtId="0" fontId="0" fillId="7" borderId="6" xfId="0" applyFill="1" applyBorder="1" applyAlignment="1">
      <alignment horizontal="left" vertical="top"/>
    </xf>
    <xf numFmtId="0" fontId="0" fillId="4" borderId="6" xfId="0" applyFill="1" applyBorder="1"/>
    <xf numFmtId="0" fontId="13" fillId="4" borderId="37" xfId="0" applyFont="1" applyFill="1" applyBorder="1" applyAlignment="1">
      <alignment vertical="center" wrapText="1"/>
    </xf>
    <xf numFmtId="0" fontId="13" fillId="4" borderId="6" xfId="0" applyFont="1" applyFill="1" applyBorder="1" applyAlignment="1">
      <alignment horizontal="right" vertical="top"/>
    </xf>
    <xf numFmtId="166" fontId="13" fillId="4" borderId="6" xfId="1" applyNumberFormat="1" applyFont="1" applyFill="1" applyBorder="1" applyAlignment="1">
      <alignment horizontal="right" vertical="center"/>
    </xf>
    <xf numFmtId="169" fontId="13" fillId="4" borderId="6" xfId="0" quotePrefix="1" applyNumberFormat="1" applyFont="1" applyFill="1" applyBorder="1" applyAlignment="1">
      <alignment horizontal="left" vertical="top"/>
    </xf>
    <xf numFmtId="169" fontId="13" fillId="4" borderId="6" xfId="0" applyNumberFormat="1" applyFont="1" applyFill="1" applyBorder="1" applyAlignment="1">
      <alignment horizontal="left" vertical="top"/>
    </xf>
    <xf numFmtId="0" fontId="4" fillId="4" borderId="6" xfId="0" applyFont="1" applyFill="1" applyBorder="1" applyProtection="1">
      <protection locked="0"/>
    </xf>
    <xf numFmtId="2" fontId="13" fillId="0" borderId="31" xfId="0" applyNumberFormat="1" applyFont="1" applyBorder="1" applyAlignment="1">
      <alignment horizontal="right" vertical="center"/>
    </xf>
    <xf numFmtId="2" fontId="13" fillId="0" borderId="21" xfId="0" applyNumberFormat="1" applyFont="1" applyBorder="1" applyAlignment="1">
      <alignment horizontal="right" vertical="center"/>
    </xf>
    <xf numFmtId="0" fontId="18" fillId="6" borderId="31" xfId="0" applyFont="1" applyFill="1" applyBorder="1" applyAlignment="1">
      <alignment horizontal="left" vertical="center" wrapText="1"/>
    </xf>
    <xf numFmtId="0" fontId="0" fillId="6" borderId="31" xfId="0" applyFill="1" applyBorder="1"/>
    <xf numFmtId="0" fontId="18" fillId="6" borderId="31" xfId="0" applyFont="1" applyFill="1" applyBorder="1" applyAlignment="1">
      <alignment horizontal="right" vertical="center" wrapText="1"/>
    </xf>
    <xf numFmtId="166" fontId="18" fillId="6" borderId="31" xfId="0" quotePrefix="1" applyNumberFormat="1" applyFont="1" applyFill="1" applyBorder="1" applyAlignment="1">
      <alignment horizontal="right" vertical="center"/>
    </xf>
    <xf numFmtId="166" fontId="18" fillId="6" borderId="31" xfId="0" applyNumberFormat="1" applyFont="1" applyFill="1" applyBorder="1" applyAlignment="1">
      <alignment horizontal="right" vertical="center" wrapText="1"/>
    </xf>
    <xf numFmtId="0" fontId="18" fillId="0" borderId="21" xfId="0" applyFont="1" applyBorder="1" applyAlignment="1">
      <alignment horizontal="center" vertical="center" wrapText="1"/>
    </xf>
    <xf numFmtId="166" fontId="18" fillId="0" borderId="21" xfId="0" applyNumberFormat="1" applyFont="1" applyBorder="1" applyAlignment="1">
      <alignment horizontal="center" vertical="center" wrapText="1"/>
    </xf>
    <xf numFmtId="0" fontId="14" fillId="9" borderId="18" xfId="0" applyFont="1" applyFill="1" applyBorder="1" applyAlignment="1">
      <alignment horizontal="left" vertical="top"/>
    </xf>
    <xf numFmtId="0" fontId="13" fillId="9" borderId="18" xfId="0" applyFont="1" applyFill="1" applyBorder="1" applyAlignment="1">
      <alignment horizontal="left" vertical="top"/>
    </xf>
    <xf numFmtId="0" fontId="0" fillId="3" borderId="18" xfId="0" applyFill="1" applyBorder="1" applyAlignment="1">
      <alignment horizontal="left" vertical="top"/>
    </xf>
    <xf numFmtId="0" fontId="14" fillId="3" borderId="18" xfId="0" applyFont="1" applyFill="1" applyBorder="1" applyAlignment="1">
      <alignment horizontal="left" vertical="top"/>
    </xf>
    <xf numFmtId="0" fontId="18" fillId="9" borderId="22" xfId="0" applyFont="1" applyFill="1" applyBorder="1" applyAlignment="1">
      <alignment horizontal="left" vertical="center" wrapText="1"/>
    </xf>
    <xf numFmtId="0" fontId="13" fillId="3" borderId="31" xfId="0" applyFont="1" applyFill="1" applyBorder="1" applyAlignment="1">
      <alignment horizontal="left" vertical="center" wrapText="1"/>
    </xf>
    <xf numFmtId="0" fontId="13" fillId="0" borderId="57" xfId="0" applyFont="1" applyBorder="1" applyAlignment="1">
      <alignment horizontal="left" vertical="center" wrapText="1"/>
    </xf>
    <xf numFmtId="0" fontId="13" fillId="0" borderId="41" xfId="0" applyFont="1" applyBorder="1" applyAlignment="1">
      <alignment horizontal="left" vertical="center" wrapText="1"/>
    </xf>
    <xf numFmtId="0" fontId="13" fillId="0" borderId="41" xfId="0" applyFont="1" applyBorder="1" applyAlignment="1">
      <alignment horizontal="left" vertical="top" wrapText="1"/>
    </xf>
    <xf numFmtId="0" fontId="13" fillId="0" borderId="58" xfId="0" applyFont="1" applyBorder="1" applyAlignment="1">
      <alignment horizontal="left" vertical="center" wrapText="1"/>
    </xf>
    <xf numFmtId="0" fontId="0" fillId="9" borderId="22" xfId="0" applyFill="1" applyBorder="1"/>
    <xf numFmtId="0" fontId="0" fillId="3" borderId="31" xfId="0" applyFill="1" applyBorder="1"/>
    <xf numFmtId="166" fontId="13" fillId="0" borderId="57" xfId="0" applyNumberFormat="1" applyFont="1" applyBorder="1" applyAlignment="1">
      <alignment horizontal="right" vertical="center" wrapText="1"/>
    </xf>
    <xf numFmtId="166" fontId="13" fillId="0" borderId="41" xfId="0" applyNumberFormat="1" applyFont="1" applyBorder="1" applyAlignment="1">
      <alignment horizontal="right" vertical="center" wrapText="1"/>
    </xf>
    <xf numFmtId="170" fontId="13" fillId="0" borderId="41" xfId="0" applyNumberFormat="1" applyFont="1" applyBorder="1" applyAlignment="1">
      <alignment horizontal="right" vertical="center" wrapText="1"/>
    </xf>
    <xf numFmtId="0" fontId="18" fillId="9" borderId="22" xfId="0" applyFont="1" applyFill="1" applyBorder="1" applyAlignment="1">
      <alignment horizontal="right" vertical="center" wrapText="1"/>
    </xf>
    <xf numFmtId="166" fontId="13" fillId="3" borderId="31" xfId="0" applyNumberFormat="1" applyFont="1" applyFill="1" applyBorder="1" applyAlignment="1">
      <alignment horizontal="right" vertical="center" wrapText="1"/>
    </xf>
    <xf numFmtId="10" fontId="13" fillId="0" borderId="23" xfId="3" applyNumberFormat="1" applyFont="1" applyFill="1" applyBorder="1" applyAlignment="1">
      <alignment horizontal="right" vertical="center"/>
    </xf>
    <xf numFmtId="10" fontId="13" fillId="0" borderId="24" xfId="3" applyNumberFormat="1" applyFont="1" applyFill="1" applyBorder="1" applyAlignment="1">
      <alignment horizontal="right" vertical="center"/>
    </xf>
    <xf numFmtId="10" fontId="13" fillId="0" borderId="25" xfId="3" applyNumberFormat="1" applyFont="1" applyFill="1" applyBorder="1" applyAlignment="1">
      <alignment horizontal="right" vertical="center"/>
    </xf>
    <xf numFmtId="10" fontId="13" fillId="0" borderId="33" xfId="3" applyNumberFormat="1" applyFont="1" applyFill="1" applyBorder="1" applyAlignment="1">
      <alignment horizontal="right" vertical="center"/>
    </xf>
    <xf numFmtId="10" fontId="13" fillId="0" borderId="34" xfId="3" applyNumberFormat="1" applyFont="1" applyFill="1" applyBorder="1" applyAlignment="1">
      <alignment horizontal="right" vertical="center"/>
    </xf>
    <xf numFmtId="2" fontId="13" fillId="0" borderId="34" xfId="0" applyNumberFormat="1" applyFont="1" applyBorder="1" applyAlignment="1">
      <alignment horizontal="right" vertical="center"/>
    </xf>
    <xf numFmtId="167" fontId="13" fillId="0" borderId="27" xfId="2" applyNumberFormat="1" applyFont="1" applyFill="1" applyBorder="1" applyAlignment="1">
      <alignment horizontal="right" vertical="center"/>
    </xf>
    <xf numFmtId="0" fontId="13" fillId="9" borderId="18" xfId="0" applyFont="1" applyFill="1" applyBorder="1" applyAlignment="1">
      <alignment horizontal="right" vertical="top"/>
    </xf>
    <xf numFmtId="0" fontId="0" fillId="9" borderId="20" xfId="0" applyFill="1" applyBorder="1"/>
    <xf numFmtId="0" fontId="0" fillId="3" borderId="20" xfId="0" applyFill="1" applyBorder="1"/>
    <xf numFmtId="0" fontId="0" fillId="3" borderId="20" xfId="0" applyFill="1" applyBorder="1" applyAlignment="1">
      <alignment horizontal="left" vertical="top"/>
    </xf>
    <xf numFmtId="166" fontId="18" fillId="9" borderId="22" xfId="0" quotePrefix="1" applyNumberFormat="1" applyFont="1" applyFill="1" applyBorder="1" applyAlignment="1">
      <alignment horizontal="right" vertical="center"/>
    </xf>
    <xf numFmtId="166" fontId="18" fillId="9" borderId="22" xfId="0" applyNumberFormat="1" applyFont="1" applyFill="1" applyBorder="1" applyAlignment="1">
      <alignment horizontal="right" vertical="center" wrapText="1"/>
    </xf>
    <xf numFmtId="167" fontId="13" fillId="0" borderId="23" xfId="2" applyNumberFormat="1" applyFont="1" applyFill="1" applyBorder="1" applyAlignment="1">
      <alignment horizontal="right" vertical="center"/>
    </xf>
    <xf numFmtId="167" fontId="13" fillId="0" borderId="24" xfId="2" applyNumberFormat="1" applyFont="1" applyFill="1" applyBorder="1" applyAlignment="1">
      <alignment horizontal="right" vertical="center"/>
    </xf>
    <xf numFmtId="167" fontId="13" fillId="0" borderId="25" xfId="2" applyNumberFormat="1" applyFont="1" applyFill="1" applyBorder="1" applyAlignment="1">
      <alignment horizontal="right" vertical="center"/>
    </xf>
    <xf numFmtId="3" fontId="18" fillId="10" borderId="18" xfId="0" applyNumberFormat="1" applyFont="1" applyFill="1" applyBorder="1" applyAlignment="1">
      <alignment horizontal="right" vertical="center" wrapText="1"/>
    </xf>
    <xf numFmtId="2" fontId="13" fillId="10" borderId="18" xfId="0" applyNumberFormat="1" applyFont="1" applyFill="1" applyBorder="1" applyAlignment="1">
      <alignment horizontal="right" vertical="center"/>
    </xf>
    <xf numFmtId="0" fontId="0" fillId="10" borderId="20" xfId="0" applyFill="1" applyBorder="1"/>
    <xf numFmtId="10" fontId="13" fillId="10" borderId="22" xfId="3" applyNumberFormat="1" applyFont="1" applyFill="1" applyBorder="1" applyAlignment="1">
      <alignment horizontal="right" vertical="center"/>
    </xf>
    <xf numFmtId="0" fontId="0" fillId="10" borderId="18" xfId="0" applyFill="1" applyBorder="1" applyAlignment="1">
      <alignment horizontal="left" vertical="top"/>
    </xf>
    <xf numFmtId="0" fontId="13" fillId="10" borderId="22" xfId="0" applyFont="1" applyFill="1" applyBorder="1" applyAlignment="1">
      <alignment horizontal="left" vertical="center" wrapText="1"/>
    </xf>
    <xf numFmtId="0" fontId="13" fillId="10" borderId="31" xfId="0" applyFont="1" applyFill="1" applyBorder="1" applyAlignment="1">
      <alignment horizontal="left" vertical="center" wrapText="1"/>
    </xf>
    <xf numFmtId="0" fontId="0" fillId="10" borderId="22" xfId="0" applyFill="1" applyBorder="1"/>
    <xf numFmtId="49" fontId="13" fillId="10" borderId="31" xfId="0" applyNumberFormat="1" applyFont="1" applyFill="1" applyBorder="1" applyAlignment="1">
      <alignment horizontal="left" vertical="top" wrapText="1"/>
    </xf>
    <xf numFmtId="49" fontId="13" fillId="0" borderId="57" xfId="0" applyNumberFormat="1" applyFont="1" applyBorder="1" applyAlignment="1">
      <alignment horizontal="left" vertical="top" wrapText="1"/>
    </xf>
    <xf numFmtId="49" fontId="13" fillId="0" borderId="41" xfId="0" applyNumberFormat="1" applyFont="1" applyBorder="1" applyAlignment="1">
      <alignment horizontal="left" vertical="top" wrapText="1"/>
    </xf>
    <xf numFmtId="0" fontId="13" fillId="0" borderId="58" xfId="0" applyFont="1" applyBorder="1" applyAlignment="1">
      <alignment horizontal="left" vertical="top" wrapText="1"/>
    </xf>
    <xf numFmtId="49" fontId="13" fillId="0" borderId="59" xfId="0" applyNumberFormat="1" applyFont="1" applyBorder="1" applyAlignment="1">
      <alignment horizontal="left" vertical="top" wrapText="1"/>
    </xf>
    <xf numFmtId="49" fontId="13" fillId="0" borderId="58" xfId="0" applyNumberFormat="1" applyFont="1" applyBorder="1" applyAlignment="1">
      <alignment horizontal="left" vertical="top" wrapText="1"/>
    </xf>
    <xf numFmtId="166" fontId="13" fillId="10" borderId="22" xfId="0" applyNumberFormat="1" applyFont="1" applyFill="1" applyBorder="1" applyAlignment="1">
      <alignment horizontal="right" vertical="center" wrapText="1"/>
    </xf>
    <xf numFmtId="2" fontId="13" fillId="10" borderId="31" xfId="0" applyNumberFormat="1" applyFont="1" applyFill="1" applyBorder="1" applyAlignment="1">
      <alignment horizontal="right" vertical="center"/>
    </xf>
    <xf numFmtId="2" fontId="13" fillId="0" borderId="23" xfId="0" applyNumberFormat="1" applyFont="1" applyBorder="1" applyAlignment="1">
      <alignment horizontal="right" vertical="center"/>
    </xf>
    <xf numFmtId="2" fontId="13" fillId="0" borderId="24" xfId="0" applyNumberFormat="1" applyFont="1" applyBorder="1" applyAlignment="1">
      <alignment horizontal="right" vertical="center"/>
    </xf>
    <xf numFmtId="2" fontId="13" fillId="0" borderId="25" xfId="0" applyNumberFormat="1" applyFont="1" applyBorder="1" applyAlignment="1">
      <alignment horizontal="right" vertical="center"/>
    </xf>
    <xf numFmtId="2" fontId="13" fillId="0" borderId="33" xfId="0" applyNumberFormat="1" applyFont="1" applyBorder="1" applyAlignment="1">
      <alignment horizontal="right" vertical="center"/>
    </xf>
    <xf numFmtId="2" fontId="13" fillId="0" borderId="27" xfId="0" applyNumberFormat="1" applyFont="1" applyBorder="1" applyAlignment="1">
      <alignment horizontal="right" vertical="center"/>
    </xf>
    <xf numFmtId="2" fontId="13" fillId="0" borderId="28" xfId="0" applyNumberFormat="1" applyFont="1" applyBorder="1" applyAlignment="1">
      <alignment horizontal="right" vertical="center"/>
    </xf>
    <xf numFmtId="2" fontId="13" fillId="0" borderId="30" xfId="0" applyNumberFormat="1" applyFont="1" applyBorder="1" applyAlignment="1">
      <alignment horizontal="right" vertical="center"/>
    </xf>
    <xf numFmtId="2" fontId="13" fillId="0" borderId="32" xfId="0" applyNumberFormat="1" applyFont="1" applyBorder="1" applyAlignment="1">
      <alignment horizontal="right" vertical="center"/>
    </xf>
    <xf numFmtId="2" fontId="13" fillId="14" borderId="18" xfId="0" quotePrefix="1" applyNumberFormat="1" applyFont="1" applyFill="1" applyBorder="1" applyAlignment="1">
      <alignment horizontal="right" vertical="center"/>
    </xf>
    <xf numFmtId="2" fontId="13" fillId="14" borderId="18" xfId="0" applyNumberFormat="1" applyFont="1" applyFill="1" applyBorder="1" applyAlignment="1">
      <alignment horizontal="right" vertical="center"/>
    </xf>
    <xf numFmtId="0" fontId="13" fillId="14" borderId="18" xfId="0" applyFont="1" applyFill="1" applyBorder="1" applyAlignment="1">
      <alignment horizontal="left" vertical="top"/>
    </xf>
    <xf numFmtId="167" fontId="13" fillId="10" borderId="31" xfId="2" applyNumberFormat="1" applyFont="1" applyFill="1" applyBorder="1" applyAlignment="1">
      <alignment horizontal="right" vertical="center"/>
    </xf>
    <xf numFmtId="0" fontId="13" fillId="6" borderId="18" xfId="0" applyFont="1" applyFill="1" applyBorder="1" applyAlignment="1">
      <alignment horizontal="left" vertical="top"/>
    </xf>
    <xf numFmtId="0" fontId="0" fillId="8" borderId="18" xfId="0" applyFill="1" applyBorder="1" applyAlignment="1">
      <alignment horizontal="left" vertical="top"/>
    </xf>
    <xf numFmtId="0" fontId="13" fillId="8" borderId="18" xfId="0" applyFont="1" applyFill="1" applyBorder="1" applyAlignment="1">
      <alignment horizontal="left" vertical="top"/>
    </xf>
    <xf numFmtId="2" fontId="13" fillId="6" borderId="20" xfId="0" applyNumberFormat="1" applyFont="1" applyFill="1" applyBorder="1" applyAlignment="1">
      <alignment horizontal="right" vertical="center"/>
    </xf>
    <xf numFmtId="0" fontId="0" fillId="8" borderId="20" xfId="0" applyFill="1" applyBorder="1" applyAlignment="1">
      <alignment horizontal="left" vertical="top"/>
    </xf>
    <xf numFmtId="0" fontId="13" fillId="6" borderId="22" xfId="0" applyFont="1" applyFill="1" applyBorder="1" applyAlignment="1">
      <alignment horizontal="left" vertical="center" wrapText="1"/>
    </xf>
    <xf numFmtId="49" fontId="13" fillId="6" borderId="22" xfId="0" applyNumberFormat="1" applyFont="1" applyFill="1" applyBorder="1" applyAlignment="1">
      <alignment horizontal="left" vertical="top" wrapText="1"/>
    </xf>
    <xf numFmtId="2" fontId="13" fillId="6" borderId="22" xfId="0" applyNumberFormat="1" applyFont="1" applyFill="1" applyBorder="1" applyAlignment="1">
      <alignment horizontal="right" vertical="center"/>
    </xf>
    <xf numFmtId="2" fontId="13" fillId="6" borderId="34" xfId="0" applyNumberFormat="1" applyFont="1" applyFill="1" applyBorder="1" applyAlignment="1">
      <alignment horizontal="right" vertical="center"/>
    </xf>
    <xf numFmtId="0" fontId="0" fillId="8" borderId="34" xfId="0" applyFill="1" applyBorder="1" applyAlignment="1">
      <alignment horizontal="left" vertical="top"/>
    </xf>
    <xf numFmtId="2" fontId="13" fillId="8" borderId="34" xfId="0" applyNumberFormat="1" applyFont="1" applyFill="1" applyBorder="1" applyAlignment="1">
      <alignment horizontal="right" vertical="center"/>
    </xf>
    <xf numFmtId="2" fontId="13" fillId="8" borderId="21" xfId="0" applyNumberFormat="1" applyFont="1" applyFill="1" applyBorder="1" applyAlignment="1">
      <alignment horizontal="right" vertical="center"/>
    </xf>
    <xf numFmtId="2" fontId="13" fillId="8" borderId="28" xfId="0" applyNumberFormat="1" applyFont="1" applyFill="1" applyBorder="1" applyAlignment="1">
      <alignment horizontal="right" vertical="center"/>
    </xf>
    <xf numFmtId="0" fontId="18" fillId="0" borderId="38" xfId="0" applyFont="1" applyBorder="1" applyAlignment="1">
      <alignment horizontal="center" vertical="center" wrapText="1"/>
    </xf>
    <xf numFmtId="10" fontId="13" fillId="0" borderId="60" xfId="3" applyNumberFormat="1" applyFont="1" applyFill="1" applyBorder="1" applyAlignment="1">
      <alignment horizontal="right" vertical="center"/>
    </xf>
    <xf numFmtId="10" fontId="13" fillId="0" borderId="18" xfId="3" applyNumberFormat="1" applyFont="1" applyFill="1" applyBorder="1" applyAlignment="1">
      <alignment horizontal="right" vertical="center"/>
    </xf>
    <xf numFmtId="2" fontId="13" fillId="0" borderId="18" xfId="0" applyNumberFormat="1" applyFont="1" applyBorder="1" applyAlignment="1">
      <alignment horizontal="right" vertical="center"/>
    </xf>
    <xf numFmtId="167" fontId="13" fillId="0" borderId="38" xfId="2" applyNumberFormat="1" applyFont="1" applyFill="1" applyBorder="1" applyAlignment="1">
      <alignment horizontal="right" vertical="center"/>
    </xf>
    <xf numFmtId="2" fontId="13" fillId="0" borderId="60" xfId="0" applyNumberFormat="1" applyFont="1" applyBorder="1" applyAlignment="1">
      <alignment horizontal="right" vertical="center"/>
    </xf>
    <xf numFmtId="2" fontId="13" fillId="0" borderId="38" xfId="0" applyNumberFormat="1" applyFont="1" applyBorder="1" applyAlignment="1">
      <alignment horizontal="right" vertical="center"/>
    </xf>
    <xf numFmtId="169" fontId="13" fillId="6" borderId="22" xfId="0" applyNumberFormat="1" applyFont="1" applyFill="1" applyBorder="1" applyAlignment="1">
      <alignment horizontal="right" vertical="top"/>
    </xf>
    <xf numFmtId="166" fontId="13" fillId="0" borderId="33" xfId="0" applyNumberFormat="1" applyFont="1" applyBorder="1" applyAlignment="1">
      <alignment horizontal="right" vertical="center" wrapText="1"/>
    </xf>
    <xf numFmtId="44" fontId="13" fillId="0" borderId="33" xfId="2" applyFont="1" applyFill="1" applyBorder="1" applyAlignment="1">
      <alignment horizontal="right" vertical="center"/>
    </xf>
    <xf numFmtId="44" fontId="13" fillId="0" borderId="34" xfId="2" applyFont="1" applyFill="1" applyBorder="1" applyAlignment="1">
      <alignment horizontal="right" vertical="center"/>
    </xf>
    <xf numFmtId="49" fontId="13" fillId="8" borderId="20" xfId="0" applyNumberFormat="1" applyFont="1" applyFill="1" applyBorder="1" applyAlignment="1">
      <alignment horizontal="left" vertical="top" wrapText="1"/>
    </xf>
    <xf numFmtId="49" fontId="13" fillId="8" borderId="29" xfId="0" applyNumberFormat="1" applyFont="1" applyFill="1" applyBorder="1" applyAlignment="1">
      <alignment horizontal="left" vertical="top" wrapText="1"/>
    </xf>
    <xf numFmtId="49" fontId="13" fillId="8" borderId="54" xfId="0" applyNumberFormat="1" applyFont="1" applyFill="1" applyBorder="1" applyAlignment="1">
      <alignment horizontal="left" vertical="top" wrapText="1"/>
    </xf>
    <xf numFmtId="2" fontId="13" fillId="6" borderId="41" xfId="0" applyNumberFormat="1" applyFont="1" applyFill="1" applyBorder="1" applyAlignment="1">
      <alignment horizontal="right" vertical="center"/>
    </xf>
    <xf numFmtId="0" fontId="0" fillId="8" borderId="41" xfId="0" applyFill="1" applyBorder="1" applyAlignment="1">
      <alignment horizontal="left" vertical="top"/>
    </xf>
    <xf numFmtId="2" fontId="13" fillId="8" borderId="31" xfId="0" applyNumberFormat="1" applyFont="1" applyFill="1" applyBorder="1" applyAlignment="1">
      <alignment horizontal="right" vertical="center"/>
    </xf>
    <xf numFmtId="2" fontId="13" fillId="8" borderId="32" xfId="0" applyNumberFormat="1" applyFont="1" applyFill="1" applyBorder="1" applyAlignment="1">
      <alignment horizontal="right" vertical="center"/>
    </xf>
    <xf numFmtId="2" fontId="13" fillId="6" borderId="33" xfId="0" applyNumberFormat="1" applyFont="1" applyFill="1" applyBorder="1" applyAlignment="1">
      <alignment horizontal="right" vertical="center"/>
    </xf>
    <xf numFmtId="0" fontId="0" fillId="8" borderId="33" xfId="0" applyFill="1" applyBorder="1" applyAlignment="1">
      <alignment horizontal="left" vertical="top"/>
    </xf>
    <xf numFmtId="44" fontId="13" fillId="0" borderId="23" xfId="2" applyFont="1" applyFill="1" applyBorder="1" applyAlignment="1">
      <alignment horizontal="right" vertical="center"/>
    </xf>
    <xf numFmtId="44" fontId="13" fillId="0" borderId="27" xfId="2" applyFont="1" applyFill="1" applyBorder="1" applyAlignment="1">
      <alignment horizontal="right" vertical="center"/>
    </xf>
    <xf numFmtId="0" fontId="0" fillId="9" borderId="18" xfId="0" quotePrefix="1" applyFill="1" applyBorder="1" applyAlignment="1">
      <alignment horizontal="left" vertical="top"/>
    </xf>
    <xf numFmtId="0" fontId="13" fillId="9" borderId="22" xfId="0" applyFont="1" applyFill="1" applyBorder="1" applyAlignment="1">
      <alignment horizontal="left" vertical="top"/>
    </xf>
    <xf numFmtId="0" fontId="13" fillId="9" borderId="31" xfId="0" applyFont="1" applyFill="1" applyBorder="1" applyAlignment="1">
      <alignment horizontal="left" vertical="center"/>
    </xf>
    <xf numFmtId="0" fontId="13" fillId="0" borderId="10" xfId="0" applyFont="1" applyBorder="1" applyAlignment="1">
      <alignment horizontal="left" vertical="center" wrapText="1"/>
    </xf>
    <xf numFmtId="49" fontId="13" fillId="9" borderId="31" xfId="0" applyNumberFormat="1" applyFont="1" applyFill="1" applyBorder="1" applyAlignment="1">
      <alignment horizontal="left" vertical="top" wrapText="1"/>
    </xf>
    <xf numFmtId="0" fontId="0" fillId="7" borderId="18" xfId="0" quotePrefix="1" applyFill="1" applyBorder="1" applyAlignment="1">
      <alignment horizontal="left" vertical="top"/>
    </xf>
    <xf numFmtId="4" fontId="13" fillId="9" borderId="31" xfId="0" applyNumberFormat="1" applyFont="1" applyFill="1" applyBorder="1" applyAlignment="1">
      <alignment horizontal="right" vertical="center"/>
    </xf>
    <xf numFmtId="2" fontId="13" fillId="0" borderId="61" xfId="0" applyNumberFormat="1" applyFont="1" applyBorder="1" applyAlignment="1">
      <alignment horizontal="right" vertical="center"/>
    </xf>
    <xf numFmtId="2" fontId="13" fillId="0" borderId="62" xfId="0" applyNumberFormat="1" applyFont="1" applyBorder="1" applyAlignment="1">
      <alignment horizontal="right" vertical="center"/>
    </xf>
    <xf numFmtId="2" fontId="13" fillId="0" borderId="63" xfId="0" applyNumberFormat="1" applyFont="1" applyBorder="1" applyAlignment="1">
      <alignment horizontal="right" vertical="center"/>
    </xf>
    <xf numFmtId="44" fontId="13" fillId="9" borderId="31" xfId="2" applyFont="1" applyFill="1" applyBorder="1" applyAlignment="1">
      <alignment horizontal="right" vertical="center"/>
    </xf>
    <xf numFmtId="0" fontId="14" fillId="13" borderId="18" xfId="0" applyFont="1" applyFill="1" applyBorder="1" applyAlignment="1">
      <alignment horizontal="right"/>
    </xf>
    <xf numFmtId="2" fontId="13" fillId="13" borderId="18" xfId="0" applyNumberFormat="1" applyFont="1" applyFill="1" applyBorder="1" applyAlignment="1">
      <alignment horizontal="right" vertical="center"/>
    </xf>
    <xf numFmtId="0" fontId="0" fillId="13" borderId="18" xfId="0" applyFill="1" applyBorder="1" applyAlignment="1">
      <alignment horizontal="right" vertical="top"/>
    </xf>
    <xf numFmtId="0" fontId="0" fillId="8" borderId="18" xfId="0" applyFill="1" applyBorder="1" applyAlignment="1">
      <alignment horizontal="right" vertical="top"/>
    </xf>
    <xf numFmtId="167" fontId="13" fillId="8" borderId="20" xfId="2" applyNumberFormat="1" applyFont="1" applyFill="1" applyBorder="1" applyAlignment="1">
      <alignment horizontal="right" vertical="center"/>
    </xf>
    <xf numFmtId="167" fontId="13" fillId="8" borderId="31" xfId="2" applyNumberFormat="1" applyFont="1" applyFill="1" applyBorder="1" applyAlignment="1">
      <alignment horizontal="right" vertical="center"/>
    </xf>
    <xf numFmtId="166" fontId="13" fillId="9" borderId="18" xfId="0" applyNumberFormat="1" applyFont="1" applyFill="1" applyBorder="1" applyAlignment="1">
      <alignment horizontal="right" vertical="center" wrapText="1"/>
    </xf>
    <xf numFmtId="9" fontId="13" fillId="9" borderId="22" xfId="3" applyFont="1" applyFill="1" applyBorder="1" applyAlignment="1">
      <alignment horizontal="right" vertical="center"/>
    </xf>
    <xf numFmtId="166" fontId="13" fillId="9" borderId="31" xfId="0" applyNumberFormat="1" applyFont="1" applyFill="1" applyBorder="1" applyAlignment="1">
      <alignment horizontal="right" vertical="center" wrapText="1"/>
    </xf>
    <xf numFmtId="167" fontId="13" fillId="0" borderId="61" xfId="2" applyNumberFormat="1" applyFont="1" applyFill="1" applyBorder="1" applyAlignment="1">
      <alignment horizontal="right" vertical="center"/>
    </xf>
    <xf numFmtId="167" fontId="13" fillId="0" borderId="62" xfId="2" applyNumberFormat="1" applyFont="1" applyFill="1" applyBorder="1" applyAlignment="1">
      <alignment horizontal="right" vertical="center"/>
    </xf>
    <xf numFmtId="167" fontId="13" fillId="0" borderId="63" xfId="2" applyNumberFormat="1" applyFont="1" applyFill="1" applyBorder="1" applyAlignment="1">
      <alignment horizontal="right" vertical="center"/>
    </xf>
    <xf numFmtId="0" fontId="0" fillId="7" borderId="18" xfId="0" applyFill="1" applyBorder="1"/>
    <xf numFmtId="49" fontId="18" fillId="7" borderId="31" xfId="0" applyNumberFormat="1" applyFont="1" applyFill="1" applyBorder="1" applyAlignment="1">
      <alignment horizontal="left" vertical="top" wrapText="1"/>
    </xf>
    <xf numFmtId="2" fontId="13" fillId="7" borderId="31" xfId="0" applyNumberFormat="1" applyFont="1" applyFill="1" applyBorder="1" applyAlignment="1">
      <alignment horizontal="right" vertical="center"/>
    </xf>
    <xf numFmtId="0" fontId="0" fillId="0" borderId="63" xfId="0" applyBorder="1"/>
    <xf numFmtId="0" fontId="13" fillId="0" borderId="10" xfId="0" applyFont="1" applyBorder="1" applyAlignment="1">
      <alignment vertical="center" wrapText="1"/>
    </xf>
    <xf numFmtId="49" fontId="18" fillId="0" borderId="51" xfId="0" applyNumberFormat="1" applyFont="1" applyBorder="1" applyAlignment="1">
      <alignment horizontal="left" vertical="top" wrapText="1"/>
    </xf>
    <xf numFmtId="0" fontId="13" fillId="7" borderId="18" xfId="0" applyFont="1" applyFill="1" applyBorder="1" applyAlignment="1">
      <alignment horizontal="right" vertical="top"/>
    </xf>
    <xf numFmtId="0" fontId="13" fillId="7" borderId="20" xfId="0" applyFont="1" applyFill="1" applyBorder="1" applyAlignment="1">
      <alignment horizontal="right" vertical="top"/>
    </xf>
    <xf numFmtId="166" fontId="13" fillId="7" borderId="31" xfId="1" applyNumberFormat="1" applyFont="1" applyFill="1" applyBorder="1" applyAlignment="1">
      <alignment horizontal="right" vertical="center"/>
    </xf>
    <xf numFmtId="166" fontId="13" fillId="0" borderId="61" xfId="1" applyNumberFormat="1" applyFont="1" applyFill="1" applyBorder="1" applyAlignment="1">
      <alignment horizontal="right" vertical="center"/>
    </xf>
    <xf numFmtId="166" fontId="13" fillId="0" borderId="62" xfId="1" applyNumberFormat="1" applyFont="1" applyFill="1" applyBorder="1" applyAlignment="1">
      <alignment horizontal="right" vertical="center"/>
    </xf>
    <xf numFmtId="166" fontId="13" fillId="0" borderId="63" xfId="1" applyNumberFormat="1" applyFont="1" applyFill="1" applyBorder="1" applyAlignment="1">
      <alignment horizontal="right" vertical="center"/>
    </xf>
    <xf numFmtId="166" fontId="13" fillId="0" borderId="23" xfId="1" applyNumberFormat="1" applyFont="1" applyFill="1" applyBorder="1" applyAlignment="1">
      <alignment horizontal="right" vertical="center"/>
    </xf>
    <xf numFmtId="166" fontId="13" fillId="0" borderId="24" xfId="1" applyNumberFormat="1" applyFont="1" applyFill="1" applyBorder="1" applyAlignment="1">
      <alignment horizontal="right" vertical="center"/>
    </xf>
    <xf numFmtId="166" fontId="13" fillId="0" borderId="25" xfId="1" applyNumberFormat="1" applyFont="1" applyFill="1" applyBorder="1" applyAlignment="1">
      <alignment horizontal="right" vertical="center"/>
    </xf>
    <xf numFmtId="166" fontId="13" fillId="0" borderId="33" xfId="1" applyNumberFormat="1" applyFont="1" applyFill="1" applyBorder="1" applyAlignment="1">
      <alignment horizontal="right" vertical="center"/>
    </xf>
    <xf numFmtId="166" fontId="13" fillId="0" borderId="34" xfId="1" applyNumberFormat="1" applyFont="1" applyFill="1" applyBorder="1" applyAlignment="1">
      <alignment horizontal="right" vertical="center"/>
    </xf>
    <xf numFmtId="166" fontId="13" fillId="0" borderId="27" xfId="1" applyNumberFormat="1" applyFont="1" applyFill="1" applyBorder="1" applyAlignment="1">
      <alignment horizontal="right" vertical="center"/>
    </xf>
    <xf numFmtId="166" fontId="13" fillId="0" borderId="21" xfId="1" applyNumberFormat="1" applyFont="1" applyFill="1" applyBorder="1" applyAlignment="1">
      <alignment horizontal="right" vertical="center"/>
    </xf>
    <xf numFmtId="166" fontId="13" fillId="0" borderId="28" xfId="1" applyNumberFormat="1" applyFont="1" applyFill="1" applyBorder="1" applyAlignment="1">
      <alignment horizontal="right" vertical="center"/>
    </xf>
    <xf numFmtId="0" fontId="13" fillId="4" borderId="18" xfId="0" applyFont="1" applyFill="1" applyBorder="1" applyAlignment="1">
      <alignment horizontal="right" vertical="top"/>
    </xf>
    <xf numFmtId="0" fontId="0" fillId="4" borderId="18" xfId="0" applyFill="1" applyBorder="1" applyAlignment="1">
      <alignment horizontal="left" vertical="top"/>
    </xf>
    <xf numFmtId="169" fontId="13" fillId="4" borderId="18" xfId="0" quotePrefix="1" applyNumberFormat="1" applyFont="1" applyFill="1" applyBorder="1" applyAlignment="1">
      <alignment horizontal="left" vertical="top"/>
    </xf>
    <xf numFmtId="169" fontId="13" fillId="4" borderId="18" xfId="0" applyNumberFormat="1" applyFont="1" applyFill="1" applyBorder="1" applyAlignment="1">
      <alignment horizontal="left" vertical="top"/>
    </xf>
    <xf numFmtId="0" fontId="13" fillId="4" borderId="20" xfId="0" applyFont="1" applyFill="1" applyBorder="1" applyAlignment="1">
      <alignment horizontal="right" vertical="top"/>
    </xf>
    <xf numFmtId="169" fontId="13" fillId="4" borderId="31" xfId="0" applyNumberFormat="1" applyFont="1" applyFill="1" applyBorder="1" applyAlignment="1">
      <alignment horizontal="left" vertical="top"/>
    </xf>
    <xf numFmtId="0" fontId="13" fillId="3" borderId="18" xfId="0" applyFont="1" applyFill="1" applyBorder="1" applyAlignment="1">
      <alignment horizontal="right" vertical="top"/>
    </xf>
    <xf numFmtId="49" fontId="13" fillId="3" borderId="22" xfId="0" applyNumberFormat="1" applyFont="1" applyFill="1" applyBorder="1" applyAlignment="1">
      <alignment horizontal="left" vertical="top" wrapText="1"/>
    </xf>
    <xf numFmtId="0" fontId="0" fillId="3" borderId="31" xfId="0" applyFill="1" applyBorder="1" applyAlignment="1">
      <alignment horizontal="left" vertical="top"/>
    </xf>
    <xf numFmtId="49" fontId="13" fillId="5" borderId="22" xfId="0" applyNumberFormat="1" applyFont="1" applyFill="1" applyBorder="1" applyAlignment="1">
      <alignment horizontal="left" vertical="top" wrapText="1"/>
    </xf>
    <xf numFmtId="49" fontId="13" fillId="5" borderId="31" xfId="0" applyNumberFormat="1" applyFont="1" applyFill="1" applyBorder="1" applyAlignment="1">
      <alignment horizontal="right" vertical="top"/>
    </xf>
    <xf numFmtId="49" fontId="13" fillId="7" borderId="22" xfId="0" applyNumberFormat="1" applyFont="1" applyFill="1" applyBorder="1" applyAlignment="1">
      <alignment horizontal="right" vertical="top"/>
    </xf>
    <xf numFmtId="0" fontId="0" fillId="4" borderId="20" xfId="0" applyFill="1" applyBorder="1"/>
    <xf numFmtId="166" fontId="13" fillId="4" borderId="20" xfId="0" applyNumberFormat="1" applyFont="1" applyFill="1" applyBorder="1" applyAlignment="1">
      <alignment horizontal="right" vertical="center"/>
    </xf>
    <xf numFmtId="49" fontId="18" fillId="4" borderId="22" xfId="0" applyNumberFormat="1" applyFont="1" applyFill="1" applyBorder="1" applyAlignment="1">
      <alignment horizontal="left" vertical="top" wrapText="1"/>
    </xf>
    <xf numFmtId="2" fontId="13" fillId="4" borderId="22" xfId="0" applyNumberFormat="1" applyFont="1" applyFill="1" applyBorder="1" applyAlignment="1">
      <alignment horizontal="right" vertical="center"/>
    </xf>
    <xf numFmtId="0" fontId="0" fillId="4" borderId="22" xfId="0" applyFill="1" applyBorder="1"/>
    <xf numFmtId="0" fontId="13" fillId="4" borderId="33" xfId="0" applyFont="1" applyFill="1" applyBorder="1" applyAlignment="1">
      <alignment horizontal="right" vertical="top"/>
    </xf>
    <xf numFmtId="166" fontId="13" fillId="0" borderId="34" xfId="0" applyNumberFormat="1" applyFont="1" applyBorder="1" applyAlignment="1">
      <alignment horizontal="right" vertical="center"/>
    </xf>
    <xf numFmtId="166" fontId="13" fillId="0" borderId="21" xfId="0" applyNumberFormat="1" applyFont="1" applyBorder="1" applyAlignment="1">
      <alignment horizontal="right" vertical="center"/>
    </xf>
    <xf numFmtId="166" fontId="13" fillId="0" borderId="28" xfId="0" applyNumberFormat="1" applyFont="1" applyBorder="1" applyAlignment="1">
      <alignment horizontal="right" vertical="center"/>
    </xf>
    <xf numFmtId="0" fontId="13" fillId="4" borderId="41" xfId="0" applyFont="1" applyFill="1" applyBorder="1" applyAlignment="1">
      <alignment horizontal="right" vertical="top"/>
    </xf>
    <xf numFmtId="0" fontId="13" fillId="4" borderId="41" xfId="0" applyFont="1" applyFill="1" applyBorder="1" applyAlignment="1">
      <alignment horizontal="left" vertical="top" wrapText="1"/>
    </xf>
    <xf numFmtId="166" fontId="13" fillId="4" borderId="41" xfId="0" applyNumberFormat="1" applyFont="1" applyFill="1" applyBorder="1" applyAlignment="1">
      <alignment horizontal="center" vertical="center"/>
    </xf>
    <xf numFmtId="0" fontId="13" fillId="4" borderId="34" xfId="0" applyFont="1" applyFill="1" applyBorder="1" applyAlignment="1">
      <alignment horizontal="right" vertical="top"/>
    </xf>
    <xf numFmtId="166" fontId="13" fillId="4" borderId="33" xfId="0" applyNumberFormat="1" applyFont="1" applyFill="1" applyBorder="1" applyAlignment="1">
      <alignment horizontal="right" vertical="center"/>
    </xf>
    <xf numFmtId="166" fontId="13" fillId="4" borderId="34" xfId="0" applyNumberFormat="1" applyFont="1" applyFill="1" applyBorder="1" applyAlignment="1">
      <alignment horizontal="right" vertical="center"/>
    </xf>
    <xf numFmtId="169" fontId="13" fillId="4" borderId="20" xfId="0" applyNumberFormat="1" applyFont="1" applyFill="1" applyBorder="1" applyAlignment="1">
      <alignment horizontal="left" vertical="top"/>
    </xf>
    <xf numFmtId="49" fontId="13" fillId="5" borderId="20" xfId="0" applyNumberFormat="1" applyFont="1" applyFill="1" applyBorder="1" applyAlignment="1">
      <alignment horizontal="right" vertical="top"/>
    </xf>
    <xf numFmtId="49" fontId="13" fillId="7" borderId="20" xfId="0" applyNumberFormat="1" applyFont="1" applyFill="1" applyBorder="1" applyAlignment="1">
      <alignment horizontal="right" vertical="top"/>
    </xf>
    <xf numFmtId="0" fontId="0" fillId="7" borderId="20" xfId="0" applyFill="1" applyBorder="1"/>
    <xf numFmtId="49" fontId="13" fillId="7" borderId="31" xfId="0" applyNumberFormat="1" applyFont="1" applyFill="1" applyBorder="1" applyAlignment="1">
      <alignment horizontal="left" vertical="top" wrapText="1"/>
    </xf>
    <xf numFmtId="0" fontId="13" fillId="0" borderId="21" xfId="2" applyNumberFormat="1" applyFont="1" applyFill="1" applyBorder="1" applyAlignment="1">
      <alignment horizontal="right" vertical="center"/>
    </xf>
    <xf numFmtId="44" fontId="13" fillId="3" borderId="22" xfId="2" applyFont="1" applyFill="1" applyBorder="1" applyAlignment="1">
      <alignment horizontal="right" vertical="center"/>
    </xf>
    <xf numFmtId="166" fontId="13" fillId="3" borderId="22" xfId="0" applyNumberFormat="1" applyFont="1" applyFill="1" applyBorder="1" applyAlignment="1">
      <alignment horizontal="right" vertical="center"/>
    </xf>
    <xf numFmtId="9" fontId="13" fillId="0" borderId="24" xfId="3" applyFont="1" applyFill="1" applyBorder="1" applyAlignment="1">
      <alignment horizontal="right" vertical="center"/>
    </xf>
    <xf numFmtId="166" fontId="13" fillId="0" borderId="24" xfId="0" applyNumberFormat="1" applyFont="1" applyBorder="1" applyAlignment="1">
      <alignment horizontal="right" vertical="center"/>
    </xf>
    <xf numFmtId="167" fontId="13" fillId="0" borderId="25" xfId="2" applyNumberFormat="1" applyFont="1" applyFill="1" applyBorder="1" applyAlignment="1">
      <alignment horizontal="right" vertical="top"/>
    </xf>
    <xf numFmtId="9" fontId="13" fillId="0" borderId="21" xfId="3" applyFont="1" applyFill="1" applyBorder="1" applyAlignment="1">
      <alignment horizontal="right" vertical="center"/>
    </xf>
    <xf numFmtId="167" fontId="13" fillId="0" borderId="28" xfId="2" applyNumberFormat="1" applyFont="1" applyFill="1" applyBorder="1" applyAlignment="1">
      <alignment horizontal="right" vertical="top"/>
    </xf>
    <xf numFmtId="44" fontId="13" fillId="0" borderId="24" xfId="2" applyFont="1" applyFill="1" applyBorder="1" applyAlignment="1">
      <alignment horizontal="right" vertical="center"/>
    </xf>
    <xf numFmtId="166" fontId="13" fillId="0" borderId="25" xfId="0" applyNumberFormat="1" applyFont="1" applyBorder="1" applyAlignment="1">
      <alignment horizontal="right" vertical="center"/>
    </xf>
    <xf numFmtId="169" fontId="13" fillId="5" borderId="41" xfId="0" applyNumberFormat="1" applyFont="1" applyFill="1" applyBorder="1" applyAlignment="1">
      <alignment horizontal="left" vertical="top"/>
    </xf>
    <xf numFmtId="166" fontId="13" fillId="3" borderId="20" xfId="0" applyNumberFormat="1" applyFont="1" applyFill="1" applyBorder="1" applyAlignment="1">
      <alignment horizontal="right" vertical="center"/>
    </xf>
    <xf numFmtId="9" fontId="13" fillId="0" borderId="23" xfId="3" applyFont="1" applyFill="1" applyBorder="1" applyAlignment="1">
      <alignment horizontal="right" vertical="center"/>
    </xf>
    <xf numFmtId="9" fontId="13" fillId="0" borderId="25" xfId="3" applyFont="1" applyFill="1" applyBorder="1" applyAlignment="1">
      <alignment horizontal="right" vertical="center"/>
    </xf>
    <xf numFmtId="9" fontId="13" fillId="0" borderId="27" xfId="3" applyFont="1" applyFill="1" applyBorder="1" applyAlignment="1">
      <alignment horizontal="right" vertical="center"/>
    </xf>
    <xf numFmtId="9" fontId="13" fillId="0" borderId="28" xfId="3" applyFont="1" applyFill="1" applyBorder="1" applyAlignment="1">
      <alignment horizontal="right" vertical="center"/>
    </xf>
    <xf numFmtId="44" fontId="13" fillId="0" borderId="25" xfId="2" applyFont="1" applyFill="1" applyBorder="1" applyAlignment="1">
      <alignment horizontal="right" vertical="center"/>
    </xf>
    <xf numFmtId="0" fontId="13" fillId="0" borderId="33" xfId="2" applyNumberFormat="1" applyFont="1" applyFill="1" applyBorder="1" applyAlignment="1">
      <alignment horizontal="right" vertical="center"/>
    </xf>
    <xf numFmtId="0" fontId="13" fillId="0" borderId="34" xfId="2" applyNumberFormat="1" applyFont="1" applyFill="1" applyBorder="1" applyAlignment="1">
      <alignment horizontal="right" vertical="center"/>
    </xf>
    <xf numFmtId="0" fontId="13" fillId="0" borderId="27" xfId="2" applyNumberFormat="1" applyFont="1" applyFill="1" applyBorder="1" applyAlignment="1">
      <alignment horizontal="right" vertical="center"/>
    </xf>
    <xf numFmtId="0" fontId="13" fillId="0" borderId="28" xfId="2" applyNumberFormat="1" applyFont="1" applyFill="1" applyBorder="1" applyAlignment="1">
      <alignment horizontal="right" vertical="center"/>
    </xf>
    <xf numFmtId="0" fontId="0" fillId="4" borderId="18" xfId="0" applyFill="1" applyBorder="1"/>
    <xf numFmtId="2" fontId="13" fillId="4" borderId="18" xfId="0" applyNumberFormat="1" applyFont="1" applyFill="1" applyBorder="1" applyAlignment="1">
      <alignment horizontal="right" vertical="center"/>
    </xf>
    <xf numFmtId="10" fontId="13" fillId="4" borderId="18" xfId="3" applyNumberFormat="1" applyFont="1" applyFill="1" applyBorder="1" applyAlignment="1">
      <alignment horizontal="right" vertical="center"/>
    </xf>
    <xf numFmtId="166" fontId="13" fillId="4" borderId="18" xfId="0" applyNumberFormat="1" applyFont="1" applyFill="1" applyBorder="1" applyAlignment="1">
      <alignment horizontal="right" vertical="center"/>
    </xf>
    <xf numFmtId="166" fontId="13" fillId="3" borderId="18" xfId="0" applyNumberFormat="1" applyFont="1" applyFill="1" applyBorder="1" applyAlignment="1">
      <alignment horizontal="right" vertical="center"/>
    </xf>
    <xf numFmtId="166" fontId="13" fillId="12" borderId="18" xfId="0" applyNumberFormat="1" applyFont="1" applyFill="1" applyBorder="1" applyAlignment="1">
      <alignment horizontal="right" vertical="center"/>
    </xf>
    <xf numFmtId="49" fontId="13" fillId="5" borderId="18" xfId="0" applyNumberFormat="1" applyFont="1" applyFill="1" applyBorder="1" applyAlignment="1">
      <alignment horizontal="left" vertical="top" wrapText="1"/>
    </xf>
    <xf numFmtId="2" fontId="13" fillId="7" borderId="18" xfId="0" applyNumberFormat="1" applyFont="1" applyFill="1" applyBorder="1" applyAlignment="1">
      <alignment horizontal="right" vertical="center"/>
    </xf>
    <xf numFmtId="166" fontId="13" fillId="7" borderId="18" xfId="0" applyNumberFormat="1" applyFont="1" applyFill="1" applyBorder="1" applyAlignment="1">
      <alignment horizontal="right" vertical="center"/>
    </xf>
    <xf numFmtId="166" fontId="13" fillId="4" borderId="20" xfId="1" applyNumberFormat="1" applyFont="1" applyFill="1" applyBorder="1" applyAlignment="1">
      <alignment horizontal="right" vertical="center"/>
    </xf>
    <xf numFmtId="166" fontId="13" fillId="4" borderId="22" xfId="1" applyNumberFormat="1" applyFont="1" applyFill="1" applyBorder="1" applyAlignment="1">
      <alignment horizontal="right" vertical="center"/>
    </xf>
    <xf numFmtId="166" fontId="13" fillId="4" borderId="33" xfId="1" applyNumberFormat="1" applyFont="1" applyFill="1" applyBorder="1" applyAlignment="1">
      <alignment horizontal="right" vertical="center"/>
    </xf>
    <xf numFmtId="166" fontId="13" fillId="4" borderId="34" xfId="1" applyNumberFormat="1" applyFont="1" applyFill="1" applyBorder="1" applyAlignment="1">
      <alignment horizontal="right" vertical="center"/>
    </xf>
    <xf numFmtId="10" fontId="13" fillId="4" borderId="33" xfId="3" applyNumberFormat="1" applyFont="1" applyFill="1" applyBorder="1" applyAlignment="1">
      <alignment horizontal="right" vertical="center"/>
    </xf>
    <xf numFmtId="10" fontId="13" fillId="4" borderId="34" xfId="3" applyNumberFormat="1" applyFont="1" applyFill="1" applyBorder="1" applyAlignment="1">
      <alignment horizontal="right" vertical="center"/>
    </xf>
    <xf numFmtId="10" fontId="13" fillId="5" borderId="33" xfId="3" applyNumberFormat="1" applyFont="1" applyFill="1" applyBorder="1" applyAlignment="1">
      <alignment horizontal="right" vertical="top" wrapText="1"/>
    </xf>
    <xf numFmtId="10" fontId="13" fillId="5" borderId="34" xfId="3" applyNumberFormat="1" applyFont="1" applyFill="1" applyBorder="1" applyAlignment="1">
      <alignment horizontal="right" vertical="top" wrapText="1"/>
    </xf>
    <xf numFmtId="166" fontId="13" fillId="0" borderId="71" xfId="0" applyNumberFormat="1" applyFont="1" applyBorder="1" applyAlignment="1">
      <alignment horizontal="right" vertical="center"/>
    </xf>
    <xf numFmtId="166" fontId="13" fillId="0" borderId="72" xfId="0" applyNumberFormat="1" applyFont="1" applyBorder="1" applyAlignment="1">
      <alignment horizontal="right" vertical="center"/>
    </xf>
    <xf numFmtId="166" fontId="13" fillId="0" borderId="73" xfId="0" applyNumberFormat="1" applyFont="1" applyBorder="1" applyAlignment="1">
      <alignment horizontal="right" vertical="center"/>
    </xf>
    <xf numFmtId="10" fontId="13" fillId="3" borderId="22" xfId="3" applyNumberFormat="1" applyFont="1" applyFill="1" applyBorder="1" applyAlignment="1">
      <alignment horizontal="right" vertical="center"/>
    </xf>
    <xf numFmtId="166" fontId="13" fillId="0" borderId="23" xfId="0" applyNumberFormat="1" applyFont="1" applyBorder="1" applyAlignment="1">
      <alignment horizontal="right" vertical="center" wrapText="1"/>
    </xf>
    <xf numFmtId="166" fontId="13" fillId="0" borderId="24" xfId="0" applyNumberFormat="1" applyFont="1" applyBorder="1" applyAlignment="1">
      <alignment horizontal="right" vertical="center" wrapText="1"/>
    </xf>
    <xf numFmtId="166" fontId="13" fillId="0" borderId="25" xfId="0" applyNumberFormat="1" applyFont="1" applyBorder="1" applyAlignment="1">
      <alignment horizontal="right" vertical="center" wrapText="1"/>
    </xf>
    <xf numFmtId="166" fontId="13" fillId="0" borderId="27" xfId="0" applyNumberFormat="1" applyFont="1" applyBorder="1" applyAlignment="1">
      <alignment horizontal="right" vertical="center" wrapText="1"/>
    </xf>
    <xf numFmtId="10" fontId="13" fillId="12" borderId="22" xfId="3" applyNumberFormat="1" applyFont="1" applyFill="1" applyBorder="1" applyAlignment="1">
      <alignment horizontal="right" vertical="center"/>
    </xf>
    <xf numFmtId="49" fontId="13" fillId="14" borderId="41" xfId="0" applyNumberFormat="1" applyFont="1" applyFill="1" applyBorder="1" applyAlignment="1">
      <alignment horizontal="left" vertical="top" wrapText="1"/>
    </xf>
    <xf numFmtId="2" fontId="13" fillId="14" borderId="33" xfId="0" applyNumberFormat="1" applyFont="1" applyFill="1" applyBorder="1" applyAlignment="1">
      <alignment horizontal="right" vertical="center"/>
    </xf>
    <xf numFmtId="2" fontId="13" fillId="14" borderId="34" xfId="0" applyNumberFormat="1" applyFont="1" applyFill="1" applyBorder="1" applyAlignment="1">
      <alignment horizontal="right" vertical="center"/>
    </xf>
    <xf numFmtId="49" fontId="13" fillId="14" borderId="58" xfId="0" applyNumberFormat="1" applyFont="1" applyFill="1" applyBorder="1" applyAlignment="1">
      <alignment horizontal="left" vertical="top" wrapText="1"/>
    </xf>
    <xf numFmtId="2" fontId="13" fillId="14" borderId="27" xfId="0" applyNumberFormat="1" applyFont="1" applyFill="1" applyBorder="1" applyAlignment="1">
      <alignment horizontal="right" vertical="center"/>
    </xf>
    <xf numFmtId="2" fontId="13" fillId="14" borderId="21" xfId="0" applyNumberFormat="1" applyFont="1" applyFill="1" applyBorder="1" applyAlignment="1">
      <alignment horizontal="right" vertical="center"/>
    </xf>
    <xf numFmtId="2" fontId="13" fillId="14" borderId="28" xfId="0" applyNumberFormat="1" applyFont="1" applyFill="1" applyBorder="1" applyAlignment="1">
      <alignment horizontal="right" vertical="center"/>
    </xf>
    <xf numFmtId="49" fontId="13" fillId="0" borderId="70" xfId="0" applyNumberFormat="1" applyFont="1" applyBorder="1" applyAlignment="1">
      <alignment horizontal="left" vertical="top" wrapText="1"/>
    </xf>
    <xf numFmtId="167" fontId="13" fillId="0" borderId="68" xfId="2" applyNumberFormat="1" applyFont="1" applyFill="1" applyBorder="1" applyAlignment="1">
      <alignment horizontal="right" vertical="center"/>
    </xf>
    <xf numFmtId="167" fontId="13" fillId="0" borderId="22" xfId="2" applyNumberFormat="1" applyFont="1" applyFill="1" applyBorder="1" applyAlignment="1">
      <alignment horizontal="right" vertical="center"/>
    </xf>
    <xf numFmtId="0" fontId="13" fillId="3" borderId="22" xfId="0" applyFont="1" applyFill="1" applyBorder="1" applyAlignment="1">
      <alignment horizontal="left" vertical="center" wrapText="1"/>
    </xf>
    <xf numFmtId="0" fontId="13" fillId="3" borderId="22" xfId="0" applyFont="1" applyFill="1" applyBorder="1" applyAlignment="1">
      <alignment horizontal="right" vertical="center" wrapText="1"/>
    </xf>
    <xf numFmtId="0" fontId="13" fillId="9" borderId="31" xfId="0" applyFont="1" applyFill="1" applyBorder="1" applyAlignment="1">
      <alignment horizontal="left" vertical="center" wrapText="1"/>
    </xf>
    <xf numFmtId="170" fontId="13" fillId="0" borderId="58" xfId="0" applyNumberFormat="1" applyFont="1" applyBorder="1" applyAlignment="1">
      <alignment horizontal="right" vertical="center" wrapText="1"/>
    </xf>
    <xf numFmtId="10" fontId="13" fillId="0" borderId="27" xfId="3" applyNumberFormat="1" applyFont="1" applyFill="1" applyBorder="1" applyAlignment="1">
      <alignment horizontal="right" vertical="center"/>
    </xf>
    <xf numFmtId="10" fontId="13" fillId="0" borderId="21" xfId="3" applyNumberFormat="1" applyFont="1" applyFill="1" applyBorder="1" applyAlignment="1">
      <alignment horizontal="right" vertical="center"/>
    </xf>
    <xf numFmtId="10" fontId="13" fillId="0" borderId="38" xfId="3" applyNumberFormat="1" applyFont="1" applyFill="1" applyBorder="1" applyAlignment="1">
      <alignment horizontal="right" vertical="center"/>
    </xf>
    <xf numFmtId="0" fontId="18" fillId="6" borderId="18" xfId="0" applyFont="1" applyFill="1" applyBorder="1" applyAlignment="1">
      <alignment horizontal="left" vertical="top"/>
    </xf>
    <xf numFmtId="49" fontId="13" fillId="6" borderId="22" xfId="0" applyNumberFormat="1" applyFont="1" applyFill="1" applyBorder="1" applyAlignment="1">
      <alignment horizontal="right" vertical="top"/>
    </xf>
    <xf numFmtId="49" fontId="13" fillId="6" borderId="36" xfId="0" applyNumberFormat="1" applyFont="1" applyFill="1" applyBorder="1" applyAlignment="1">
      <alignment horizontal="right" vertical="top"/>
    </xf>
    <xf numFmtId="0" fontId="0" fillId="6" borderId="22" xfId="0" applyFill="1" applyBorder="1" applyAlignment="1">
      <alignment horizontal="left"/>
    </xf>
    <xf numFmtId="0" fontId="0" fillId="6" borderId="22" xfId="0" applyFill="1" applyBorder="1"/>
    <xf numFmtId="169" fontId="18" fillId="0" borderId="50" xfId="0" applyNumberFormat="1" applyFont="1" applyBorder="1" applyAlignment="1">
      <alignment horizontal="left" vertical="top" wrapText="1"/>
    </xf>
    <xf numFmtId="169" fontId="18" fillId="0" borderId="10" xfId="0" applyNumberFormat="1" applyFont="1" applyBorder="1" applyAlignment="1">
      <alignment horizontal="left" vertical="top" wrapText="1"/>
    </xf>
    <xf numFmtId="169" fontId="18" fillId="0" borderId="57" xfId="0" applyNumberFormat="1" applyFont="1" applyBorder="1" applyAlignment="1">
      <alignment horizontal="left" vertical="top" wrapText="1"/>
    </xf>
    <xf numFmtId="0" fontId="18" fillId="0" borderId="58" xfId="0" applyFont="1" applyBorder="1" applyAlignment="1">
      <alignment horizontal="left" vertical="center" wrapText="1"/>
    </xf>
    <xf numFmtId="0" fontId="13" fillId="0" borderId="70" xfId="0" applyFont="1" applyBorder="1" applyAlignment="1">
      <alignment horizontal="left" vertical="top" wrapText="1"/>
    </xf>
    <xf numFmtId="2" fontId="13" fillId="0" borderId="68" xfId="0" applyNumberFormat="1" applyFont="1" applyBorder="1" applyAlignment="1">
      <alignment horizontal="right" vertical="center"/>
    </xf>
    <xf numFmtId="2" fontId="13" fillId="0" borderId="22" xfId="0" applyNumberFormat="1" applyFont="1" applyBorder="1" applyAlignment="1">
      <alignment horizontal="right" vertical="center"/>
    </xf>
    <xf numFmtId="2" fontId="13" fillId="0" borderId="69" xfId="0" applyNumberFormat="1" applyFont="1" applyBorder="1" applyAlignment="1">
      <alignment horizontal="right" vertical="center"/>
    </xf>
    <xf numFmtId="49" fontId="13" fillId="14" borderId="57" xfId="0" applyNumberFormat="1" applyFont="1" applyFill="1" applyBorder="1" applyAlignment="1">
      <alignment horizontal="left" vertical="top" wrapText="1"/>
    </xf>
    <xf numFmtId="2" fontId="13" fillId="14" borderId="23" xfId="0" applyNumberFormat="1" applyFont="1" applyFill="1" applyBorder="1" applyAlignment="1">
      <alignment horizontal="right" vertical="center"/>
    </xf>
    <xf numFmtId="2" fontId="13" fillId="14" borderId="24" xfId="0" applyNumberFormat="1" applyFont="1" applyFill="1" applyBorder="1" applyAlignment="1">
      <alignment horizontal="right" vertical="center"/>
    </xf>
    <xf numFmtId="2" fontId="13" fillId="14" borderId="25" xfId="0" applyNumberFormat="1" applyFont="1" applyFill="1" applyBorder="1" applyAlignment="1">
      <alignment horizontal="right" vertical="center"/>
    </xf>
    <xf numFmtId="0" fontId="0" fillId="6" borderId="18" xfId="0" applyFill="1" applyBorder="1"/>
    <xf numFmtId="169" fontId="13" fillId="6" borderId="18" xfId="0" applyNumberFormat="1" applyFont="1" applyFill="1" applyBorder="1" applyAlignment="1">
      <alignment horizontal="right" vertical="top"/>
    </xf>
    <xf numFmtId="0" fontId="18" fillId="6" borderId="19" xfId="0" applyFont="1" applyFill="1" applyBorder="1" applyAlignment="1">
      <alignment horizontal="left" vertical="top" wrapText="1"/>
    </xf>
    <xf numFmtId="0" fontId="18" fillId="6" borderId="44" xfId="0" applyFont="1" applyFill="1" applyBorder="1" applyAlignment="1">
      <alignment horizontal="left" vertical="top" wrapText="1"/>
    </xf>
    <xf numFmtId="0" fontId="18" fillId="6" borderId="18" xfId="0" applyFont="1" applyFill="1" applyBorder="1" applyAlignment="1">
      <alignment horizontal="right" vertical="center" wrapText="1"/>
    </xf>
    <xf numFmtId="0" fontId="18" fillId="9" borderId="18" xfId="0" applyFont="1" applyFill="1" applyBorder="1" applyAlignment="1">
      <alignment horizontal="right" vertical="center" wrapText="1"/>
    </xf>
    <xf numFmtId="10" fontId="13" fillId="3" borderId="19" xfId="3" applyNumberFormat="1" applyFont="1" applyFill="1" applyBorder="1" applyAlignment="1">
      <alignment horizontal="right" vertical="center" wrapText="1"/>
    </xf>
    <xf numFmtId="0" fontId="13" fillId="3" borderId="19" xfId="0" applyFont="1" applyFill="1" applyBorder="1" applyAlignment="1">
      <alignment horizontal="right" vertical="center" wrapText="1"/>
    </xf>
    <xf numFmtId="166" fontId="13" fillId="3" borderId="19" xfId="0" applyNumberFormat="1" applyFont="1" applyFill="1" applyBorder="1" applyAlignment="1">
      <alignment horizontal="right" vertical="center" wrapText="1"/>
    </xf>
    <xf numFmtId="10" fontId="13" fillId="3" borderId="19" xfId="3" applyNumberFormat="1" applyFont="1" applyFill="1" applyBorder="1" applyAlignment="1">
      <alignment horizontal="right" vertical="top" wrapText="1"/>
    </xf>
    <xf numFmtId="166" fontId="13" fillId="10" borderId="19" xfId="0" applyNumberFormat="1" applyFont="1" applyFill="1" applyBorder="1" applyAlignment="1">
      <alignment horizontal="right" vertical="center" wrapText="1"/>
    </xf>
    <xf numFmtId="2" fontId="13" fillId="14" borderId="19" xfId="0" applyNumberFormat="1" applyFont="1" applyFill="1" applyBorder="1" applyAlignment="1">
      <alignment horizontal="right" vertical="center"/>
    </xf>
    <xf numFmtId="2" fontId="13" fillId="10" borderId="19" xfId="0" applyNumberFormat="1" applyFont="1" applyFill="1" applyBorder="1" applyAlignment="1">
      <alignment horizontal="right" vertical="center"/>
    </xf>
    <xf numFmtId="0" fontId="0" fillId="14" borderId="18" xfId="0" applyFill="1" applyBorder="1" applyAlignment="1">
      <alignment horizontal="right"/>
    </xf>
    <xf numFmtId="2" fontId="13" fillId="6" borderId="18" xfId="0" applyNumberFormat="1" applyFont="1" applyFill="1" applyBorder="1" applyAlignment="1">
      <alignment horizontal="right" vertical="center"/>
    </xf>
    <xf numFmtId="2" fontId="13" fillId="13" borderId="19" xfId="0" applyNumberFormat="1" applyFont="1" applyFill="1" applyBorder="1" applyAlignment="1">
      <alignment horizontal="right" vertical="center"/>
    </xf>
    <xf numFmtId="0" fontId="0" fillId="8" borderId="19" xfId="0" applyFill="1" applyBorder="1" applyAlignment="1">
      <alignment horizontal="left" vertical="top"/>
    </xf>
    <xf numFmtId="2" fontId="13" fillId="8" borderId="19" xfId="0" applyNumberFormat="1" applyFont="1" applyFill="1" applyBorder="1" applyAlignment="1">
      <alignment horizontal="right" vertical="center"/>
    </xf>
    <xf numFmtId="44" fontId="13" fillId="9" borderId="18" xfId="2" applyFont="1" applyFill="1" applyBorder="1" applyAlignment="1">
      <alignment horizontal="right" vertical="center"/>
    </xf>
    <xf numFmtId="2" fontId="13" fillId="9" borderId="18" xfId="0" applyNumberFormat="1" applyFont="1" applyFill="1" applyBorder="1" applyAlignment="1">
      <alignment horizontal="right" vertical="center"/>
    </xf>
    <xf numFmtId="2" fontId="13" fillId="7" borderId="19" xfId="0" applyNumberFormat="1" applyFont="1" applyFill="1" applyBorder="1" applyAlignment="1">
      <alignment horizontal="right" vertical="center"/>
    </xf>
    <xf numFmtId="2" fontId="13" fillId="4" borderId="19" xfId="0" applyNumberFormat="1" applyFont="1" applyFill="1" applyBorder="1" applyAlignment="1">
      <alignment horizontal="right" vertical="center"/>
    </xf>
    <xf numFmtId="0" fontId="0" fillId="4" borderId="19" xfId="0" applyFill="1" applyBorder="1"/>
    <xf numFmtId="0" fontId="13" fillId="4" borderId="19" xfId="0" applyFont="1" applyFill="1" applyBorder="1" applyAlignment="1">
      <alignment horizontal="right" vertical="top"/>
    </xf>
    <xf numFmtId="166" fontId="13" fillId="4" borderId="19" xfId="0" applyNumberFormat="1" applyFont="1" applyFill="1" applyBorder="1" applyAlignment="1">
      <alignment horizontal="right" vertical="center"/>
    </xf>
    <xf numFmtId="169" fontId="13" fillId="4" borderId="19" xfId="0" applyNumberFormat="1" applyFont="1" applyFill="1" applyBorder="1" applyAlignment="1">
      <alignment horizontal="left" vertical="top"/>
    </xf>
    <xf numFmtId="169" fontId="13" fillId="4" borderId="19" xfId="0" quotePrefix="1" applyNumberFormat="1" applyFont="1" applyFill="1" applyBorder="1" applyAlignment="1">
      <alignment horizontal="left" vertical="top"/>
    </xf>
    <xf numFmtId="169" fontId="13" fillId="3" borderId="19" xfId="0" applyNumberFormat="1" applyFont="1" applyFill="1" applyBorder="1" applyAlignment="1">
      <alignment horizontal="left" vertical="top"/>
    </xf>
    <xf numFmtId="0" fontId="6" fillId="3" borderId="19" xfId="20" applyFont="1" applyFill="1" applyBorder="1" applyAlignment="1">
      <alignment horizontal="left" vertical="top"/>
    </xf>
    <xf numFmtId="0" fontId="0" fillId="3" borderId="19" xfId="0" applyFill="1" applyBorder="1" applyAlignment="1">
      <alignment horizontal="left" vertical="top"/>
    </xf>
    <xf numFmtId="49" fontId="13" fillId="5" borderId="19" xfId="0" applyNumberFormat="1" applyFont="1" applyFill="1" applyBorder="1" applyAlignment="1">
      <alignment horizontal="left" vertical="top" wrapText="1"/>
    </xf>
    <xf numFmtId="169" fontId="13" fillId="5" borderId="19" xfId="0" applyNumberFormat="1" applyFont="1" applyFill="1" applyBorder="1" applyAlignment="1">
      <alignment horizontal="left" vertical="top"/>
    </xf>
    <xf numFmtId="49" fontId="13" fillId="5" borderId="19" xfId="0" applyNumberFormat="1" applyFont="1" applyFill="1" applyBorder="1" applyAlignment="1">
      <alignment horizontal="right" vertical="top"/>
    </xf>
    <xf numFmtId="49" fontId="13" fillId="7" borderId="19" xfId="0" applyNumberFormat="1" applyFont="1" applyFill="1" applyBorder="1" applyAlignment="1">
      <alignment horizontal="right" vertical="top"/>
    </xf>
    <xf numFmtId="166" fontId="13" fillId="7" borderId="19" xfId="0" applyNumberFormat="1" applyFont="1" applyFill="1" applyBorder="1" applyAlignment="1">
      <alignment horizontal="right" vertical="center"/>
    </xf>
    <xf numFmtId="0" fontId="13" fillId="7" borderId="19" xfId="0" applyFont="1" applyFill="1" applyBorder="1" applyAlignment="1">
      <alignment horizontal="left" vertical="top"/>
    </xf>
    <xf numFmtId="0" fontId="0" fillId="7" borderId="19" xfId="0" applyFill="1" applyBorder="1"/>
    <xf numFmtId="0" fontId="0" fillId="6" borderId="20" xfId="0" applyFill="1" applyBorder="1"/>
    <xf numFmtId="0" fontId="0" fillId="6" borderId="29" xfId="0" applyFill="1" applyBorder="1"/>
    <xf numFmtId="0" fontId="0" fillId="6" borderId="54" xfId="0" applyFill="1" applyBorder="1"/>
    <xf numFmtId="0" fontId="0" fillId="14" borderId="20" xfId="0" applyFill="1" applyBorder="1"/>
    <xf numFmtId="10" fontId="0" fillId="14" borderId="20" xfId="3" applyNumberFormat="1" applyFont="1" applyFill="1" applyBorder="1"/>
    <xf numFmtId="0" fontId="13" fillId="8" borderId="20" xfId="0" applyFont="1" applyFill="1" applyBorder="1" applyAlignment="1">
      <alignment horizontal="left" vertical="top"/>
    </xf>
    <xf numFmtId="0" fontId="13" fillId="9" borderId="20" xfId="0" applyFont="1" applyFill="1" applyBorder="1" applyAlignment="1">
      <alignment horizontal="left" vertical="top"/>
    </xf>
    <xf numFmtId="0" fontId="18" fillId="6" borderId="18" xfId="0" applyFont="1" applyFill="1" applyBorder="1" applyAlignment="1">
      <alignment horizontal="center" vertical="center" wrapText="1"/>
    </xf>
    <xf numFmtId="166" fontId="13" fillId="6" borderId="22" xfId="0" applyNumberFormat="1" applyFont="1" applyFill="1" applyBorder="1" applyAlignment="1">
      <alignment horizontal="right" vertical="top"/>
    </xf>
    <xf numFmtId="166" fontId="18" fillId="0" borderId="27" xfId="0" applyNumberFormat="1" applyFont="1" applyBorder="1" applyAlignment="1">
      <alignment horizontal="center" vertical="center" wrapText="1"/>
    </xf>
    <xf numFmtId="166" fontId="18" fillId="0" borderId="28" xfId="0" applyNumberFormat="1" applyFont="1" applyBorder="1" applyAlignment="1">
      <alignment horizontal="center" vertical="center" wrapText="1"/>
    </xf>
    <xf numFmtId="167" fontId="13" fillId="0" borderId="69" xfId="2" applyNumberFormat="1" applyFont="1" applyFill="1" applyBorder="1" applyAlignment="1">
      <alignment horizontal="right" vertical="center"/>
    </xf>
    <xf numFmtId="167" fontId="13" fillId="14" borderId="23" xfId="2" applyNumberFormat="1" applyFont="1" applyFill="1" applyBorder="1" applyAlignment="1">
      <alignment horizontal="right" vertical="center"/>
    </xf>
    <xf numFmtId="167" fontId="13" fillId="14" borderId="24" xfId="2" applyNumberFormat="1" applyFont="1" applyFill="1" applyBorder="1" applyAlignment="1">
      <alignment horizontal="right" vertical="center"/>
    </xf>
    <xf numFmtId="167" fontId="13" fillId="14" borderId="25" xfId="2" applyNumberFormat="1" applyFont="1" applyFill="1" applyBorder="1" applyAlignment="1">
      <alignment horizontal="right" vertical="center"/>
    </xf>
    <xf numFmtId="167" fontId="13" fillId="14" borderId="33" xfId="2" applyNumberFormat="1" applyFont="1" applyFill="1" applyBorder="1" applyAlignment="1">
      <alignment horizontal="right" vertical="center"/>
    </xf>
    <xf numFmtId="167" fontId="13" fillId="14" borderId="34" xfId="2" applyNumberFormat="1" applyFont="1" applyFill="1" applyBorder="1" applyAlignment="1">
      <alignment horizontal="right" vertical="center"/>
    </xf>
    <xf numFmtId="167" fontId="13" fillId="14" borderId="27" xfId="2" applyNumberFormat="1" applyFont="1" applyFill="1" applyBorder="1" applyAlignment="1">
      <alignment horizontal="right" vertical="center"/>
    </xf>
    <xf numFmtId="167" fontId="13" fillId="14" borderId="21" xfId="2" applyNumberFormat="1" applyFont="1" applyFill="1" applyBorder="1" applyAlignment="1">
      <alignment horizontal="right" vertical="center"/>
    </xf>
    <xf numFmtId="167" fontId="13" fillId="14" borderId="28" xfId="2" applyNumberFormat="1" applyFont="1" applyFill="1" applyBorder="1" applyAlignment="1">
      <alignment horizontal="right" vertical="center"/>
    </xf>
    <xf numFmtId="167" fontId="13" fillId="14" borderId="18" xfId="2" applyNumberFormat="1" applyFont="1" applyFill="1" applyBorder="1" applyAlignment="1">
      <alignment horizontal="right" vertical="center"/>
    </xf>
    <xf numFmtId="0" fontId="14" fillId="14" borderId="18" xfId="0" applyFont="1" applyFill="1" applyBorder="1" applyAlignment="1">
      <alignment horizontal="right" vertical="top"/>
    </xf>
    <xf numFmtId="167" fontId="13" fillId="14" borderId="22" xfId="2" applyNumberFormat="1" applyFont="1" applyFill="1" applyBorder="1" applyAlignment="1">
      <alignment horizontal="right" vertical="center"/>
    </xf>
    <xf numFmtId="2" fontId="13" fillId="6" borderId="31" xfId="0" applyNumberFormat="1" applyFont="1" applyFill="1" applyBorder="1" applyAlignment="1">
      <alignment horizontal="right" vertical="center"/>
    </xf>
    <xf numFmtId="9" fontId="13" fillId="0" borderId="33" xfId="3" applyFont="1" applyFill="1" applyBorder="1" applyAlignment="1">
      <alignment horizontal="right" vertical="center"/>
    </xf>
    <xf numFmtId="9" fontId="13" fillId="0" borderId="34" xfId="3" applyFont="1" applyFill="1" applyBorder="1" applyAlignment="1">
      <alignment horizontal="right" vertical="center"/>
    </xf>
    <xf numFmtId="10" fontId="13" fillId="0" borderId="28" xfId="3" applyNumberFormat="1" applyFont="1" applyFill="1" applyBorder="1" applyAlignment="1">
      <alignment horizontal="right" vertical="center"/>
    </xf>
    <xf numFmtId="0" fontId="0" fillId="7" borderId="22" xfId="0" applyFill="1" applyBorder="1"/>
    <xf numFmtId="10" fontId="13" fillId="7" borderId="22" xfId="3" applyNumberFormat="1" applyFont="1" applyFill="1" applyBorder="1" applyAlignment="1">
      <alignment horizontal="right" vertical="center"/>
    </xf>
    <xf numFmtId="166" fontId="13" fillId="0" borderId="23" xfId="0" applyNumberFormat="1" applyFont="1" applyBorder="1" applyAlignment="1">
      <alignment horizontal="right" vertical="center"/>
    </xf>
    <xf numFmtId="166" fontId="13" fillId="0" borderId="33" xfId="0" applyNumberFormat="1" applyFont="1" applyBorder="1" applyAlignment="1">
      <alignment horizontal="right" vertical="center"/>
    </xf>
    <xf numFmtId="166" fontId="13" fillId="0" borderId="27" xfId="0" applyNumberFormat="1" applyFont="1" applyBorder="1" applyAlignment="1">
      <alignment horizontal="right" vertical="center"/>
    </xf>
    <xf numFmtId="167" fontId="13" fillId="5" borderId="33" xfId="0" applyNumberFormat="1" applyFont="1" applyFill="1" applyBorder="1" applyAlignment="1">
      <alignment horizontal="left" vertical="top"/>
    </xf>
    <xf numFmtId="167" fontId="13" fillId="5" borderId="6" xfId="0" applyNumberFormat="1" applyFont="1" applyFill="1" applyBorder="1" applyAlignment="1">
      <alignment horizontal="left" vertical="top"/>
    </xf>
    <xf numFmtId="167" fontId="13" fillId="5" borderId="34" xfId="0" applyNumberFormat="1" applyFont="1" applyFill="1" applyBorder="1" applyAlignment="1">
      <alignment horizontal="left" vertical="top"/>
    </xf>
    <xf numFmtId="167" fontId="13" fillId="4" borderId="33" xfId="0" applyNumberFormat="1" applyFont="1" applyFill="1" applyBorder="1" applyAlignment="1">
      <alignment horizontal="right" vertical="top"/>
    </xf>
    <xf numFmtId="167" fontId="13" fillId="4" borderId="6" xfId="0" applyNumberFormat="1" applyFont="1" applyFill="1" applyBorder="1" applyAlignment="1">
      <alignment horizontal="right" vertical="top"/>
    </xf>
    <xf numFmtId="167" fontId="13" fillId="4" borderId="34" xfId="0" applyNumberFormat="1" applyFont="1" applyFill="1" applyBorder="1" applyAlignment="1">
      <alignment horizontal="right" vertical="top"/>
    </xf>
    <xf numFmtId="167" fontId="13" fillId="4" borderId="33" xfId="0" applyNumberFormat="1" applyFont="1" applyFill="1" applyBorder="1" applyAlignment="1">
      <alignment horizontal="right" vertical="center"/>
    </xf>
    <xf numFmtId="167" fontId="13" fillId="4" borderId="6" xfId="0" applyNumberFormat="1" applyFont="1" applyFill="1" applyBorder="1" applyAlignment="1">
      <alignment horizontal="right" vertical="center"/>
    </xf>
    <xf numFmtId="167" fontId="13" fillId="4" borderId="34" xfId="0" applyNumberFormat="1" applyFont="1" applyFill="1" applyBorder="1" applyAlignment="1">
      <alignment horizontal="right" vertical="center"/>
    </xf>
    <xf numFmtId="4" fontId="13" fillId="0" borderId="24" xfId="1" applyNumberFormat="1" applyFont="1" applyFill="1" applyBorder="1" applyAlignment="1">
      <alignment horizontal="right" vertical="center"/>
    </xf>
    <xf numFmtId="0" fontId="18" fillId="0" borderId="57" xfId="0" applyFont="1" applyBorder="1" applyAlignment="1">
      <alignment horizontal="left" vertical="top" wrapText="1"/>
    </xf>
    <xf numFmtId="0" fontId="18" fillId="0" borderId="58" xfId="0" applyFont="1" applyBorder="1" applyAlignment="1">
      <alignment horizontal="left" vertical="top" wrapText="1"/>
    </xf>
    <xf numFmtId="10" fontId="13" fillId="0" borderId="57" xfId="3" applyNumberFormat="1" applyFont="1" applyFill="1" applyBorder="1" applyAlignment="1">
      <alignment horizontal="right" vertical="center" wrapText="1"/>
    </xf>
    <xf numFmtId="10" fontId="13" fillId="0" borderId="41" xfId="3" applyNumberFormat="1" applyFont="1" applyFill="1" applyBorder="1" applyAlignment="1">
      <alignment horizontal="right" vertical="center" wrapText="1"/>
    </xf>
    <xf numFmtId="10" fontId="13" fillId="0" borderId="58" xfId="3" applyNumberFormat="1" applyFont="1" applyFill="1" applyBorder="1" applyAlignment="1">
      <alignment horizontal="right" vertical="center" wrapText="1"/>
    </xf>
    <xf numFmtId="10" fontId="13" fillId="0" borderId="41" xfId="3" applyNumberFormat="1" applyFont="1" applyFill="1" applyBorder="1" applyAlignment="1">
      <alignment horizontal="right" vertical="top" wrapText="1"/>
    </xf>
    <xf numFmtId="166" fontId="13" fillId="0" borderId="58" xfId="0" applyNumberFormat="1" applyFont="1" applyBorder="1" applyAlignment="1">
      <alignment horizontal="right" vertical="center" wrapText="1"/>
    </xf>
    <xf numFmtId="2" fontId="13" fillId="0" borderId="57" xfId="0" applyNumberFormat="1" applyFont="1" applyBorder="1" applyAlignment="1">
      <alignment horizontal="right" vertical="center"/>
    </xf>
    <xf numFmtId="2" fontId="13" fillId="0" borderId="41" xfId="0" applyNumberFormat="1" applyFont="1" applyBorder="1" applyAlignment="1">
      <alignment horizontal="right" vertical="center"/>
    </xf>
    <xf numFmtId="2" fontId="13" fillId="0" borderId="58" xfId="0" applyNumberFormat="1" applyFont="1" applyBorder="1" applyAlignment="1">
      <alignment horizontal="right" vertical="center"/>
    </xf>
    <xf numFmtId="44" fontId="13" fillId="0" borderId="41" xfId="2" applyFont="1" applyFill="1" applyBorder="1" applyAlignment="1">
      <alignment horizontal="right" vertical="center"/>
    </xf>
    <xf numFmtId="2" fontId="13" fillId="0" borderId="70" xfId="0" applyNumberFormat="1" applyFont="1" applyBorder="1" applyAlignment="1">
      <alignment horizontal="right" vertical="center"/>
    </xf>
    <xf numFmtId="2" fontId="13" fillId="14" borderId="57" xfId="0" applyNumberFormat="1" applyFont="1" applyFill="1" applyBorder="1" applyAlignment="1">
      <alignment horizontal="right" vertical="center"/>
    </xf>
    <xf numFmtId="2" fontId="13" fillId="14" borderId="41" xfId="0" applyNumberFormat="1" applyFont="1" applyFill="1" applyBorder="1" applyAlignment="1">
      <alignment horizontal="right" vertical="center"/>
    </xf>
    <xf numFmtId="2" fontId="13" fillId="14" borderId="58" xfId="0" applyNumberFormat="1" applyFont="1" applyFill="1" applyBorder="1" applyAlignment="1">
      <alignment horizontal="right" vertical="center"/>
    </xf>
    <xf numFmtId="0" fontId="13" fillId="9" borderId="19" xfId="0" applyFont="1" applyFill="1" applyBorder="1" applyAlignment="1">
      <alignment horizontal="left" vertical="top"/>
    </xf>
    <xf numFmtId="44" fontId="13" fillId="0" borderId="10" xfId="2" applyFont="1" applyFill="1" applyBorder="1" applyAlignment="1">
      <alignment horizontal="right" vertical="center"/>
    </xf>
    <xf numFmtId="0" fontId="13" fillId="0" borderId="57" xfId="0" applyFont="1" applyBorder="1" applyAlignment="1">
      <alignment horizontal="right" vertical="top"/>
    </xf>
    <xf numFmtId="2" fontId="13" fillId="0" borderId="10" xfId="0" applyNumberFormat="1" applyFont="1" applyBorder="1" applyAlignment="1">
      <alignment horizontal="right" vertical="center"/>
    </xf>
    <xf numFmtId="167" fontId="13" fillId="0" borderId="41" xfId="2" applyNumberFormat="1" applyFont="1" applyFill="1" applyBorder="1" applyAlignment="1">
      <alignment horizontal="right" vertical="center"/>
    </xf>
    <xf numFmtId="0" fontId="13" fillId="0" borderId="41" xfId="0" applyFont="1" applyBorder="1" applyAlignment="1">
      <alignment horizontal="right" vertical="top"/>
    </xf>
    <xf numFmtId="166" fontId="13" fillId="0" borderId="41" xfId="0" applyNumberFormat="1" applyFont="1" applyBorder="1" applyAlignment="1">
      <alignment horizontal="right" vertical="center"/>
    </xf>
    <xf numFmtId="166" fontId="13" fillId="0" borderId="58" xfId="0" applyNumberFormat="1" applyFont="1" applyBorder="1" applyAlignment="1">
      <alignment horizontal="right" vertical="center"/>
    </xf>
    <xf numFmtId="166" fontId="13" fillId="0" borderId="57" xfId="0" applyNumberFormat="1" applyFont="1" applyBorder="1" applyAlignment="1">
      <alignment horizontal="right" vertical="center"/>
    </xf>
    <xf numFmtId="0" fontId="0" fillId="0" borderId="40" xfId="0" applyBorder="1"/>
    <xf numFmtId="167" fontId="13" fillId="0" borderId="58" xfId="2" applyNumberFormat="1" applyFont="1" applyFill="1" applyBorder="1" applyAlignment="1">
      <alignment horizontal="right" vertical="center"/>
    </xf>
    <xf numFmtId="166" fontId="13" fillId="0" borderId="19" xfId="0" applyNumberFormat="1" applyFont="1" applyBorder="1" applyAlignment="1">
      <alignment horizontal="right" vertical="center"/>
    </xf>
    <xf numFmtId="4" fontId="13" fillId="11" borderId="6" xfId="0" applyNumberFormat="1" applyFont="1" applyFill="1" applyBorder="1" applyAlignment="1">
      <alignment horizontal="right" vertical="center"/>
    </xf>
    <xf numFmtId="169" fontId="13" fillId="4" borderId="6" xfId="0" applyNumberFormat="1" applyFont="1" applyFill="1" applyBorder="1" applyAlignment="1">
      <alignment horizontal="right" vertical="center"/>
    </xf>
    <xf numFmtId="0" fontId="0" fillId="16" borderId="0" xfId="0" applyFill="1"/>
    <xf numFmtId="0" fontId="0" fillId="16" borderId="6" xfId="0" applyFill="1" applyBorder="1"/>
    <xf numFmtId="49" fontId="13" fillId="16" borderId="6" xfId="0" applyNumberFormat="1" applyFont="1" applyFill="1" applyBorder="1" applyAlignment="1">
      <alignment horizontal="left" vertical="top" wrapText="1"/>
    </xf>
    <xf numFmtId="0" fontId="13" fillId="16" borderId="6" xfId="0" applyFont="1" applyFill="1" applyBorder="1" applyAlignment="1">
      <alignment horizontal="left" vertical="top"/>
    </xf>
    <xf numFmtId="166" fontId="13" fillId="16" borderId="6" xfId="0" applyNumberFormat="1" applyFont="1" applyFill="1" applyBorder="1" applyAlignment="1">
      <alignment horizontal="right" vertical="center"/>
    </xf>
    <xf numFmtId="10" fontId="13" fillId="16" borderId="6" xfId="3" applyNumberFormat="1" applyFont="1" applyFill="1" applyBorder="1" applyAlignment="1">
      <alignment horizontal="right" vertical="center"/>
    </xf>
    <xf numFmtId="2" fontId="13" fillId="16" borderId="6" xfId="1" applyNumberFormat="1" applyFont="1" applyFill="1" applyBorder="1" applyAlignment="1">
      <alignment horizontal="right" vertical="center"/>
    </xf>
    <xf numFmtId="2" fontId="13" fillId="16" borderId="6" xfId="0" applyNumberFormat="1" applyFont="1" applyFill="1" applyBorder="1" applyAlignment="1">
      <alignment horizontal="right" vertical="center"/>
    </xf>
    <xf numFmtId="0" fontId="0" fillId="8" borderId="6" xfId="0" applyFill="1" applyBorder="1"/>
    <xf numFmtId="169" fontId="13" fillId="8" borderId="6" xfId="0" applyNumberFormat="1" applyFont="1" applyFill="1" applyBorder="1" applyAlignment="1">
      <alignment horizontal="right" vertical="center"/>
    </xf>
    <xf numFmtId="0" fontId="13" fillId="16" borderId="18" xfId="0" applyFont="1" applyFill="1" applyBorder="1" applyAlignment="1">
      <alignment horizontal="left" vertical="top"/>
    </xf>
    <xf numFmtId="0" fontId="0" fillId="16" borderId="20" xfId="0" applyFill="1" applyBorder="1"/>
    <xf numFmtId="166" fontId="13" fillId="16" borderId="22" xfId="0" applyNumberFormat="1" applyFont="1" applyFill="1" applyBorder="1" applyAlignment="1">
      <alignment horizontal="right" vertical="center"/>
    </xf>
    <xf numFmtId="0" fontId="13" fillId="16" borderId="31" xfId="0" applyFont="1" applyFill="1" applyBorder="1" applyAlignment="1">
      <alignment horizontal="center" vertical="center" wrapText="1"/>
    </xf>
    <xf numFmtId="49" fontId="13" fillId="16" borderId="31" xfId="0" applyNumberFormat="1" applyFont="1" applyFill="1" applyBorder="1" applyAlignment="1">
      <alignment horizontal="left" vertical="top" wrapText="1"/>
    </xf>
    <xf numFmtId="4" fontId="13" fillId="16" borderId="31" xfId="0" applyNumberFormat="1" applyFont="1" applyFill="1" applyBorder="1" applyAlignment="1">
      <alignment horizontal="right" vertical="center"/>
    </xf>
    <xf numFmtId="167" fontId="13" fillId="16" borderId="31" xfId="2" applyNumberFormat="1" applyFont="1" applyFill="1" applyBorder="1" applyAlignment="1">
      <alignment horizontal="right" vertical="center"/>
    </xf>
    <xf numFmtId="164" fontId="13" fillId="0" borderId="57" xfId="0" applyNumberFormat="1" applyFont="1" applyBorder="1" applyAlignment="1">
      <alignment horizontal="left" vertical="top" wrapText="1"/>
    </xf>
    <xf numFmtId="164" fontId="13" fillId="0" borderId="41" xfId="0" applyNumberFormat="1" applyFont="1" applyBorder="1" applyAlignment="1">
      <alignment horizontal="left" vertical="top" wrapText="1"/>
    </xf>
    <xf numFmtId="167" fontId="13" fillId="0" borderId="45" xfId="2" applyNumberFormat="1" applyFont="1" applyFill="1" applyBorder="1" applyAlignment="1">
      <alignment horizontal="right" vertical="center"/>
    </xf>
    <xf numFmtId="167" fontId="13" fillId="0" borderId="46" xfId="2" applyNumberFormat="1" applyFont="1" applyFill="1" applyBorder="1" applyAlignment="1">
      <alignment horizontal="right" vertical="center"/>
    </xf>
    <xf numFmtId="167" fontId="13" fillId="0" borderId="47" xfId="2" applyNumberFormat="1" applyFont="1" applyFill="1" applyBorder="1" applyAlignment="1">
      <alignment horizontal="right" vertical="center"/>
    </xf>
    <xf numFmtId="4" fontId="13" fillId="0" borderId="23" xfId="1" applyNumberFormat="1" applyFont="1" applyFill="1" applyBorder="1" applyAlignment="1">
      <alignment horizontal="right" vertical="center"/>
    </xf>
    <xf numFmtId="4" fontId="13" fillId="0" borderId="25" xfId="1" applyNumberFormat="1" applyFont="1" applyFill="1" applyBorder="1" applyAlignment="1">
      <alignment horizontal="right" vertical="center"/>
    </xf>
    <xf numFmtId="4" fontId="13" fillId="0" borderId="33" xfId="0" applyNumberFormat="1" applyFont="1" applyBorder="1" applyAlignment="1">
      <alignment horizontal="right" vertical="center"/>
    </xf>
    <xf numFmtId="4" fontId="13" fillId="0" borderId="34" xfId="0" applyNumberFormat="1" applyFont="1" applyBorder="1" applyAlignment="1">
      <alignment horizontal="right" vertical="center"/>
    </xf>
    <xf numFmtId="4" fontId="13" fillId="0" borderId="68" xfId="0" applyNumberFormat="1" applyFont="1" applyBorder="1" applyAlignment="1">
      <alignment horizontal="right" vertical="center"/>
    </xf>
    <xf numFmtId="4" fontId="13" fillId="0" borderId="22" xfId="0" applyNumberFormat="1" applyFont="1" applyBorder="1" applyAlignment="1">
      <alignment horizontal="right" vertical="center"/>
    </xf>
    <xf numFmtId="4" fontId="13" fillId="0" borderId="69" xfId="0" applyNumberFormat="1" applyFont="1" applyBorder="1" applyAlignment="1">
      <alignment horizontal="right" vertical="center"/>
    </xf>
    <xf numFmtId="167" fontId="13" fillId="0" borderId="48" xfId="2" applyNumberFormat="1" applyFont="1" applyFill="1" applyBorder="1" applyAlignment="1">
      <alignment horizontal="right" vertical="center"/>
    </xf>
    <xf numFmtId="49" fontId="13" fillId="0" borderId="10" xfId="0" applyNumberFormat="1" applyFont="1" applyBorder="1" applyAlignment="1">
      <alignment horizontal="left" vertical="top" wrapText="1"/>
    </xf>
    <xf numFmtId="4" fontId="13" fillId="0" borderId="61" xfId="0" applyNumberFormat="1" applyFont="1" applyBorder="1" applyAlignment="1">
      <alignment horizontal="right" vertical="center"/>
    </xf>
    <xf numFmtId="4" fontId="13" fillId="0" borderId="62" xfId="0" applyNumberFormat="1" applyFont="1" applyBorder="1" applyAlignment="1">
      <alignment horizontal="right" vertical="center"/>
    </xf>
    <xf numFmtId="4" fontId="13" fillId="0" borderId="63" xfId="0" applyNumberFormat="1" applyFont="1" applyBorder="1" applyAlignment="1">
      <alignment horizontal="right" vertical="center"/>
    </xf>
    <xf numFmtId="167" fontId="13" fillId="0" borderId="50" xfId="2" applyNumberFormat="1" applyFont="1" applyFill="1" applyBorder="1" applyAlignment="1">
      <alignment horizontal="right" vertical="center"/>
    </xf>
    <xf numFmtId="2" fontId="13" fillId="16" borderId="18" xfId="0" applyNumberFormat="1" applyFont="1" applyFill="1" applyBorder="1" applyAlignment="1">
      <alignment horizontal="right" vertical="center"/>
    </xf>
    <xf numFmtId="166" fontId="13" fillId="16" borderId="18" xfId="1" applyNumberFormat="1" applyFont="1" applyFill="1" applyBorder="1" applyAlignment="1">
      <alignment horizontal="right" vertical="center"/>
    </xf>
    <xf numFmtId="169" fontId="13" fillId="16" borderId="18" xfId="0" applyNumberFormat="1" applyFont="1" applyFill="1" applyBorder="1" applyAlignment="1">
      <alignment horizontal="right" vertical="center"/>
    </xf>
    <xf numFmtId="2" fontId="13" fillId="16" borderId="22" xfId="1" applyNumberFormat="1" applyFont="1" applyFill="1" applyBorder="1" applyAlignment="1">
      <alignment horizontal="right" vertical="center"/>
    </xf>
    <xf numFmtId="166" fontId="13" fillId="16" borderId="31" xfId="0" applyNumberFormat="1" applyFont="1" applyFill="1" applyBorder="1" applyAlignment="1">
      <alignment horizontal="right" vertical="center"/>
    </xf>
    <xf numFmtId="166" fontId="13" fillId="16" borderId="31" xfId="1" applyNumberFormat="1" applyFont="1" applyFill="1" applyBorder="1" applyAlignment="1">
      <alignment horizontal="right" vertical="center"/>
    </xf>
    <xf numFmtId="167" fontId="13" fillId="0" borderId="26" xfId="2" applyNumberFormat="1" applyFont="1" applyFill="1" applyBorder="1" applyAlignment="1">
      <alignment horizontal="right" vertical="center"/>
    </xf>
    <xf numFmtId="49" fontId="13" fillId="0" borderId="67" xfId="0" applyNumberFormat="1" applyFont="1" applyBorder="1" applyAlignment="1">
      <alignment horizontal="left" vertical="top" wrapText="1"/>
    </xf>
    <xf numFmtId="0" fontId="13" fillId="0" borderId="65" xfId="0" applyFont="1" applyBorder="1" applyAlignment="1">
      <alignment horizontal="left" vertical="top" wrapText="1"/>
    </xf>
    <xf numFmtId="0" fontId="13" fillId="0" borderId="66" xfId="0" applyFont="1" applyBorder="1" applyAlignment="1">
      <alignment horizontal="left" vertical="top" wrapText="1"/>
    </xf>
    <xf numFmtId="49" fontId="13" fillId="0" borderId="66" xfId="0" applyNumberFormat="1" applyFont="1" applyBorder="1" applyAlignment="1">
      <alignment horizontal="left" vertical="top" wrapText="1"/>
    </xf>
    <xf numFmtId="0" fontId="0" fillId="0" borderId="4" xfId="0" applyBorder="1"/>
    <xf numFmtId="0" fontId="4" fillId="0" borderId="0" xfId="20" applyAlignment="1">
      <alignment horizontal="right"/>
    </xf>
    <xf numFmtId="0" fontId="13" fillId="0" borderId="11" xfId="0" applyFont="1" applyBorder="1" applyAlignment="1">
      <alignment horizontal="left" vertical="top" wrapText="1"/>
    </xf>
    <xf numFmtId="167" fontId="13" fillId="0" borderId="66" xfId="2" applyNumberFormat="1" applyFont="1" applyFill="1" applyBorder="1" applyAlignment="1">
      <alignment horizontal="right" vertical="center"/>
    </xf>
    <xf numFmtId="0" fontId="13" fillId="4" borderId="37" xfId="0" applyFont="1" applyFill="1" applyBorder="1" applyAlignment="1">
      <alignment horizontal="center" vertical="center" wrapText="1"/>
    </xf>
    <xf numFmtId="49" fontId="13" fillId="4" borderId="37" xfId="0" applyNumberFormat="1" applyFont="1" applyFill="1" applyBorder="1" applyAlignment="1">
      <alignment horizontal="left" vertical="top" wrapText="1"/>
    </xf>
    <xf numFmtId="4" fontId="13" fillId="4" borderId="37" xfId="0" applyNumberFormat="1" applyFont="1" applyFill="1" applyBorder="1" applyAlignment="1">
      <alignment horizontal="right" vertical="center"/>
    </xf>
    <xf numFmtId="167" fontId="13" fillId="4" borderId="37" xfId="2" applyNumberFormat="1" applyFont="1" applyFill="1" applyBorder="1" applyAlignment="1">
      <alignment horizontal="right" vertical="center"/>
    </xf>
    <xf numFmtId="0" fontId="0" fillId="4" borderId="6" xfId="0" quotePrefix="1" applyFill="1" applyBorder="1"/>
    <xf numFmtId="0" fontId="4" fillId="4" borderId="6" xfId="20" applyFill="1" applyBorder="1" applyAlignment="1">
      <alignment horizontal="right"/>
    </xf>
    <xf numFmtId="10" fontId="13" fillId="4" borderId="31" xfId="3" applyNumberFormat="1" applyFont="1" applyFill="1" applyBorder="1" applyAlignment="1">
      <alignment horizontal="right" vertical="center"/>
    </xf>
    <xf numFmtId="166" fontId="13" fillId="4" borderId="31" xfId="0" applyNumberFormat="1" applyFont="1" applyFill="1" applyBorder="1" applyAlignment="1">
      <alignment horizontal="right" vertical="center"/>
    </xf>
    <xf numFmtId="0" fontId="13" fillId="4" borderId="22" xfId="0" applyFont="1" applyFill="1" applyBorder="1" applyAlignment="1">
      <alignment horizontal="left" vertical="center" wrapText="1"/>
    </xf>
    <xf numFmtId="49" fontId="13" fillId="4" borderId="22" xfId="0" applyNumberFormat="1" applyFont="1" applyFill="1" applyBorder="1" applyAlignment="1">
      <alignment horizontal="left" vertical="top" wrapText="1"/>
    </xf>
    <xf numFmtId="4" fontId="13" fillId="4" borderId="22" xfId="1" applyNumberFormat="1" applyFont="1" applyFill="1" applyBorder="1" applyAlignment="1">
      <alignment horizontal="right" vertical="center"/>
    </xf>
    <xf numFmtId="0" fontId="0" fillId="4" borderId="6" xfId="0" applyFill="1" applyBorder="1" applyAlignment="1">
      <alignment horizontal="left"/>
    </xf>
    <xf numFmtId="10" fontId="13" fillId="4" borderId="22" xfId="3" applyNumberFormat="1" applyFont="1" applyFill="1" applyBorder="1" applyAlignment="1">
      <alignment horizontal="right" vertical="center"/>
    </xf>
    <xf numFmtId="0" fontId="6" fillId="4" borderId="6" xfId="20" applyFont="1" applyFill="1" applyBorder="1" applyAlignment="1">
      <alignment vertical="top"/>
    </xf>
    <xf numFmtId="0" fontId="13" fillId="4" borderId="45" xfId="2" applyNumberFormat="1" applyFont="1" applyFill="1" applyBorder="1" applyAlignment="1">
      <alignment horizontal="right" vertical="center"/>
    </xf>
    <xf numFmtId="0" fontId="0" fillId="4" borderId="36" xfId="0" applyFill="1" applyBorder="1"/>
    <xf numFmtId="10" fontId="4" fillId="4" borderId="6" xfId="3" applyNumberFormat="1" applyFont="1" applyFill="1" applyBorder="1" applyAlignment="1"/>
    <xf numFmtId="169" fontId="13" fillId="4" borderId="6" xfId="0" applyNumberFormat="1" applyFont="1" applyFill="1" applyBorder="1" applyAlignment="1">
      <alignment horizontal="left" vertical="center"/>
    </xf>
    <xf numFmtId="0" fontId="4" fillId="4" borderId="18" xfId="20" applyFill="1" applyBorder="1" applyAlignment="1">
      <alignment horizontal="right"/>
    </xf>
    <xf numFmtId="0" fontId="13" fillId="4" borderId="12" xfId="2" applyNumberFormat="1" applyFont="1" applyFill="1" applyBorder="1" applyAlignment="1">
      <alignment horizontal="right" vertical="center"/>
    </xf>
    <xf numFmtId="0" fontId="13" fillId="4" borderId="46" xfId="2" applyNumberFormat="1" applyFont="1" applyFill="1" applyBorder="1" applyAlignment="1">
      <alignment horizontal="right" vertical="center"/>
    </xf>
    <xf numFmtId="0" fontId="4" fillId="4" borderId="20" xfId="20" applyFill="1" applyBorder="1"/>
    <xf numFmtId="166" fontId="13" fillId="4" borderId="13" xfId="0" applyNumberFormat="1" applyFont="1" applyFill="1" applyBorder="1" applyAlignment="1">
      <alignment horizontal="right" vertical="center"/>
    </xf>
    <xf numFmtId="169" fontId="13" fillId="4" borderId="47" xfId="0" applyNumberFormat="1" applyFont="1" applyFill="1" applyBorder="1" applyAlignment="1">
      <alignment horizontal="right" vertical="center"/>
    </xf>
    <xf numFmtId="10" fontId="13" fillId="4" borderId="20" xfId="3" applyNumberFormat="1" applyFont="1" applyFill="1" applyBorder="1" applyAlignment="1">
      <alignment horizontal="right" vertical="center"/>
    </xf>
    <xf numFmtId="169" fontId="13" fillId="4" borderId="12" xfId="0" applyNumberFormat="1" applyFont="1" applyFill="1" applyBorder="1" applyAlignment="1">
      <alignment horizontal="right" vertical="center"/>
    </xf>
    <xf numFmtId="169" fontId="13" fillId="4" borderId="20" xfId="0" applyNumberFormat="1" applyFont="1" applyFill="1" applyBorder="1" applyAlignment="1">
      <alignment horizontal="right" vertical="center"/>
    </xf>
    <xf numFmtId="166" fontId="13" fillId="4" borderId="9" xfId="0" applyNumberFormat="1" applyFont="1" applyFill="1" applyBorder="1" applyAlignment="1">
      <alignment horizontal="right" vertical="center"/>
    </xf>
    <xf numFmtId="0" fontId="13" fillId="4" borderId="52" xfId="0" applyFont="1" applyFill="1" applyBorder="1" applyAlignment="1">
      <alignment horizontal="left" vertical="top"/>
    </xf>
    <xf numFmtId="0" fontId="4" fillId="4" borderId="36" xfId="20" applyFill="1" applyBorder="1"/>
    <xf numFmtId="10" fontId="4" fillId="4" borderId="22" xfId="3" applyNumberFormat="1" applyFont="1" applyFill="1" applyBorder="1" applyAlignment="1"/>
    <xf numFmtId="166" fontId="13" fillId="4" borderId="52" xfId="0" applyNumberFormat="1" applyFont="1" applyFill="1" applyBorder="1" applyAlignment="1">
      <alignment horizontal="right" vertical="center"/>
    </xf>
    <xf numFmtId="166" fontId="13" fillId="4" borderId="36" xfId="0" applyNumberFormat="1" applyFont="1" applyFill="1" applyBorder="1" applyAlignment="1">
      <alignment horizontal="right" vertical="center"/>
    </xf>
    <xf numFmtId="0" fontId="0" fillId="0" borderId="22" xfId="0" applyBorder="1"/>
    <xf numFmtId="0" fontId="4" fillId="4" borderId="6" xfId="20" applyFill="1" applyBorder="1"/>
    <xf numFmtId="0" fontId="13" fillId="4" borderId="31" xfId="0" applyFont="1" applyFill="1" applyBorder="1" applyAlignment="1">
      <alignment horizontal="center" vertical="center" wrapText="1"/>
    </xf>
    <xf numFmtId="49" fontId="13" fillId="4" borderId="31" xfId="0" applyNumberFormat="1" applyFont="1" applyFill="1" applyBorder="1" applyAlignment="1">
      <alignment horizontal="left" vertical="top" wrapText="1"/>
    </xf>
    <xf numFmtId="167" fontId="13" fillId="4" borderId="31" xfId="2" applyNumberFormat="1" applyFont="1" applyFill="1" applyBorder="1" applyAlignment="1">
      <alignment horizontal="right" vertical="center"/>
    </xf>
    <xf numFmtId="49" fontId="13" fillId="0" borderId="19" xfId="0" applyNumberFormat="1" applyFont="1" applyBorder="1" applyAlignment="1">
      <alignment horizontal="left" vertical="top" wrapText="1"/>
    </xf>
    <xf numFmtId="49" fontId="13" fillId="0" borderId="43" xfId="0" applyNumberFormat="1" applyFont="1" applyBorder="1" applyAlignment="1">
      <alignment horizontal="left" vertical="top" wrapText="1"/>
    </xf>
    <xf numFmtId="49" fontId="13" fillId="0" borderId="35" xfId="0" applyNumberFormat="1" applyFont="1" applyBorder="1" applyAlignment="1">
      <alignment horizontal="left" vertical="top" wrapText="1"/>
    </xf>
    <xf numFmtId="0" fontId="13" fillId="0" borderId="49" xfId="0" applyFont="1" applyBorder="1" applyAlignment="1">
      <alignment horizontal="left" vertical="center" wrapText="1"/>
    </xf>
    <xf numFmtId="0" fontId="0" fillId="0" borderId="62" xfId="0" applyBorder="1"/>
    <xf numFmtId="0" fontId="0" fillId="0" borderId="64" xfId="0" applyBorder="1"/>
    <xf numFmtId="49" fontId="13" fillId="8" borderId="22" xfId="0" applyNumberFormat="1" applyFont="1" applyFill="1" applyBorder="1" applyAlignment="1">
      <alignment horizontal="left" vertical="top" wrapText="1"/>
    </xf>
    <xf numFmtId="0" fontId="13" fillId="8" borderId="6" xfId="20" applyFont="1" applyFill="1" applyBorder="1" applyAlignment="1">
      <alignment horizontal="left" vertical="top"/>
    </xf>
    <xf numFmtId="166" fontId="6" fillId="8" borderId="6" xfId="20" applyNumberFormat="1" applyFont="1" applyFill="1" applyBorder="1" applyAlignment="1">
      <alignment horizontal="right" vertical="center"/>
    </xf>
    <xf numFmtId="0" fontId="13" fillId="8" borderId="31" xfId="0" applyFont="1" applyFill="1" applyBorder="1" applyAlignment="1">
      <alignment horizontal="left" vertical="center"/>
    </xf>
    <xf numFmtId="49" fontId="13" fillId="8" borderId="31" xfId="0" applyNumberFormat="1" applyFont="1" applyFill="1" applyBorder="1" applyAlignment="1">
      <alignment horizontal="left" vertical="top" wrapText="1"/>
    </xf>
    <xf numFmtId="166" fontId="6" fillId="8" borderId="20" xfId="7" applyNumberFormat="1" applyFont="1" applyFill="1" applyBorder="1" applyAlignment="1">
      <alignment horizontal="right" vertical="center"/>
    </xf>
    <xf numFmtId="0" fontId="0" fillId="8" borderId="20" xfId="0" applyFill="1" applyBorder="1"/>
    <xf numFmtId="0" fontId="0" fillId="15" borderId="6" xfId="0" applyFill="1" applyBorder="1" applyAlignment="1">
      <alignment horizontal="left" vertical="top"/>
    </xf>
    <xf numFmtId="0" fontId="13" fillId="15" borderId="22" xfId="0" applyFont="1" applyFill="1" applyBorder="1" applyAlignment="1">
      <alignment horizontal="center" vertical="center" wrapText="1"/>
    </xf>
    <xf numFmtId="49" fontId="13" fillId="15" borderId="22" xfId="0" applyNumberFormat="1" applyFont="1" applyFill="1" applyBorder="1" applyAlignment="1">
      <alignment horizontal="left" vertical="top" wrapText="1"/>
    </xf>
    <xf numFmtId="167" fontId="13" fillId="15" borderId="22" xfId="2" applyNumberFormat="1" applyFont="1" applyFill="1" applyBorder="1" applyAlignment="1">
      <alignment horizontal="right" vertical="center"/>
    </xf>
    <xf numFmtId="166" fontId="13" fillId="15" borderId="22" xfId="0" applyNumberFormat="1" applyFont="1" applyFill="1" applyBorder="1" applyAlignment="1">
      <alignment horizontal="right" vertical="center"/>
    </xf>
    <xf numFmtId="0" fontId="4" fillId="15" borderId="6" xfId="20" applyFill="1" applyBorder="1"/>
    <xf numFmtId="10" fontId="4" fillId="15" borderId="6" xfId="3" applyNumberFormat="1" applyFont="1" applyFill="1" applyBorder="1" applyAlignment="1"/>
    <xf numFmtId="166" fontId="13" fillId="15" borderId="6" xfId="0" applyNumberFormat="1" applyFont="1" applyFill="1" applyBorder="1" applyAlignment="1">
      <alignment horizontal="right" vertical="center"/>
    </xf>
    <xf numFmtId="0" fontId="13" fillId="15" borderId="6" xfId="20" applyFont="1" applyFill="1" applyBorder="1" applyAlignment="1">
      <alignment horizontal="left" vertical="top"/>
    </xf>
    <xf numFmtId="0" fontId="13" fillId="15" borderId="18" xfId="0" applyFont="1" applyFill="1" applyBorder="1" applyAlignment="1">
      <alignment horizontal="left" vertical="top"/>
    </xf>
    <xf numFmtId="169" fontId="13" fillId="15" borderId="6" xfId="0" applyNumberFormat="1" applyFont="1" applyFill="1" applyBorder="1" applyAlignment="1">
      <alignment horizontal="right" vertical="center"/>
    </xf>
    <xf numFmtId="0" fontId="13" fillId="15" borderId="52" xfId="0" applyFont="1" applyFill="1" applyBorder="1" applyAlignment="1">
      <alignment horizontal="left" vertical="top"/>
    </xf>
    <xf numFmtId="0" fontId="13" fillId="15" borderId="31" xfId="0" applyFont="1" applyFill="1" applyBorder="1" applyAlignment="1">
      <alignment horizontal="left" vertical="center"/>
    </xf>
    <xf numFmtId="49" fontId="13" fillId="15" borderId="31" xfId="0" applyNumberFormat="1" applyFont="1" applyFill="1" applyBorder="1" applyAlignment="1">
      <alignment horizontal="left" vertical="top" wrapText="1"/>
    </xf>
    <xf numFmtId="167" fontId="13" fillId="15" borderId="31" xfId="2" applyNumberFormat="1" applyFont="1" applyFill="1" applyBorder="1" applyAlignment="1">
      <alignment horizontal="right" vertical="center"/>
    </xf>
    <xf numFmtId="0" fontId="0" fillId="15" borderId="20" xfId="0" applyFill="1" applyBorder="1"/>
    <xf numFmtId="0" fontId="13" fillId="8" borderId="6" xfId="0" applyFont="1" applyFill="1" applyBorder="1" applyAlignment="1">
      <alignment horizontal="left" vertical="center"/>
    </xf>
    <xf numFmtId="0" fontId="13" fillId="8" borderId="6" xfId="2" applyNumberFormat="1" applyFont="1" applyFill="1" applyBorder="1" applyAlignment="1">
      <alignment horizontal="right" vertical="center"/>
    </xf>
    <xf numFmtId="0" fontId="13" fillId="8" borderId="22" xfId="0" applyFont="1" applyFill="1" applyBorder="1" applyAlignment="1">
      <alignment horizontal="left" vertical="center"/>
    </xf>
    <xf numFmtId="0" fontId="13" fillId="8" borderId="22" xfId="2" applyNumberFormat="1" applyFont="1" applyFill="1" applyBorder="1" applyAlignment="1">
      <alignment horizontal="right" vertical="center"/>
    </xf>
    <xf numFmtId="169" fontId="13" fillId="8" borderId="22" xfId="0" applyNumberFormat="1" applyFont="1" applyFill="1" applyBorder="1" applyAlignment="1">
      <alignment horizontal="right" vertical="center"/>
    </xf>
    <xf numFmtId="1" fontId="13" fillId="8" borderId="20" xfId="0" applyNumberFormat="1" applyFont="1" applyFill="1" applyBorder="1" applyAlignment="1">
      <alignment horizontal="right" vertical="center" wrapText="1"/>
    </xf>
    <xf numFmtId="1" fontId="13" fillId="8" borderId="6" xfId="0" applyNumberFormat="1" applyFont="1" applyFill="1" applyBorder="1" applyAlignment="1">
      <alignment horizontal="right" vertical="center" wrapText="1"/>
    </xf>
    <xf numFmtId="1" fontId="13" fillId="8" borderId="31" xfId="0" applyNumberFormat="1" applyFont="1" applyFill="1" applyBorder="1" applyAlignment="1">
      <alignment horizontal="right" vertical="center" wrapText="1"/>
    </xf>
    <xf numFmtId="0" fontId="13" fillId="11" borderId="18" xfId="0" applyFont="1" applyFill="1" applyBorder="1" applyAlignment="1">
      <alignment horizontal="left" vertical="top"/>
    </xf>
    <xf numFmtId="0" fontId="13" fillId="11" borderId="6" xfId="0" applyFont="1" applyFill="1" applyBorder="1" applyAlignment="1">
      <alignment horizontal="left" vertical="top"/>
    </xf>
    <xf numFmtId="0" fontId="13" fillId="11" borderId="6" xfId="0" applyFont="1" applyFill="1" applyBorder="1" applyAlignment="1">
      <alignment horizontal="left" vertical="center" wrapText="1"/>
    </xf>
    <xf numFmtId="0" fontId="13" fillId="11" borderId="22" xfId="0" applyFont="1" applyFill="1" applyBorder="1" applyAlignment="1">
      <alignment horizontal="left" vertical="center" wrapText="1"/>
    </xf>
    <xf numFmtId="0" fontId="13" fillId="11" borderId="31" xfId="0" applyFont="1" applyFill="1" applyBorder="1" applyAlignment="1">
      <alignment horizontal="left" vertical="center" wrapText="1"/>
    </xf>
    <xf numFmtId="166" fontId="13" fillId="15" borderId="18" xfId="0" applyNumberFormat="1" applyFont="1" applyFill="1" applyBorder="1" applyAlignment="1">
      <alignment horizontal="right" vertical="center"/>
    </xf>
    <xf numFmtId="166" fontId="6" fillId="15" borderId="31" xfId="20" applyNumberFormat="1" applyFont="1" applyFill="1" applyBorder="1" applyAlignment="1">
      <alignment horizontal="right" vertical="center"/>
    </xf>
    <xf numFmtId="0" fontId="14" fillId="15" borderId="6" xfId="0" applyFont="1" applyFill="1" applyBorder="1"/>
    <xf numFmtId="10" fontId="14" fillId="15" borderId="6" xfId="3" applyNumberFormat="1" applyFont="1" applyFill="1" applyBorder="1"/>
    <xf numFmtId="166" fontId="6" fillId="15" borderId="54" xfId="7" applyNumberFormat="1" applyFont="1" applyFill="1" applyBorder="1" applyAlignment="1">
      <alignment horizontal="right" vertical="center"/>
    </xf>
    <xf numFmtId="0" fontId="13" fillId="11" borderId="6" xfId="0" applyFont="1" applyFill="1" applyBorder="1"/>
    <xf numFmtId="0" fontId="18" fillId="0" borderId="0" xfId="20" applyFont="1" applyAlignment="1">
      <alignment horizontal="left" vertical="top"/>
    </xf>
    <xf numFmtId="0" fontId="13" fillId="0" borderId="0" xfId="20" applyFont="1" applyAlignment="1">
      <alignment horizontal="left" vertical="top"/>
    </xf>
    <xf numFmtId="1" fontId="13" fillId="8" borderId="18" xfId="0" applyNumberFormat="1" applyFont="1" applyFill="1" applyBorder="1" applyAlignment="1">
      <alignment horizontal="right" vertical="center" wrapText="1"/>
    </xf>
    <xf numFmtId="166" fontId="6" fillId="8" borderId="36" xfId="7" applyNumberFormat="1" applyFont="1" applyFill="1" applyBorder="1" applyAlignment="1">
      <alignment horizontal="right" vertical="center"/>
    </xf>
    <xf numFmtId="166" fontId="6" fillId="8" borderId="22" xfId="20" applyNumberFormat="1" applyFont="1" applyFill="1" applyBorder="1" applyAlignment="1">
      <alignment horizontal="right" vertical="center"/>
    </xf>
    <xf numFmtId="166" fontId="6" fillId="8" borderId="17" xfId="20" applyNumberFormat="1" applyFont="1" applyFill="1" applyBorder="1" applyAlignment="1">
      <alignment horizontal="right" vertical="center"/>
    </xf>
    <xf numFmtId="166" fontId="6" fillId="0" borderId="61" xfId="20" applyNumberFormat="1" applyFont="1" applyBorder="1" applyAlignment="1">
      <alignment horizontal="right" vertical="center"/>
    </xf>
    <xf numFmtId="166" fontId="6" fillId="0" borderId="64" xfId="20" applyNumberFormat="1" applyFont="1" applyBorder="1" applyAlignment="1">
      <alignment horizontal="right" vertical="center"/>
    </xf>
    <xf numFmtId="166" fontId="6" fillId="0" borderId="50" xfId="20" applyNumberFormat="1" applyFont="1" applyBorder="1" applyAlignment="1">
      <alignment horizontal="right" vertical="center"/>
    </xf>
    <xf numFmtId="0" fontId="0" fillId="8" borderId="18" xfId="0" applyFill="1" applyBorder="1"/>
    <xf numFmtId="0" fontId="13" fillId="11" borderId="37" xfId="0" applyFont="1" applyFill="1" applyBorder="1" applyAlignment="1">
      <alignment horizontal="left" vertical="center" wrapText="1"/>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57" xfId="0" applyFont="1" applyBorder="1" applyAlignment="1">
      <alignment horizontal="left" vertical="center" wrapText="1"/>
    </xf>
    <xf numFmtId="9" fontId="13" fillId="11" borderId="6" xfId="3" applyFont="1" applyFill="1" applyBorder="1" applyAlignment="1">
      <alignment horizontal="right" vertical="center"/>
    </xf>
    <xf numFmtId="0" fontId="13" fillId="11" borderId="18" xfId="0" applyFont="1" applyFill="1" applyBorder="1" applyAlignment="1">
      <alignment horizontal="right" vertical="center" wrapText="1"/>
    </xf>
    <xf numFmtId="44" fontId="0" fillId="0" borderId="40" xfId="2" applyFont="1" applyFill="1" applyBorder="1"/>
    <xf numFmtId="44" fontId="0" fillId="0" borderId="40" xfId="0" applyNumberFormat="1" applyBorder="1"/>
    <xf numFmtId="44" fontId="0" fillId="0" borderId="39" xfId="0" applyNumberFormat="1" applyBorder="1"/>
    <xf numFmtId="167" fontId="13" fillId="15" borderId="37" xfId="2" applyNumberFormat="1" applyFont="1" applyFill="1" applyBorder="1" applyAlignment="1">
      <alignment horizontal="right" vertical="center"/>
    </xf>
    <xf numFmtId="10" fontId="13" fillId="0" borderId="74" xfId="3" applyNumberFormat="1" applyFont="1" applyFill="1" applyBorder="1" applyAlignment="1">
      <alignment horizontal="right" vertical="center"/>
    </xf>
    <xf numFmtId="0" fontId="0" fillId="11" borderId="20" xfId="0" applyFill="1" applyBorder="1"/>
    <xf numFmtId="0" fontId="13" fillId="11" borderId="20" xfId="0" applyFont="1" applyFill="1" applyBorder="1" applyAlignment="1">
      <alignment horizontal="left" vertical="center" wrapText="1"/>
    </xf>
    <xf numFmtId="4" fontId="13" fillId="11" borderId="18" xfId="0" applyNumberFormat="1" applyFont="1" applyFill="1" applyBorder="1" applyAlignment="1">
      <alignment horizontal="right" vertical="center"/>
    </xf>
    <xf numFmtId="44" fontId="0" fillId="0" borderId="75" xfId="2" applyFont="1" applyFill="1" applyBorder="1"/>
    <xf numFmtId="44" fontId="0" fillId="0" borderId="42" xfId="0" applyNumberFormat="1" applyBorder="1"/>
    <xf numFmtId="0" fontId="13" fillId="0" borderId="19" xfId="20" applyFont="1" applyBorder="1" applyAlignment="1">
      <alignment horizontal="left" vertical="top"/>
    </xf>
    <xf numFmtId="0" fontId="13" fillId="15" borderId="37" xfId="0" applyFont="1" applyFill="1" applyBorder="1" applyAlignment="1">
      <alignment horizontal="left" vertical="center"/>
    </xf>
    <xf numFmtId="0" fontId="0" fillId="0" borderId="65" xfId="0" applyBorder="1"/>
    <xf numFmtId="0" fontId="0" fillId="0" borderId="66" xfId="0" applyBorder="1"/>
    <xf numFmtId="0" fontId="13" fillId="0" borderId="1" xfId="20" applyFont="1" applyBorder="1" applyAlignment="1">
      <alignment horizontal="left" vertical="top"/>
    </xf>
    <xf numFmtId="0" fontId="0" fillId="0" borderId="2" xfId="0" applyBorder="1"/>
    <xf numFmtId="0" fontId="0" fillId="0" borderId="3" xfId="0" applyBorder="1"/>
    <xf numFmtId="0" fontId="13" fillId="0" borderId="4" xfId="20" applyFont="1" applyBorder="1" applyAlignment="1">
      <alignment horizontal="left" vertical="top"/>
    </xf>
    <xf numFmtId="0" fontId="0" fillId="0" borderId="5" xfId="0" applyBorder="1"/>
    <xf numFmtId="0" fontId="13" fillId="0" borderId="55" xfId="20" applyFont="1" applyBorder="1" applyAlignment="1">
      <alignment horizontal="left" vertical="top"/>
    </xf>
    <xf numFmtId="0" fontId="0" fillId="0" borderId="56" xfId="0" applyBorder="1"/>
    <xf numFmtId="0" fontId="13" fillId="0" borderId="7" xfId="20" applyFont="1" applyBorder="1" applyAlignment="1">
      <alignment horizontal="left" vertical="top"/>
    </xf>
    <xf numFmtId="0" fontId="0" fillId="0" borderId="9" xfId="0" applyBorder="1"/>
    <xf numFmtId="166" fontId="21" fillId="0" borderId="23" xfId="20" applyNumberFormat="1" applyFont="1" applyBorder="1" applyAlignment="1">
      <alignment horizontal="right" vertical="center"/>
    </xf>
    <xf numFmtId="166" fontId="21" fillId="0" borderId="26" xfId="20" applyNumberFormat="1" applyFont="1" applyBorder="1" applyAlignment="1">
      <alignment horizontal="right" vertical="center"/>
    </xf>
    <xf numFmtId="166" fontId="21" fillId="0" borderId="45" xfId="20" applyNumberFormat="1" applyFont="1" applyBorder="1" applyAlignment="1">
      <alignment horizontal="right" vertical="center"/>
    </xf>
    <xf numFmtId="166" fontId="18" fillId="0" borderId="27" xfId="0" applyNumberFormat="1" applyFont="1" applyBorder="1" applyAlignment="1">
      <alignment horizontal="right" vertical="center" wrapText="1"/>
    </xf>
    <xf numFmtId="166" fontId="18" fillId="0" borderId="21" xfId="0" applyNumberFormat="1" applyFont="1" applyBorder="1" applyAlignment="1">
      <alignment horizontal="right" vertical="center" wrapText="1"/>
    </xf>
    <xf numFmtId="166" fontId="18" fillId="0" borderId="28" xfId="0" applyNumberFormat="1" applyFont="1" applyBorder="1" applyAlignment="1">
      <alignment horizontal="right" vertical="center" wrapText="1"/>
    </xf>
    <xf numFmtId="0" fontId="24" fillId="0" borderId="0" xfId="0" applyFont="1"/>
    <xf numFmtId="0" fontId="15" fillId="0" borderId="0" xfId="20" applyFont="1"/>
    <xf numFmtId="0" fontId="4" fillId="0" borderId="0" xfId="20" applyAlignment="1">
      <alignment horizontal="center"/>
    </xf>
    <xf numFmtId="0" fontId="4" fillId="0" borderId="0" xfId="19" applyFont="1"/>
    <xf numFmtId="49" fontId="24" fillId="0" borderId="0" xfId="0" quotePrefix="1" applyNumberFormat="1" applyFont="1"/>
    <xf numFmtId="49" fontId="24" fillId="0" borderId="0" xfId="0" applyNumberFormat="1" applyFont="1"/>
    <xf numFmtId="0" fontId="13" fillId="11" borderId="6" xfId="0" applyFont="1" applyFill="1" applyBorder="1" applyAlignment="1">
      <alignment horizontal="left" vertical="center"/>
    </xf>
    <xf numFmtId="0" fontId="4" fillId="0" borderId="0" xfId="0" applyFont="1" applyAlignment="1">
      <alignment wrapText="1"/>
    </xf>
    <xf numFmtId="0" fontId="3" fillId="0" borderId="0" xfId="0" applyFont="1" applyAlignment="1">
      <alignment horizontal="center"/>
    </xf>
    <xf numFmtId="16" fontId="3" fillId="0" borderId="0" xfId="0" quotePrefix="1" applyNumberFormat="1" applyFont="1" applyAlignment="1">
      <alignment horizontal="center"/>
    </xf>
    <xf numFmtId="0" fontId="3" fillId="0" borderId="8" xfId="0" applyFont="1" applyBorder="1" applyAlignment="1">
      <alignment horizontal="center"/>
    </xf>
    <xf numFmtId="166" fontId="3" fillId="0" borderId="0" xfId="0" applyNumberFormat="1" applyFont="1"/>
    <xf numFmtId="3" fontId="0" fillId="0" borderId="0" xfId="0" applyNumberFormat="1"/>
    <xf numFmtId="169" fontId="0" fillId="0" borderId="0" xfId="0" applyNumberFormat="1"/>
    <xf numFmtId="0" fontId="11" fillId="0" borderId="0" xfId="0" applyFont="1"/>
    <xf numFmtId="49" fontId="4" fillId="0" borderId="0" xfId="0" quotePrefix="1" applyNumberFormat="1" applyFont="1"/>
    <xf numFmtId="0" fontId="12" fillId="0" borderId="0" xfId="0" applyFont="1"/>
    <xf numFmtId="0" fontId="0" fillId="0" borderId="14" xfId="0" applyBorder="1"/>
    <xf numFmtId="0" fontId="27" fillId="0" borderId="0" xfId="0" applyFont="1"/>
    <xf numFmtId="175" fontId="28" fillId="0" borderId="0" xfId="0" applyNumberFormat="1" applyFont="1"/>
    <xf numFmtId="10" fontId="3" fillId="0" borderId="53" xfId="0" applyNumberFormat="1" applyFont="1" applyBorder="1"/>
    <xf numFmtId="174" fontId="0" fillId="0" borderId="0" xfId="0" applyNumberFormat="1"/>
    <xf numFmtId="0" fontId="29" fillId="0" borderId="0" xfId="0" applyFont="1"/>
    <xf numFmtId="172" fontId="0" fillId="0" borderId="0" xfId="0" applyNumberFormat="1"/>
    <xf numFmtId="1" fontId="0" fillId="0" borderId="0" xfId="0" applyNumberFormat="1"/>
    <xf numFmtId="16" fontId="3" fillId="0" borderId="8" xfId="0" quotePrefix="1" applyNumberFormat="1" applyFont="1" applyBorder="1" applyAlignment="1">
      <alignment horizontal="center"/>
    </xf>
    <xf numFmtId="172" fontId="4" fillId="0" borderId="0" xfId="0" applyNumberFormat="1" applyFont="1" applyAlignment="1">
      <alignment horizontal="right"/>
    </xf>
    <xf numFmtId="9" fontId="4" fillId="0" borderId="0" xfId="3" applyFont="1" applyFill="1"/>
    <xf numFmtId="10" fontId="4" fillId="0" borderId="0" xfId="3" applyNumberFormat="1" applyFont="1" applyFill="1"/>
    <xf numFmtId="0" fontId="25" fillId="0" borderId="0" xfId="30"/>
    <xf numFmtId="0" fontId="4" fillId="0" borderId="0" xfId="30" applyFont="1"/>
    <xf numFmtId="166" fontId="25" fillId="0" borderId="0" xfId="30" applyNumberFormat="1"/>
    <xf numFmtId="166" fontId="0" fillId="0" borderId="0" xfId="3" applyNumberFormat="1" applyFont="1" applyFill="1"/>
    <xf numFmtId="0" fontId="0" fillId="0" borderId="0" xfId="0" applyAlignment="1">
      <alignment horizontal="right"/>
    </xf>
    <xf numFmtId="0" fontId="29" fillId="0" borderId="0" xfId="0" applyFont="1" applyAlignment="1">
      <alignment horizontal="right"/>
    </xf>
    <xf numFmtId="0" fontId="3" fillId="0" borderId="0" xfId="0" quotePrefix="1" applyFont="1" applyAlignment="1">
      <alignment horizontal="center"/>
    </xf>
    <xf numFmtId="44" fontId="13" fillId="0" borderId="21" xfId="2" applyFont="1" applyFill="1" applyBorder="1" applyAlignment="1">
      <alignment horizontal="right" vertical="center"/>
    </xf>
    <xf numFmtId="44" fontId="13" fillId="0" borderId="28" xfId="2" applyFont="1" applyFill="1" applyBorder="1" applyAlignment="1">
      <alignment horizontal="right" vertical="center"/>
    </xf>
    <xf numFmtId="166" fontId="25" fillId="0" borderId="15" xfId="30" applyNumberFormat="1" applyBorder="1"/>
    <xf numFmtId="0" fontId="25" fillId="0" borderId="0" xfId="30" applyAlignment="1">
      <alignment horizontal="center"/>
    </xf>
    <xf numFmtId="3" fontId="25" fillId="0" borderId="0" xfId="30" applyNumberFormat="1"/>
    <xf numFmtId="3" fontId="3" fillId="0" borderId="0" xfId="30" applyNumberFormat="1" applyFont="1" applyAlignment="1">
      <alignment horizontal="left"/>
    </xf>
    <xf numFmtId="0" fontId="3" fillId="0" borderId="0" xfId="30" applyFont="1" applyAlignment="1">
      <alignment horizontal="left"/>
    </xf>
    <xf numFmtId="0" fontId="4" fillId="0" borderId="0" xfId="30" applyFont="1" applyAlignment="1">
      <alignment horizontal="right"/>
    </xf>
    <xf numFmtId="3" fontId="25" fillId="0" borderId="0" xfId="30" applyNumberFormat="1" applyAlignment="1">
      <alignment horizontal="right"/>
    </xf>
    <xf numFmtId="3" fontId="25" fillId="0" borderId="0" xfId="30" applyNumberFormat="1" applyAlignment="1">
      <alignment horizontal="left"/>
    </xf>
    <xf numFmtId="164" fontId="25" fillId="0" borderId="0" xfId="30" applyNumberFormat="1" applyAlignment="1">
      <alignment horizontal="right"/>
    </xf>
    <xf numFmtId="0" fontId="30" fillId="17" borderId="49" xfId="30" applyFont="1" applyFill="1" applyBorder="1"/>
    <xf numFmtId="0" fontId="25" fillId="17" borderId="51" xfId="30" applyFill="1" applyBorder="1"/>
    <xf numFmtId="2" fontId="25" fillId="17" borderId="50" xfId="30" applyNumberFormat="1" applyFill="1" applyBorder="1"/>
    <xf numFmtId="0" fontId="4" fillId="0" borderId="0" xfId="30" quotePrefix="1" applyFont="1"/>
    <xf numFmtId="15" fontId="11" fillId="17" borderId="49" xfId="30" applyNumberFormat="1" applyFont="1" applyFill="1" applyBorder="1" applyAlignment="1">
      <alignment horizontal="left"/>
    </xf>
    <xf numFmtId="0" fontId="25" fillId="17" borderId="51" xfId="30" applyFill="1" applyBorder="1" applyAlignment="1">
      <alignment horizontal="center"/>
    </xf>
    <xf numFmtId="0" fontId="25" fillId="0" borderId="4" xfId="30" applyBorder="1"/>
    <xf numFmtId="0" fontId="4" fillId="0" borderId="0" xfId="30" applyFont="1" applyAlignment="1">
      <alignment horizontal="center"/>
    </xf>
    <xf numFmtId="2" fontId="25" fillId="0" borderId="5" xfId="30" applyNumberFormat="1" applyBorder="1" applyAlignment="1">
      <alignment horizontal="center"/>
    </xf>
    <xf numFmtId="165" fontId="25" fillId="0" borderId="5" xfId="30" applyNumberFormat="1" applyBorder="1"/>
    <xf numFmtId="0" fontId="4" fillId="0" borderId="4" xfId="30" applyFont="1" applyBorder="1"/>
    <xf numFmtId="0" fontId="4" fillId="0" borderId="11" xfId="30" applyFont="1" applyBorder="1"/>
    <xf numFmtId="165" fontId="25" fillId="0" borderId="12" xfId="30" applyNumberFormat="1" applyBorder="1"/>
    <xf numFmtId="0" fontId="3" fillId="0" borderId="4" xfId="30" applyFont="1" applyBorder="1"/>
    <xf numFmtId="166" fontId="3" fillId="0" borderId="0" xfId="30" applyNumberFormat="1" applyFont="1"/>
    <xf numFmtId="165" fontId="3" fillId="0" borderId="5" xfId="30" applyNumberFormat="1" applyFont="1" applyBorder="1"/>
    <xf numFmtId="165" fontId="25" fillId="0" borderId="12" xfId="30" applyNumberFormat="1" applyBorder="1" applyAlignment="1">
      <alignment horizontal="right"/>
    </xf>
    <xf numFmtId="165" fontId="3" fillId="0" borderId="5" xfId="30" applyNumberFormat="1" applyFont="1" applyBorder="1" applyAlignment="1">
      <alignment horizontal="right"/>
    </xf>
    <xf numFmtId="165" fontId="25" fillId="0" borderId="5" xfId="30" applyNumberFormat="1" applyBorder="1" applyAlignment="1">
      <alignment horizontal="right"/>
    </xf>
    <xf numFmtId="0" fontId="4" fillId="0" borderId="55" xfId="30" applyFont="1" applyBorder="1"/>
    <xf numFmtId="165" fontId="25" fillId="0" borderId="56" xfId="30" applyNumberFormat="1" applyBorder="1"/>
    <xf numFmtId="0" fontId="3" fillId="0" borderId="7" xfId="30" applyFont="1" applyBorder="1"/>
    <xf numFmtId="166" fontId="3" fillId="0" borderId="8" xfId="30" applyNumberFormat="1" applyFont="1" applyBorder="1"/>
    <xf numFmtId="165" fontId="3" fillId="0" borderId="9" xfId="30" applyNumberFormat="1" applyFont="1" applyBorder="1"/>
    <xf numFmtId="44" fontId="31" fillId="0" borderId="0" xfId="2" applyFont="1" applyFill="1" applyBorder="1" applyAlignment="1">
      <alignment horizontal="left"/>
    </xf>
    <xf numFmtId="0" fontId="27" fillId="0" borderId="2" xfId="0" applyFont="1" applyBorder="1"/>
    <xf numFmtId="0" fontId="3" fillId="0" borderId="2" xfId="0" applyFont="1" applyBorder="1"/>
    <xf numFmtId="0" fontId="11" fillId="0" borderId="3" xfId="0" applyFont="1" applyBorder="1"/>
    <xf numFmtId="0" fontId="3" fillId="0" borderId="4" xfId="0" applyFont="1" applyBorder="1"/>
    <xf numFmtId="0" fontId="3" fillId="0" borderId="5" xfId="0" applyFont="1" applyBorder="1"/>
    <xf numFmtId="166" fontId="4" fillId="0" borderId="5" xfId="0" applyNumberFormat="1" applyFont="1" applyBorder="1"/>
    <xf numFmtId="166" fontId="3" fillId="0" borderId="5" xfId="0" applyNumberFormat="1" applyFont="1" applyBorder="1"/>
    <xf numFmtId="0" fontId="3" fillId="0" borderId="7" xfId="0" applyFont="1" applyBorder="1"/>
    <xf numFmtId="166" fontId="3" fillId="0" borderId="8" xfId="0" applyNumberFormat="1" applyFont="1" applyBorder="1"/>
    <xf numFmtId="166" fontId="3" fillId="0" borderId="9" xfId="0" applyNumberFormat="1" applyFont="1" applyBorder="1"/>
    <xf numFmtId="0" fontId="3" fillId="0" borderId="9" xfId="0" applyFont="1" applyBorder="1"/>
    <xf numFmtId="0" fontId="27" fillId="0" borderId="3" xfId="0" applyFont="1" applyBorder="1"/>
    <xf numFmtId="0" fontId="3" fillId="0" borderId="5"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0" fillId="0" borderId="55" xfId="0" applyBorder="1"/>
    <xf numFmtId="0" fontId="0" fillId="0" borderId="11" xfId="0" applyBorder="1"/>
    <xf numFmtId="166" fontId="4" fillId="0" borderId="12" xfId="0" applyNumberFormat="1" applyFont="1" applyBorder="1"/>
    <xf numFmtId="166" fontId="4" fillId="0" borderId="0" xfId="30" applyNumberFormat="1" applyFont="1" applyAlignment="1">
      <alignment horizontal="right"/>
    </xf>
    <xf numFmtId="166" fontId="25" fillId="0" borderId="0" xfId="30" applyNumberFormat="1" applyAlignment="1">
      <alignment horizontal="right"/>
    </xf>
    <xf numFmtId="10" fontId="0" fillId="0" borderId="0" xfId="3" applyNumberFormat="1" applyFont="1" applyFill="1"/>
    <xf numFmtId="167" fontId="13" fillId="0" borderId="19" xfId="2" applyNumberFormat="1" applyFont="1" applyFill="1" applyBorder="1" applyAlignment="1">
      <alignment horizontal="right" vertical="center"/>
    </xf>
    <xf numFmtId="166" fontId="13" fillId="0" borderId="31" xfId="1" applyNumberFormat="1" applyFont="1" applyFill="1" applyBorder="1" applyAlignment="1">
      <alignment horizontal="right" vertical="center"/>
    </xf>
    <xf numFmtId="166" fontId="13" fillId="0" borderId="22" xfId="1" applyNumberFormat="1" applyFont="1" applyFill="1" applyBorder="1" applyAlignment="1">
      <alignment horizontal="right" vertical="center"/>
    </xf>
    <xf numFmtId="170" fontId="4" fillId="0" borderId="0" xfId="0" applyNumberFormat="1" applyFont="1"/>
    <xf numFmtId="170" fontId="4" fillId="0" borderId="5" xfId="0" applyNumberFormat="1" applyFont="1" applyBorder="1"/>
    <xf numFmtId="176" fontId="25" fillId="0" borderId="0" xfId="30" applyNumberFormat="1"/>
    <xf numFmtId="0" fontId="35" fillId="0" borderId="0" xfId="38"/>
    <xf numFmtId="3" fontId="4" fillId="18" borderId="0" xfId="20" applyNumberFormat="1" applyFill="1"/>
    <xf numFmtId="0" fontId="4" fillId="18" borderId="0" xfId="20" applyFill="1"/>
    <xf numFmtId="10" fontId="4" fillId="18" borderId="0" xfId="20" applyNumberFormat="1" applyFill="1"/>
    <xf numFmtId="0" fontId="0" fillId="21" borderId="79" xfId="0" applyFill="1" applyBorder="1"/>
    <xf numFmtId="0" fontId="0" fillId="21" borderId="80" xfId="0" applyFill="1" applyBorder="1"/>
    <xf numFmtId="0" fontId="0" fillId="21" borderId="81" xfId="0" applyFill="1" applyBorder="1"/>
    <xf numFmtId="0" fontId="39" fillId="0" borderId="0" xfId="0" applyFont="1"/>
    <xf numFmtId="0" fontId="34" fillId="20" borderId="76" xfId="44" applyFont="1" applyFill="1" applyBorder="1" applyAlignment="1">
      <alignment horizontal="center"/>
    </xf>
    <xf numFmtId="178" fontId="34" fillId="0" borderId="77" xfId="44" applyNumberFormat="1" applyFont="1" applyBorder="1" applyAlignment="1">
      <alignment horizontal="right"/>
    </xf>
    <xf numFmtId="0" fontId="34" fillId="0" borderId="77" xfId="44" applyFont="1" applyBorder="1"/>
    <xf numFmtId="0" fontId="34" fillId="0" borderId="0" xfId="44" applyFont="1"/>
    <xf numFmtId="7" fontId="0" fillId="0" borderId="0" xfId="0" applyNumberFormat="1"/>
    <xf numFmtId="166" fontId="25" fillId="0" borderId="78" xfId="30" applyNumberFormat="1" applyBorder="1"/>
    <xf numFmtId="49" fontId="13" fillId="0" borderId="65" xfId="0" applyNumberFormat="1" applyFont="1" applyBorder="1" applyAlignment="1">
      <alignment horizontal="left" vertical="top" wrapText="1"/>
    </xf>
    <xf numFmtId="2" fontId="13" fillId="0" borderId="45" xfId="0" applyNumberFormat="1" applyFont="1" applyBorder="1" applyAlignment="1">
      <alignment horizontal="right" vertical="center"/>
    </xf>
    <xf numFmtId="2" fontId="13" fillId="0" borderId="46" xfId="0" applyNumberFormat="1" applyFont="1" applyBorder="1" applyAlignment="1">
      <alignment horizontal="right" vertical="center"/>
    </xf>
    <xf numFmtId="44" fontId="0" fillId="0" borderId="0" xfId="0" applyNumberFormat="1"/>
    <xf numFmtId="0" fontId="24" fillId="0" borderId="0" xfId="3" applyNumberFormat="1" applyFont="1" applyFill="1"/>
    <xf numFmtId="1" fontId="24" fillId="0" borderId="0" xfId="3" applyNumberFormat="1" applyFont="1" applyFill="1"/>
    <xf numFmtId="3" fontId="4" fillId="2" borderId="0" xfId="20" applyNumberFormat="1" applyFill="1"/>
    <xf numFmtId="10" fontId="4" fillId="2" borderId="0" xfId="20" applyNumberFormat="1" applyFill="1"/>
    <xf numFmtId="9" fontId="24" fillId="0" borderId="0" xfId="3" applyFont="1" applyFill="1"/>
    <xf numFmtId="166" fontId="4" fillId="0" borderId="0" xfId="30" applyNumberFormat="1" applyFont="1" applyAlignment="1">
      <alignment horizontal="left"/>
    </xf>
    <xf numFmtId="0" fontId="39" fillId="0" borderId="0" xfId="0" applyFont="1" applyAlignment="1">
      <alignment horizontal="center" wrapText="1"/>
    </xf>
    <xf numFmtId="0" fontId="39" fillId="0" borderId="0" xfId="0" applyFont="1" applyAlignment="1">
      <alignment horizontal="left" vertical="center"/>
    </xf>
    <xf numFmtId="0" fontId="39" fillId="0" borderId="0" xfId="0" applyFont="1" applyAlignment="1">
      <alignment horizontal="right" vertical="center"/>
    </xf>
    <xf numFmtId="165" fontId="13" fillId="0" borderId="14" xfId="3" applyNumberFormat="1" applyFont="1" applyFill="1" applyBorder="1" applyAlignment="1" applyProtection="1">
      <alignment horizontal="right"/>
    </xf>
    <xf numFmtId="167" fontId="13" fillId="0" borderId="14" xfId="2" applyNumberFormat="1" applyFont="1" applyFill="1" applyBorder="1" applyAlignment="1" applyProtection="1">
      <alignment horizontal="right"/>
    </xf>
    <xf numFmtId="9" fontId="13" fillId="0" borderId="14" xfId="3" applyFont="1" applyFill="1" applyBorder="1" applyAlignment="1" applyProtection="1">
      <alignment horizontal="right"/>
    </xf>
    <xf numFmtId="167" fontId="13" fillId="0" borderId="13" xfId="2" applyNumberFormat="1" applyFont="1" applyFill="1" applyBorder="1" applyAlignment="1" applyProtection="1">
      <alignment horizontal="right"/>
    </xf>
    <xf numFmtId="0" fontId="34" fillId="20" borderId="76" xfId="46" applyFont="1" applyFill="1" applyBorder="1" applyAlignment="1">
      <alignment horizontal="center"/>
    </xf>
    <xf numFmtId="178" fontId="34" fillId="0" borderId="77" xfId="46" applyNumberFormat="1" applyFont="1" applyBorder="1" applyAlignment="1">
      <alignment horizontal="right" wrapText="1"/>
    </xf>
    <xf numFmtId="177" fontId="34" fillId="0" borderId="77" xfId="46" applyNumberFormat="1" applyFont="1" applyBorder="1" applyAlignment="1">
      <alignment horizontal="right" wrapText="1"/>
    </xf>
    <xf numFmtId="0" fontId="0" fillId="0" borderId="0" xfId="0" quotePrefix="1" applyAlignment="1">
      <alignment horizontal="right"/>
    </xf>
    <xf numFmtId="179" fontId="24" fillId="18" borderId="0" xfId="0" applyNumberFormat="1" applyFont="1" applyFill="1"/>
    <xf numFmtId="0" fontId="43" fillId="0" borderId="0" xfId="49"/>
    <xf numFmtId="166" fontId="2" fillId="0" borderId="0" xfId="0" applyNumberFormat="1" applyFont="1"/>
    <xf numFmtId="179" fontId="0" fillId="19" borderId="0" xfId="1" applyNumberFormat="1" applyFont="1" applyFill="1" applyBorder="1"/>
    <xf numFmtId="10" fontId="4" fillId="2" borderId="0" xfId="3" applyNumberFormat="1" applyFont="1" applyFill="1"/>
    <xf numFmtId="0" fontId="24" fillId="19" borderId="0" xfId="0" applyFont="1" applyFill="1"/>
    <xf numFmtId="0" fontId="24" fillId="18" borderId="0" xfId="0" applyFont="1" applyFill="1"/>
    <xf numFmtId="0" fontId="24" fillId="2" borderId="0" xfId="0" applyFont="1" applyFill="1"/>
    <xf numFmtId="170" fontId="0" fillId="0" borderId="0" xfId="0" applyNumberFormat="1"/>
    <xf numFmtId="0" fontId="4" fillId="0" borderId="84" xfId="30" applyFont="1" applyBorder="1"/>
    <xf numFmtId="166" fontId="25" fillId="0" borderId="85" xfId="30" applyNumberFormat="1" applyBorder="1"/>
    <xf numFmtId="165" fontId="25" fillId="0" borderId="86" xfId="30" applyNumberFormat="1" applyBorder="1"/>
    <xf numFmtId="0" fontId="25" fillId="0" borderId="7" xfId="30" applyBorder="1"/>
    <xf numFmtId="0" fontId="4" fillId="0" borderId="10" xfId="0" applyFont="1" applyBorder="1" applyAlignment="1" applyProtection="1">
      <alignment horizontal="center"/>
      <protection locked="0"/>
    </xf>
    <xf numFmtId="0" fontId="35" fillId="0" borderId="0" xfId="38" applyFill="1"/>
    <xf numFmtId="0" fontId="0" fillId="0" borderId="0" xfId="0" applyProtection="1">
      <protection locked="0"/>
    </xf>
    <xf numFmtId="0" fontId="0" fillId="0" borderId="0" xfId="0" applyAlignment="1" applyProtection="1">
      <alignment horizontal="center"/>
      <protection locked="0"/>
    </xf>
    <xf numFmtId="166" fontId="0" fillId="0" borderId="0" xfId="0" applyNumberFormat="1" applyProtection="1">
      <protection locked="0"/>
    </xf>
    <xf numFmtId="0" fontId="4" fillId="0" borderId="0" xfId="0" applyFont="1" applyProtection="1">
      <protection locked="0"/>
    </xf>
    <xf numFmtId="170" fontId="0" fillId="0" borderId="0" xfId="0" applyNumberFormat="1" applyProtection="1">
      <protection locked="0"/>
    </xf>
    <xf numFmtId="0" fontId="12" fillId="0" borderId="0" xfId="0" applyFont="1" applyProtection="1">
      <protection locked="0"/>
    </xf>
    <xf numFmtId="0" fontId="3" fillId="0" borderId="0" xfId="0" applyFont="1" applyProtection="1">
      <protection locked="0"/>
    </xf>
    <xf numFmtId="0" fontId="0" fillId="0" borderId="0" xfId="0" quotePrefix="1" applyProtection="1">
      <protection locked="0"/>
    </xf>
    <xf numFmtId="170" fontId="0" fillId="0" borderId="0" xfId="0" applyNumberFormat="1" applyAlignment="1" applyProtection="1">
      <alignment horizontal="center"/>
      <protection locked="0"/>
    </xf>
    <xf numFmtId="166" fontId="4" fillId="0" borderId="0" xfId="0" applyNumberFormat="1" applyFont="1" applyProtection="1">
      <protection locked="0"/>
    </xf>
    <xf numFmtId="49" fontId="3" fillId="0" borderId="0" xfId="0" applyNumberFormat="1" applyFont="1" applyAlignment="1" applyProtection="1">
      <alignment vertical="top" wrapText="1"/>
      <protection locked="0"/>
    </xf>
    <xf numFmtId="0" fontId="2" fillId="0" borderId="0" xfId="0" applyFont="1" applyProtection="1">
      <protection locked="0"/>
    </xf>
    <xf numFmtId="0" fontId="15" fillId="0" borderId="0" xfId="0" applyFont="1"/>
    <xf numFmtId="164" fontId="15" fillId="0" borderId="0" xfId="0" applyNumberFormat="1" applyFont="1"/>
    <xf numFmtId="0" fontId="15" fillId="0" borderId="8" xfId="0" applyFont="1" applyBorder="1"/>
    <xf numFmtId="164" fontId="15" fillId="0" borderId="8" xfId="0" applyNumberFormat="1" applyFont="1" applyBorder="1"/>
    <xf numFmtId="170" fontId="0" fillId="0" borderId="8" xfId="0" applyNumberFormat="1" applyBorder="1" applyAlignment="1" applyProtection="1">
      <alignment horizontal="center"/>
      <protection locked="0"/>
    </xf>
    <xf numFmtId="0" fontId="2" fillId="0" borderId="8" xfId="0" applyFont="1" applyBorder="1"/>
    <xf numFmtId="164" fontId="0" fillId="0" borderId="0" xfId="0" applyNumberFormat="1"/>
    <xf numFmtId="181" fontId="36" fillId="0" borderId="0" xfId="48" applyNumberFormat="1" applyFont="1" applyFill="1"/>
    <xf numFmtId="164" fontId="4" fillId="0" borderId="0" xfId="0" applyNumberFormat="1" applyFont="1"/>
    <xf numFmtId="171" fontId="0" fillId="0" borderId="0" xfId="0" applyNumberFormat="1"/>
    <xf numFmtId="10" fontId="4" fillId="0" borderId="0" xfId="3" applyNumberFormat="1" applyFont="1" applyFill="1" applyBorder="1" applyAlignment="1">
      <alignment horizontal="right"/>
    </xf>
    <xf numFmtId="0" fontId="3" fillId="0" borderId="0" xfId="20" applyFont="1"/>
    <xf numFmtId="10" fontId="4" fillId="0" borderId="0" xfId="20" applyNumberFormat="1"/>
    <xf numFmtId="164" fontId="4" fillId="0" borderId="0" xfId="20" applyNumberFormat="1"/>
    <xf numFmtId="164" fontId="3" fillId="0" borderId="0" xfId="20" applyNumberFormat="1" applyFont="1"/>
    <xf numFmtId="9" fontId="0" fillId="0" borderId="0" xfId="3" applyFont="1" applyFill="1"/>
    <xf numFmtId="166" fontId="0" fillId="0" borderId="0" xfId="0" applyNumberFormat="1" applyAlignment="1" applyProtection="1">
      <alignment horizontal="center"/>
      <protection locked="0"/>
    </xf>
    <xf numFmtId="166" fontId="0" fillId="0" borderId="8" xfId="0" applyNumberFormat="1" applyBorder="1" applyAlignment="1" applyProtection="1">
      <alignment horizontal="center"/>
      <protection locked="0"/>
    </xf>
    <xf numFmtId="166" fontId="0" fillId="0" borderId="0" xfId="2" applyNumberFormat="1" applyFont="1" applyFill="1"/>
    <xf numFmtId="0" fontId="2" fillId="0" borderId="0" xfId="0" applyFont="1"/>
    <xf numFmtId="10" fontId="0" fillId="0" borderId="15" xfId="3" applyNumberFormat="1" applyFont="1" applyFill="1" applyBorder="1"/>
    <xf numFmtId="0" fontId="24" fillId="0" borderId="0" xfId="0" applyFont="1" applyProtection="1">
      <protection locked="0"/>
    </xf>
    <xf numFmtId="49" fontId="31" fillId="0" borderId="0" xfId="0" applyNumberFormat="1" applyFont="1" applyAlignment="1">
      <alignment horizontal="left" vertical="top"/>
    </xf>
    <xf numFmtId="0" fontId="31" fillId="0" borderId="0" xfId="0" applyFont="1" applyAlignment="1">
      <alignment horizontal="left" vertical="top"/>
    </xf>
    <xf numFmtId="0" fontId="24" fillId="0" borderId="0" xfId="0" applyFont="1" applyAlignment="1">
      <alignment vertical="top"/>
    </xf>
    <xf numFmtId="2" fontId="24" fillId="0" borderId="0" xfId="0" applyNumberFormat="1" applyFont="1" applyAlignment="1">
      <alignment vertical="top"/>
    </xf>
    <xf numFmtId="49" fontId="24" fillId="0" borderId="0" xfId="0" applyNumberFormat="1" applyFont="1" applyAlignment="1">
      <alignment vertical="top"/>
    </xf>
    <xf numFmtId="170" fontId="24" fillId="0" borderId="0" xfId="0" applyNumberFormat="1" applyFont="1" applyAlignment="1">
      <alignment vertical="top"/>
    </xf>
    <xf numFmtId="2" fontId="0" fillId="0" borderId="0" xfId="0" applyNumberFormat="1"/>
    <xf numFmtId="44" fontId="24" fillId="0" borderId="0" xfId="2" applyFont="1" applyFill="1" applyBorder="1" applyAlignment="1">
      <alignment vertical="top"/>
    </xf>
    <xf numFmtId="166" fontId="24" fillId="0" borderId="0" xfId="0" applyNumberFormat="1" applyFont="1" applyAlignment="1">
      <alignment vertical="top"/>
    </xf>
    <xf numFmtId="2" fontId="24" fillId="0" borderId="0" xfId="7" applyNumberFormat="1" applyFont="1" applyFill="1" applyBorder="1" applyAlignment="1">
      <alignment vertical="top"/>
    </xf>
    <xf numFmtId="0" fontId="24" fillId="0" borderId="0" xfId="0" applyFont="1" applyAlignment="1">
      <alignment horizontal="left" vertical="top"/>
    </xf>
    <xf numFmtId="164" fontId="24" fillId="0" borderId="0" xfId="0" applyNumberFormat="1" applyFont="1" applyAlignment="1">
      <alignment vertical="top"/>
    </xf>
    <xf numFmtId="44" fontId="0" fillId="0" borderId="0" xfId="2" applyFont="1" applyFill="1" applyBorder="1"/>
    <xf numFmtId="49" fontId="24" fillId="0" borderId="0" xfId="0" applyNumberFormat="1" applyFont="1" applyAlignment="1">
      <alignment horizontal="left" vertical="top"/>
    </xf>
    <xf numFmtId="49" fontId="3" fillId="0" borderId="8" xfId="30" applyNumberFormat="1" applyFont="1" applyBorder="1" applyAlignment="1">
      <alignment horizontal="left" vertical="top"/>
    </xf>
    <xf numFmtId="0" fontId="4" fillId="0" borderId="8" xfId="30" applyFont="1" applyBorder="1" applyAlignment="1">
      <alignment horizontal="left"/>
    </xf>
    <xf numFmtId="1" fontId="4" fillId="0" borderId="0" xfId="30" applyNumberFormat="1" applyFont="1" applyAlignment="1">
      <alignment horizontal="right"/>
    </xf>
    <xf numFmtId="1" fontId="25" fillId="0" borderId="0" xfId="30" applyNumberFormat="1" applyAlignment="1">
      <alignment horizontal="right"/>
    </xf>
    <xf numFmtId="0" fontId="0" fillId="0" borderId="82" xfId="0" applyBorder="1"/>
    <xf numFmtId="8" fontId="0" fillId="0" borderId="82" xfId="0" applyNumberFormat="1" applyBorder="1" applyAlignment="1">
      <alignment horizontal="right"/>
    </xf>
    <xf numFmtId="0" fontId="3" fillId="0" borderId="0" xfId="30" applyFont="1" applyAlignment="1">
      <alignment horizontal="right"/>
    </xf>
    <xf numFmtId="0" fontId="4" fillId="0" borderId="0" xfId="20" applyAlignment="1">
      <alignment vertical="top"/>
    </xf>
    <xf numFmtId="0" fontId="26" fillId="0" borderId="0" xfId="20" applyFont="1"/>
    <xf numFmtId="0" fontId="4" fillId="0" borderId="8" xfId="20" applyBorder="1" applyAlignment="1">
      <alignment horizontal="center"/>
    </xf>
    <xf numFmtId="0" fontId="2" fillId="0" borderId="8" xfId="0" applyFont="1" applyBorder="1" applyAlignment="1">
      <alignment horizontal="center"/>
    </xf>
    <xf numFmtId="9" fontId="4" fillId="0" borderId="0" xfId="20" applyNumberFormat="1" applyAlignment="1">
      <alignment vertical="top"/>
    </xf>
    <xf numFmtId="49" fontId="4" fillId="0" borderId="0" xfId="20" applyNumberFormat="1" applyAlignment="1">
      <alignment vertical="top"/>
    </xf>
    <xf numFmtId="49" fontId="4" fillId="0" borderId="15" xfId="20" applyNumberFormat="1" applyBorder="1" applyAlignment="1">
      <alignment vertical="top" wrapText="1"/>
    </xf>
    <xf numFmtId="9" fontId="4" fillId="0" borderId="15" xfId="20" applyNumberFormat="1" applyBorder="1" applyAlignment="1">
      <alignment vertical="top"/>
    </xf>
    <xf numFmtId="166" fontId="0" fillId="0" borderId="15" xfId="0" applyNumberFormat="1" applyBorder="1"/>
    <xf numFmtId="0" fontId="25" fillId="0" borderId="15" xfId="30" applyBorder="1"/>
    <xf numFmtId="0" fontId="2" fillId="0" borderId="14" xfId="0" applyFont="1" applyBorder="1"/>
    <xf numFmtId="10" fontId="25" fillId="0" borderId="0" xfId="30" applyNumberFormat="1"/>
    <xf numFmtId="0" fontId="3" fillId="0" borderId="0" xfId="30" applyFont="1"/>
    <xf numFmtId="0" fontId="37" fillId="0" borderId="0" xfId="0" applyFont="1"/>
    <xf numFmtId="0" fontId="19" fillId="0" borderId="0" xfId="0" applyFont="1" applyProtection="1">
      <protection locked="0"/>
    </xf>
    <xf numFmtId="0" fontId="13" fillId="0" borderId="0" xfId="0" applyFont="1" applyProtection="1">
      <protection locked="0"/>
    </xf>
    <xf numFmtId="0" fontId="18" fillId="0" borderId="0" xfId="0" applyFont="1" applyProtection="1">
      <protection locked="0"/>
    </xf>
    <xf numFmtId="0" fontId="13" fillId="0" borderId="0" xfId="0" applyFont="1" applyAlignment="1" applyProtection="1">
      <alignment horizontal="center"/>
      <protection locked="0"/>
    </xf>
    <xf numFmtId="0" fontId="18" fillId="0" borderId="0" xfId="0" applyFont="1"/>
    <xf numFmtId="0" fontId="18" fillId="0" borderId="1" xfId="0" applyFont="1" applyBorder="1"/>
    <xf numFmtId="0" fontId="18" fillId="0" borderId="1" xfId="0" applyFont="1" applyBorder="1" applyAlignment="1">
      <alignment horizontal="center"/>
    </xf>
    <xf numFmtId="0" fontId="18" fillId="0" borderId="2" xfId="0" applyFont="1" applyBorder="1" applyAlignment="1">
      <alignment horizontal="center"/>
    </xf>
    <xf numFmtId="0" fontId="18" fillId="0" borderId="2" xfId="0" applyFont="1" applyBorder="1" applyAlignment="1" applyProtection="1">
      <alignment horizontal="center"/>
      <protection locked="0"/>
    </xf>
    <xf numFmtId="0" fontId="18" fillId="0" borderId="52" xfId="0" applyFont="1" applyBorder="1" applyAlignment="1" applyProtection="1">
      <alignment horizontal="centerContinuous"/>
      <protection locked="0"/>
    </xf>
    <xf numFmtId="0" fontId="18" fillId="0" borderId="44" xfId="0" applyFont="1" applyBorder="1" applyAlignment="1" applyProtection="1">
      <alignment horizontal="centerContinuous"/>
      <protection locked="0"/>
    </xf>
    <xf numFmtId="0" fontId="16" fillId="0" borderId="0" xfId="0" applyFont="1"/>
    <xf numFmtId="0" fontId="18" fillId="0" borderId="4" xfId="0" applyFont="1" applyBorder="1"/>
    <xf numFmtId="0" fontId="18" fillId="0" borderId="4" xfId="0" applyFont="1" applyBorder="1" applyAlignment="1">
      <alignment horizontal="center"/>
    </xf>
    <xf numFmtId="0" fontId="18" fillId="0" borderId="0" xfId="0" applyFont="1" applyAlignment="1">
      <alignment horizontal="center"/>
    </xf>
    <xf numFmtId="0" fontId="18" fillId="0" borderId="0" xfId="0" applyFont="1" applyAlignment="1" applyProtection="1">
      <alignment horizontal="center"/>
      <protection locked="0"/>
    </xf>
    <xf numFmtId="0" fontId="18" fillId="0" borderId="14" xfId="0" applyFont="1" applyBorder="1" applyAlignment="1">
      <alignment horizontal="center"/>
    </xf>
    <xf numFmtId="0" fontId="13" fillId="0" borderId="4" xfId="0" applyFont="1" applyBorder="1" applyAlignment="1">
      <alignment horizontal="center"/>
    </xf>
    <xf numFmtId="0" fontId="13" fillId="0" borderId="0" xfId="0" applyFont="1" applyAlignment="1">
      <alignment horizontal="center"/>
    </xf>
    <xf numFmtId="0" fontId="13" fillId="0" borderId="14" xfId="0" applyFont="1" applyBorder="1" applyAlignment="1">
      <alignment horizontal="center"/>
    </xf>
    <xf numFmtId="164" fontId="13" fillId="0" borderId="4" xfId="0" applyNumberFormat="1" applyFont="1" applyBorder="1" applyAlignment="1">
      <alignment horizontal="right"/>
    </xf>
    <xf numFmtId="164" fontId="13" fillId="0" borderId="0" xfId="0" applyNumberFormat="1" applyFont="1" applyAlignment="1">
      <alignment horizontal="right"/>
    </xf>
    <xf numFmtId="164" fontId="13" fillId="0" borderId="14" xfId="0" applyNumberFormat="1" applyFont="1" applyBorder="1" applyAlignment="1">
      <alignment horizontal="right"/>
    </xf>
    <xf numFmtId="164" fontId="13" fillId="0" borderId="4" xfId="0" applyNumberFormat="1" applyFont="1" applyBorder="1"/>
    <xf numFmtId="164" fontId="13" fillId="0" borderId="0" xfId="0" applyNumberFormat="1" applyFont="1"/>
    <xf numFmtId="0" fontId="13" fillId="0" borderId="14" xfId="0" applyFont="1" applyBorder="1" applyAlignment="1">
      <alignment horizontal="right"/>
    </xf>
    <xf numFmtId="0" fontId="13" fillId="0" borderId="0" xfId="0" applyFont="1" applyAlignment="1">
      <alignment horizontal="right"/>
    </xf>
    <xf numFmtId="165" fontId="13" fillId="0" borderId="4" xfId="0" applyNumberFormat="1" applyFont="1" applyBorder="1"/>
    <xf numFmtId="165" fontId="13" fillId="0" borderId="0" xfId="0" applyNumberFormat="1" applyFont="1"/>
    <xf numFmtId="2" fontId="13" fillId="0" borderId="4" xfId="0" applyNumberFormat="1" applyFont="1" applyBorder="1"/>
    <xf numFmtId="2" fontId="13" fillId="0" borderId="0" xfId="0" applyNumberFormat="1" applyFont="1"/>
    <xf numFmtId="2" fontId="13" fillId="0" borderId="14" xfId="0" applyNumberFormat="1" applyFont="1" applyBorder="1" applyAlignment="1">
      <alignment horizontal="right"/>
    </xf>
    <xf numFmtId="2" fontId="13" fillId="0" borderId="0" xfId="0" applyNumberFormat="1" applyFont="1" applyAlignment="1">
      <alignment horizontal="right"/>
    </xf>
    <xf numFmtId="1" fontId="13" fillId="0" borderId="4" xfId="0" applyNumberFormat="1" applyFont="1" applyBorder="1"/>
    <xf numFmtId="1" fontId="13" fillId="0" borderId="0" xfId="0" applyNumberFormat="1" applyFont="1"/>
    <xf numFmtId="0" fontId="13" fillId="0" borderId="6" xfId="0" applyFont="1" applyBorder="1" applyAlignment="1">
      <alignment vertical="top"/>
    </xf>
    <xf numFmtId="166" fontId="13" fillId="0" borderId="4" xfId="0" applyNumberFormat="1" applyFont="1" applyBorder="1"/>
    <xf numFmtId="166" fontId="13" fillId="0" borderId="0" xfId="0" applyNumberFormat="1" applyFont="1"/>
    <xf numFmtId="0" fontId="18" fillId="0" borderId="4" xfId="0" applyFont="1" applyBorder="1" applyAlignment="1">
      <alignment horizontal="left"/>
    </xf>
    <xf numFmtId="0" fontId="13" fillId="0" borderId="4" xfId="0" applyFont="1" applyBorder="1" applyAlignment="1">
      <alignment horizontal="centerContinuous"/>
    </xf>
    <xf numFmtId="0" fontId="13" fillId="0" borderId="0" xfId="0" applyFont="1" applyAlignment="1">
      <alignment horizontal="centerContinuous"/>
    </xf>
    <xf numFmtId="0" fontId="20" fillId="0" borderId="4" xfId="0" applyFont="1" applyBorder="1"/>
    <xf numFmtId="0" fontId="13" fillId="0" borderId="4" xfId="0" applyFont="1" applyBorder="1" applyAlignment="1">
      <alignment horizontal="right"/>
    </xf>
    <xf numFmtId="9" fontId="13" fillId="0" borderId="4" xfId="0" applyNumberFormat="1" applyFont="1" applyBorder="1"/>
    <xf numFmtId="9" fontId="13" fillId="0" borderId="0" xfId="0" applyNumberFormat="1" applyFont="1"/>
    <xf numFmtId="3" fontId="13" fillId="0" borderId="4" xfId="0" applyNumberFormat="1" applyFont="1" applyBorder="1"/>
    <xf numFmtId="3" fontId="13" fillId="0" borderId="0" xfId="0" applyNumberFormat="1" applyFont="1"/>
    <xf numFmtId="168" fontId="13" fillId="0" borderId="4" xfId="0" applyNumberFormat="1" applyFont="1" applyBorder="1"/>
    <xf numFmtId="168" fontId="13" fillId="0" borderId="0" xfId="0" applyNumberFormat="1" applyFont="1"/>
    <xf numFmtId="49" fontId="18" fillId="0" borderId="4" xfId="0" applyNumberFormat="1" applyFont="1" applyBorder="1" applyAlignment="1">
      <alignment vertical="top" wrapText="1"/>
    </xf>
    <xf numFmtId="5" fontId="0" fillId="0" borderId="4" xfId="2" applyNumberFormat="1" applyFont="1" applyFill="1" applyBorder="1"/>
    <xf numFmtId="5" fontId="0" fillId="0" borderId="0" xfId="2" applyNumberFormat="1" applyFont="1" applyFill="1" applyBorder="1"/>
    <xf numFmtId="49" fontId="18" fillId="0" borderId="7" xfId="0" applyNumberFormat="1" applyFont="1" applyBorder="1" applyAlignment="1">
      <alignment vertical="top" wrapText="1"/>
    </xf>
    <xf numFmtId="5" fontId="0" fillId="0" borderId="7" xfId="2" applyNumberFormat="1" applyFont="1" applyFill="1" applyBorder="1"/>
    <xf numFmtId="5" fontId="0" fillId="0" borderId="8" xfId="2" applyNumberFormat="1" applyFont="1" applyFill="1" applyBorder="1"/>
    <xf numFmtId="166" fontId="13" fillId="0" borderId="8" xfId="0" applyNumberFormat="1" applyFont="1" applyBorder="1"/>
    <xf numFmtId="0" fontId="18" fillId="19" borderId="0" xfId="0" applyFont="1" applyFill="1" applyAlignment="1" applyProtection="1">
      <alignment horizontal="center"/>
      <protection locked="0"/>
    </xf>
    <xf numFmtId="2" fontId="13" fillId="0" borderId="19" xfId="0" applyNumberFormat="1" applyFont="1" applyBorder="1" applyAlignment="1">
      <alignment horizontal="right" vertical="center"/>
    </xf>
    <xf numFmtId="0" fontId="0" fillId="0" borderId="6" xfId="0" quotePrefix="1" applyBorder="1" applyAlignment="1">
      <alignment horizontal="right" vertical="top"/>
    </xf>
    <xf numFmtId="0" fontId="14" fillId="0" borderId="18" xfId="0" applyFont="1" applyBorder="1" applyAlignment="1">
      <alignment horizontal="right"/>
    </xf>
    <xf numFmtId="0" fontId="0" fillId="0" borderId="6" xfId="0" applyBorder="1" applyAlignment="1">
      <alignment horizontal="right" vertical="top"/>
    </xf>
    <xf numFmtId="0" fontId="0" fillId="0" borderId="0" xfId="0" applyAlignment="1">
      <alignment horizontal="center"/>
    </xf>
    <xf numFmtId="3" fontId="4" fillId="0" borderId="0" xfId="20" applyNumberFormat="1"/>
    <xf numFmtId="0" fontId="24" fillId="0" borderId="0" xfId="20" applyFont="1"/>
    <xf numFmtId="3" fontId="24" fillId="0" borderId="0" xfId="20" applyNumberFormat="1" applyFont="1"/>
    <xf numFmtId="0" fontId="31" fillId="0" borderId="0" xfId="0" applyFont="1" applyProtection="1">
      <protection locked="0"/>
    </xf>
    <xf numFmtId="10" fontId="24" fillId="0" borderId="0" xfId="30" applyNumberFormat="1" applyFont="1"/>
    <xf numFmtId="180" fontId="34" fillId="0" borderId="77" xfId="50" applyNumberFormat="1" applyFont="1" applyBorder="1" applyAlignment="1">
      <alignment horizontal="right" wrapText="1"/>
    </xf>
    <xf numFmtId="166" fontId="24" fillId="0" borderId="0" xfId="30" applyNumberFormat="1" applyFont="1"/>
    <xf numFmtId="6" fontId="3" fillId="0" borderId="0" xfId="0" applyNumberFormat="1" applyFont="1"/>
    <xf numFmtId="0" fontId="24" fillId="0" borderId="0" xfId="0" applyFont="1" applyAlignment="1">
      <alignment wrapText="1"/>
    </xf>
    <xf numFmtId="3" fontId="24" fillId="0" borderId="0" xfId="0" applyNumberFormat="1" applyFont="1"/>
    <xf numFmtId="166" fontId="24" fillId="0" borderId="0" xfId="0" applyNumberFormat="1" applyFont="1"/>
    <xf numFmtId="166" fontId="24" fillId="0" borderId="0" xfId="0" applyNumberFormat="1" applyFont="1" applyAlignment="1">
      <alignment horizontal="left"/>
    </xf>
    <xf numFmtId="173" fontId="24" fillId="0" borderId="0" xfId="0" applyNumberFormat="1" applyFont="1"/>
    <xf numFmtId="0" fontId="24" fillId="0" borderId="0" xfId="0" applyFont="1" applyAlignment="1">
      <alignment horizontal="right"/>
    </xf>
    <xf numFmtId="166" fontId="24" fillId="0" borderId="0" xfId="0" applyNumberFormat="1" applyFont="1" applyAlignment="1">
      <alignment horizontal="right"/>
    </xf>
    <xf numFmtId="10" fontId="24" fillId="0" borderId="0" xfId="3" applyNumberFormat="1" applyFont="1"/>
    <xf numFmtId="0" fontId="24" fillId="0" borderId="1" xfId="0" applyFont="1" applyBorder="1"/>
    <xf numFmtId="0" fontId="24" fillId="0" borderId="2" xfId="0" applyFont="1" applyBorder="1"/>
    <xf numFmtId="3" fontId="24" fillId="0" borderId="4" xfId="0" applyNumberFormat="1" applyFont="1" applyBorder="1"/>
    <xf numFmtId="166" fontId="24" fillId="0" borderId="5" xfId="0" applyNumberFormat="1" applyFont="1" applyBorder="1"/>
    <xf numFmtId="0" fontId="24" fillId="0" borderId="5" xfId="0" applyFont="1" applyBorder="1"/>
    <xf numFmtId="169" fontId="24" fillId="0" borderId="11" xfId="0" applyNumberFormat="1" applyFont="1" applyBorder="1"/>
    <xf numFmtId="166" fontId="24" fillId="0" borderId="12" xfId="0" applyNumberFormat="1" applyFont="1" applyBorder="1"/>
    <xf numFmtId="169" fontId="24" fillId="0" borderId="4" xfId="0" applyNumberFormat="1" applyFont="1" applyBorder="1"/>
    <xf numFmtId="174" fontId="24" fillId="0" borderId="0" xfId="0" applyNumberFormat="1" applyFont="1"/>
    <xf numFmtId="0" fontId="24" fillId="0" borderId="4" xfId="0" applyFont="1" applyBorder="1"/>
    <xf numFmtId="0" fontId="24" fillId="0" borderId="11" xfId="0" applyFont="1" applyBorder="1"/>
    <xf numFmtId="0" fontId="24" fillId="0" borderId="55" xfId="0" applyFont="1" applyBorder="1"/>
    <xf numFmtId="0" fontId="24" fillId="0" borderId="15" xfId="0" applyFont="1" applyBorder="1"/>
    <xf numFmtId="166" fontId="24" fillId="0" borderId="15" xfId="0" applyNumberFormat="1" applyFont="1" applyBorder="1"/>
    <xf numFmtId="169" fontId="24" fillId="0" borderId="55" xfId="0" applyNumberFormat="1" applyFont="1" applyBorder="1"/>
    <xf numFmtId="3" fontId="24" fillId="0" borderId="15" xfId="0" applyNumberFormat="1" applyFont="1" applyBorder="1"/>
    <xf numFmtId="166" fontId="24" fillId="0" borderId="56" xfId="0" applyNumberFormat="1" applyFont="1" applyBorder="1"/>
    <xf numFmtId="0" fontId="24" fillId="0" borderId="8" xfId="0" applyFont="1" applyBorder="1"/>
    <xf numFmtId="169" fontId="24" fillId="0" borderId="7" xfId="0" applyNumberFormat="1" applyFont="1" applyBorder="1"/>
    <xf numFmtId="166" fontId="24" fillId="0" borderId="8" xfId="0" applyNumberFormat="1" applyFont="1" applyBorder="1"/>
    <xf numFmtId="3" fontId="24" fillId="0" borderId="8" xfId="0" applyNumberFormat="1" applyFont="1" applyBorder="1"/>
    <xf numFmtId="6" fontId="24" fillId="0" borderId="0" xfId="0" applyNumberFormat="1" applyFont="1"/>
    <xf numFmtId="10" fontId="4" fillId="0" borderId="0" xfId="0" applyNumberFormat="1" applyFont="1"/>
    <xf numFmtId="8" fontId="24" fillId="0" borderId="0" xfId="0" applyNumberFormat="1" applyFont="1"/>
    <xf numFmtId="3" fontId="31" fillId="0" borderId="5" xfId="0" applyNumberFormat="1" applyFont="1" applyBorder="1" applyAlignment="1">
      <alignment vertical="top"/>
    </xf>
    <xf numFmtId="182" fontId="4" fillId="0" borderId="0" xfId="0" applyNumberFormat="1" applyFont="1"/>
    <xf numFmtId="4" fontId="3" fillId="0" borderId="1" xfId="30" applyNumberFormat="1" applyFont="1" applyBorder="1"/>
    <xf numFmtId="166" fontId="3" fillId="0" borderId="2" xfId="30" applyNumberFormat="1" applyFont="1" applyBorder="1"/>
    <xf numFmtId="3" fontId="3" fillId="0" borderId="2" xfId="30" applyNumberFormat="1" applyFont="1" applyBorder="1"/>
    <xf numFmtId="166" fontId="3" fillId="0" borderId="3" xfId="30" applyNumberFormat="1" applyFont="1" applyBorder="1"/>
    <xf numFmtId="3" fontId="3" fillId="0" borderId="1" xfId="30" applyNumberFormat="1" applyFont="1" applyBorder="1"/>
    <xf numFmtId="0" fontId="3" fillId="0" borderId="4" xfId="30" applyFont="1" applyBorder="1" applyAlignment="1">
      <alignment horizontal="center"/>
    </xf>
    <xf numFmtId="166" fontId="3" fillId="0" borderId="0" xfId="30" applyNumberFormat="1" applyFont="1" applyAlignment="1">
      <alignment horizontal="center"/>
    </xf>
    <xf numFmtId="0" fontId="3" fillId="0" borderId="0" xfId="30" applyFont="1" applyAlignment="1">
      <alignment horizontal="center"/>
    </xf>
    <xf numFmtId="166" fontId="3" fillId="0" borderId="5" xfId="30" applyNumberFormat="1" applyFont="1" applyBorder="1" applyAlignment="1">
      <alignment horizontal="center"/>
    </xf>
    <xf numFmtId="3" fontId="3" fillId="0" borderId="4" xfId="30" applyNumberFormat="1" applyFont="1" applyBorder="1" applyAlignment="1">
      <alignment horizontal="center"/>
    </xf>
    <xf numFmtId="3" fontId="3" fillId="0" borderId="0" xfId="30" applyNumberFormat="1" applyFont="1" applyAlignment="1">
      <alignment horizontal="center"/>
    </xf>
    <xf numFmtId="166" fontId="3" fillId="0" borderId="40" xfId="30" applyNumberFormat="1" applyFont="1" applyBorder="1" applyAlignment="1">
      <alignment horizontal="center"/>
    </xf>
    <xf numFmtId="4" fontId="3" fillId="0" borderId="4" xfId="30" applyNumberFormat="1" applyFont="1" applyBorder="1" applyAlignment="1">
      <alignment horizontal="center"/>
    </xf>
    <xf numFmtId="4" fontId="25" fillId="0" borderId="4" xfId="30" applyNumberFormat="1" applyBorder="1"/>
    <xf numFmtId="166" fontId="25" fillId="0" borderId="5" xfId="30" applyNumberFormat="1" applyBorder="1"/>
    <xf numFmtId="3" fontId="25" fillId="0" borderId="4" xfId="30" applyNumberFormat="1" applyBorder="1"/>
    <xf numFmtId="166" fontId="25" fillId="0" borderId="40" xfId="30" applyNumberFormat="1" applyBorder="1"/>
    <xf numFmtId="0" fontId="0" fillId="0" borderId="0" xfId="0" applyAlignment="1">
      <alignment horizontal="left" vertical="top" wrapText="1"/>
    </xf>
    <xf numFmtId="0" fontId="45" fillId="0" borderId="0" xfId="0" applyFont="1" applyAlignment="1">
      <alignment horizontal="left" vertical="top" wrapText="1"/>
    </xf>
    <xf numFmtId="0" fontId="46" fillId="0" borderId="0" xfId="0" applyFont="1" applyAlignment="1">
      <alignment horizontal="left" vertical="top" wrapText="1"/>
    </xf>
    <xf numFmtId="0" fontId="44" fillId="0" borderId="6" xfId="0" applyFont="1" applyBorder="1" applyAlignment="1">
      <alignment horizontal="left" vertical="top" wrapText="1"/>
    </xf>
    <xf numFmtId="0" fontId="46" fillId="6" borderId="6" xfId="0" applyFont="1" applyFill="1" applyBorder="1" applyAlignment="1">
      <alignment horizontal="left" vertical="top" wrapText="1"/>
    </xf>
    <xf numFmtId="0" fontId="46" fillId="5" borderId="6" xfId="0" applyFont="1" applyFill="1" applyBorder="1" applyAlignment="1">
      <alignment horizontal="left" vertical="top" wrapText="1"/>
    </xf>
    <xf numFmtId="0" fontId="46" fillId="22" borderId="6" xfId="0" applyFont="1" applyFill="1" applyBorder="1" applyAlignment="1">
      <alignment horizontal="left" vertical="top" wrapText="1"/>
    </xf>
    <xf numFmtId="0" fontId="46" fillId="23" borderId="6" xfId="0" applyFont="1" applyFill="1" applyBorder="1" applyAlignment="1">
      <alignment horizontal="left" vertical="top" wrapText="1"/>
    </xf>
    <xf numFmtId="0" fontId="46" fillId="24" borderId="6" xfId="0" applyFont="1" applyFill="1" applyBorder="1" applyAlignment="1">
      <alignment horizontal="left" vertical="top" wrapText="1"/>
    </xf>
    <xf numFmtId="0" fontId="46" fillId="8" borderId="6" xfId="0" applyFont="1" applyFill="1" applyBorder="1" applyAlignment="1">
      <alignment horizontal="left" vertical="top" wrapText="1"/>
    </xf>
    <xf numFmtId="0" fontId="46" fillId="25" borderId="6" xfId="0" applyFont="1" applyFill="1" applyBorder="1" applyAlignment="1">
      <alignment horizontal="left" vertical="top" wrapText="1"/>
    </xf>
    <xf numFmtId="0" fontId="46" fillId="27" borderId="6" xfId="0" applyFont="1" applyFill="1" applyBorder="1" applyAlignment="1">
      <alignment horizontal="left" vertical="top" wrapText="1"/>
    </xf>
    <xf numFmtId="0" fontId="46" fillId="7" borderId="6" xfId="0" applyFont="1" applyFill="1" applyBorder="1" applyAlignment="1">
      <alignment horizontal="left" vertical="top" wrapText="1"/>
    </xf>
    <xf numFmtId="0" fontId="46" fillId="12" borderId="6" xfId="0" applyFont="1" applyFill="1" applyBorder="1" applyAlignment="1">
      <alignment horizontal="left" vertical="top" wrapText="1"/>
    </xf>
    <xf numFmtId="170" fontId="0" fillId="0" borderId="0" xfId="0" applyNumberFormat="1" applyAlignment="1">
      <alignment horizontal="center"/>
    </xf>
    <xf numFmtId="0" fontId="5" fillId="0" borderId="0" xfId="0" applyFont="1"/>
    <xf numFmtId="0" fontId="3" fillId="0" borderId="0" xfId="0" applyFont="1" applyAlignment="1">
      <alignment horizontal="center" wrapText="1"/>
    </xf>
    <xf numFmtId="14" fontId="0" fillId="0" borderId="0" xfId="0" applyNumberFormat="1"/>
    <xf numFmtId="0" fontId="3" fillId="0" borderId="13" xfId="0" applyFont="1" applyBorder="1" applyAlignment="1">
      <alignment horizontal="right" wrapText="1"/>
    </xf>
    <xf numFmtId="0" fontId="4" fillId="0" borderId="13" xfId="0" applyFont="1" applyBorder="1" applyAlignment="1">
      <alignment horizontal="right"/>
    </xf>
    <xf numFmtId="0" fontId="34" fillId="0" borderId="76" xfId="37" applyFont="1" applyBorder="1" applyAlignment="1">
      <alignment horizontal="center"/>
    </xf>
    <xf numFmtId="0" fontId="9" fillId="0" borderId="0" xfId="0" applyFont="1" applyAlignment="1">
      <alignment horizontal="right"/>
    </xf>
    <xf numFmtId="3" fontId="9" fillId="0" borderId="0" xfId="0" applyNumberFormat="1" applyFont="1" applyAlignment="1">
      <alignment horizontal="right" vertical="center" wrapText="1"/>
    </xf>
    <xf numFmtId="169" fontId="9" fillId="0" borderId="0" xfId="0" applyNumberFormat="1" applyFont="1" applyAlignment="1">
      <alignment horizontal="right" vertical="center" wrapText="1"/>
    </xf>
    <xf numFmtId="3" fontId="9" fillId="0" borderId="14" xfId="0" applyNumberFormat="1" applyFont="1" applyBorder="1" applyAlignment="1">
      <alignment horizontal="right"/>
    </xf>
    <xf numFmtId="0" fontId="34" fillId="0" borderId="77" xfId="37" applyFont="1" applyBorder="1" applyAlignment="1">
      <alignment horizontal="right" wrapText="1"/>
    </xf>
    <xf numFmtId="0" fontId="34" fillId="0" borderId="77" xfId="37" applyFont="1" applyBorder="1" applyAlignment="1">
      <alignment wrapText="1"/>
    </xf>
    <xf numFmtId="0" fontId="9" fillId="0" borderId="15" xfId="0" applyFont="1" applyBorder="1" applyAlignment="1">
      <alignment horizontal="right"/>
    </xf>
    <xf numFmtId="3" fontId="9" fillId="0" borderId="15" xfId="0" applyNumberFormat="1" applyFont="1" applyBorder="1" applyAlignment="1">
      <alignment horizontal="right" vertical="center" wrapText="1"/>
    </xf>
    <xf numFmtId="169" fontId="9" fillId="0" borderId="15" xfId="0" applyNumberFormat="1" applyFont="1" applyBorder="1" applyAlignment="1">
      <alignment horizontal="right" vertical="center" wrapText="1"/>
    </xf>
    <xf numFmtId="3" fontId="9" fillId="0" borderId="16" xfId="0" applyNumberFormat="1" applyFont="1" applyBorder="1" applyAlignment="1">
      <alignment horizontal="right"/>
    </xf>
    <xf numFmtId="0" fontId="10" fillId="0" borderId="0" xfId="0" applyFont="1" applyAlignment="1">
      <alignment horizontal="right"/>
    </xf>
    <xf numFmtId="3" fontId="9" fillId="0" borderId="0" xfId="0" applyNumberFormat="1" applyFont="1" applyAlignment="1">
      <alignment horizontal="right"/>
    </xf>
    <xf numFmtId="169" fontId="9" fillId="0" borderId="0" xfId="0" applyNumberFormat="1" applyFont="1" applyAlignment="1">
      <alignment horizontal="right"/>
    </xf>
    <xf numFmtId="0" fontId="34" fillId="0" borderId="0" xfId="37" applyFont="1" applyAlignment="1">
      <alignment horizontal="right" wrapText="1"/>
    </xf>
    <xf numFmtId="0" fontId="34" fillId="0" borderId="0" xfId="37" applyFont="1" applyAlignment="1">
      <alignment wrapText="1"/>
    </xf>
    <xf numFmtId="0" fontId="0" fillId="0" borderId="39" xfId="0" applyBorder="1"/>
    <xf numFmtId="0" fontId="0" fillId="0" borderId="42" xfId="0" applyBorder="1"/>
    <xf numFmtId="3" fontId="0" fillId="0" borderId="18" xfId="0" applyNumberFormat="1" applyBorder="1"/>
    <xf numFmtId="0" fontId="4" fillId="0" borderId="3" xfId="0" applyFont="1" applyBorder="1" applyAlignment="1">
      <alignment horizontal="center"/>
    </xf>
    <xf numFmtId="166" fontId="4" fillId="0" borderId="21" xfId="0" applyNumberFormat="1" applyFont="1" applyBorder="1" applyAlignment="1">
      <alignment horizontal="center" vertical="center"/>
    </xf>
    <xf numFmtId="0" fontId="3" fillId="0" borderId="7" xfId="0" applyFont="1" applyBorder="1" applyAlignment="1">
      <alignment vertical="center"/>
    </xf>
    <xf numFmtId="0" fontId="0" fillId="0" borderId="9" xfId="0" applyBorder="1" applyAlignment="1">
      <alignment horizontal="center" vertical="center"/>
    </xf>
    <xf numFmtId="166" fontId="0" fillId="0" borderId="5" xfId="0" applyNumberFormat="1" applyBorder="1"/>
    <xf numFmtId="0" fontId="4" fillId="0" borderId="7" xfId="0" applyFont="1" applyBorder="1"/>
    <xf numFmtId="0" fontId="41" fillId="0" borderId="0" xfId="45"/>
    <xf numFmtId="170" fontId="4" fillId="0" borderId="0" xfId="0" applyNumberFormat="1" applyFont="1" applyAlignment="1">
      <alignment horizontal="center"/>
    </xf>
    <xf numFmtId="49" fontId="4" fillId="0" borderId="0" xfId="0" applyNumberFormat="1" applyFont="1" applyAlignment="1">
      <alignment vertical="top" wrapText="1"/>
    </xf>
    <xf numFmtId="7" fontId="0" fillId="0" borderId="0" xfId="2" applyNumberFormat="1" applyFont="1" applyFill="1" applyProtection="1"/>
    <xf numFmtId="49" fontId="4" fillId="0" borderId="0" xfId="0" applyNumberFormat="1" applyFont="1" applyAlignment="1">
      <alignment horizontal="right" wrapText="1"/>
    </xf>
    <xf numFmtId="0" fontId="46" fillId="26" borderId="6" xfId="0" applyFont="1" applyFill="1" applyBorder="1" applyAlignment="1">
      <alignment horizontal="left" vertical="top" wrapText="1"/>
    </xf>
    <xf numFmtId="0" fontId="46" fillId="18" borderId="6" xfId="0" applyFont="1" applyFill="1" applyBorder="1" applyAlignment="1">
      <alignment horizontal="left" vertical="top" wrapText="1"/>
    </xf>
    <xf numFmtId="0" fontId="46" fillId="19" borderId="6" xfId="0" applyFont="1" applyFill="1" applyBorder="1" applyAlignment="1">
      <alignment horizontal="left" vertical="top" wrapText="1"/>
    </xf>
    <xf numFmtId="166" fontId="4" fillId="0" borderId="78" xfId="30" applyNumberFormat="1" applyFont="1" applyBorder="1"/>
    <xf numFmtId="166" fontId="24" fillId="0" borderId="78" xfId="0" applyNumberFormat="1" applyFont="1" applyBorder="1"/>
    <xf numFmtId="3" fontId="24" fillId="0" borderId="78" xfId="0" applyNumberFormat="1" applyFont="1" applyBorder="1"/>
    <xf numFmtId="0" fontId="24" fillId="0" borderId="78" xfId="0" applyFont="1" applyBorder="1"/>
    <xf numFmtId="0" fontId="25" fillId="0" borderId="78" xfId="30" applyBorder="1" applyAlignment="1">
      <alignment horizontal="right"/>
    </xf>
    <xf numFmtId="0" fontId="4" fillId="0" borderId="78" xfId="30" applyFont="1" applyBorder="1" applyAlignment="1">
      <alignment horizontal="right"/>
    </xf>
    <xf numFmtId="3" fontId="25" fillId="0" borderId="78" xfId="30" applyNumberFormat="1" applyBorder="1"/>
    <xf numFmtId="167" fontId="13" fillId="0" borderId="78" xfId="2" applyNumberFormat="1" applyFont="1" applyFill="1" applyBorder="1" applyAlignment="1" applyProtection="1">
      <alignment horizontal="right"/>
    </xf>
    <xf numFmtId="10" fontId="13" fillId="9" borderId="78" xfId="3" applyNumberFormat="1" applyFont="1" applyFill="1" applyBorder="1" applyAlignment="1">
      <alignment horizontal="right" vertical="center" wrapText="1"/>
    </xf>
    <xf numFmtId="0" fontId="3" fillId="0" borderId="78" xfId="0" applyFont="1" applyBorder="1"/>
    <xf numFmtId="0" fontId="0" fillId="0" borderId="78" xfId="0" applyBorder="1"/>
    <xf numFmtId="0" fontId="3" fillId="0" borderId="78" xfId="0" applyFont="1" applyBorder="1" applyAlignment="1">
      <alignment horizontal="right" wrapText="1"/>
    </xf>
    <xf numFmtId="0" fontId="3" fillId="0" borderId="78" xfId="0" applyFont="1" applyBorder="1" applyAlignment="1">
      <alignment horizontal="right"/>
    </xf>
    <xf numFmtId="0" fontId="4" fillId="0" borderId="78" xfId="0" applyFont="1" applyBorder="1" applyAlignment="1">
      <alignment horizontal="right"/>
    </xf>
    <xf numFmtId="0" fontId="34" fillId="0" borderId="87" xfId="37" applyFont="1" applyBorder="1" applyAlignment="1">
      <alignment horizontal="center"/>
    </xf>
    <xf numFmtId="3" fontId="0" fillId="0" borderId="88" xfId="0" applyNumberFormat="1" applyBorder="1"/>
    <xf numFmtId="0" fontId="34" fillId="0" borderId="77" xfId="42" applyFont="1" applyBorder="1" applyAlignment="1">
      <alignment horizontal="right" wrapText="1"/>
    </xf>
    <xf numFmtId="0" fontId="4" fillId="0" borderId="78" xfId="20" applyBorder="1" applyAlignment="1">
      <alignment horizontal="center"/>
    </xf>
    <xf numFmtId="0" fontId="34" fillId="0" borderId="76" xfId="45" applyFont="1" applyBorder="1" applyAlignment="1">
      <alignment horizontal="center"/>
    </xf>
    <xf numFmtId="0" fontId="34" fillId="0" borderId="77" xfId="45" applyFont="1" applyBorder="1" applyAlignment="1">
      <alignment horizontal="right" wrapText="1"/>
    </xf>
    <xf numFmtId="0" fontId="34" fillId="0" borderId="77" xfId="45" applyFont="1" applyBorder="1" applyAlignment="1">
      <alignment wrapText="1"/>
    </xf>
    <xf numFmtId="177" fontId="34" fillId="0" borderId="77" xfId="45" applyNumberFormat="1" applyFont="1" applyBorder="1" applyAlignment="1">
      <alignment horizontal="right" wrapText="1"/>
    </xf>
    <xf numFmtId="44" fontId="14" fillId="0" borderId="78" xfId="2" applyFont="1" applyFill="1" applyBorder="1"/>
    <xf numFmtId="0" fontId="34" fillId="20" borderId="76" xfId="49" applyFont="1" applyFill="1" applyBorder="1" applyAlignment="1">
      <alignment horizontal="center"/>
    </xf>
    <xf numFmtId="0" fontId="34" fillId="20" borderId="83" xfId="49" applyFont="1" applyFill="1" applyBorder="1" applyAlignment="1">
      <alignment horizontal="center"/>
    </xf>
    <xf numFmtId="0" fontId="34" fillId="20" borderId="0" xfId="49" applyFont="1" applyFill="1" applyAlignment="1">
      <alignment horizontal="center"/>
    </xf>
    <xf numFmtId="178" fontId="34" fillId="0" borderId="77" xfId="49" applyNumberFormat="1" applyFont="1" applyBorder="1" applyAlignment="1">
      <alignment horizontal="right" wrapText="1"/>
    </xf>
    <xf numFmtId="177" fontId="34" fillId="0" borderId="77" xfId="49" applyNumberFormat="1" applyFont="1" applyBorder="1" applyAlignment="1">
      <alignment horizontal="right" wrapText="1"/>
    </xf>
    <xf numFmtId="0" fontId="3" fillId="0" borderId="78" xfId="0" applyFont="1" applyBorder="1" applyAlignment="1" applyProtection="1">
      <alignment horizontal="center" vertical="center" wrapText="1"/>
      <protection locked="0"/>
    </xf>
    <xf numFmtId="0" fontId="3" fillId="0" borderId="78" xfId="0" applyFont="1" applyBorder="1" applyAlignment="1">
      <alignment horizontal="center" vertical="center" wrapText="1"/>
    </xf>
    <xf numFmtId="166" fontId="2" fillId="0" borderId="78" xfId="0" applyNumberFormat="1" applyFont="1" applyBorder="1" applyAlignment="1">
      <alignment horizontal="left" vertical="center"/>
    </xf>
    <xf numFmtId="0" fontId="34" fillId="20" borderId="76" xfId="43" applyFont="1" applyFill="1" applyBorder="1" applyAlignment="1">
      <alignment horizontal="center"/>
    </xf>
    <xf numFmtId="178" fontId="34" fillId="0" borderId="77" xfId="43" applyNumberFormat="1" applyFont="1" applyBorder="1" applyAlignment="1">
      <alignment horizontal="right" wrapText="1"/>
    </xf>
    <xf numFmtId="180" fontId="34" fillId="0" borderId="77" xfId="43" applyNumberFormat="1" applyFont="1" applyBorder="1" applyAlignment="1">
      <alignment horizontal="right" wrapText="1"/>
    </xf>
    <xf numFmtId="0" fontId="3" fillId="0" borderId="78" xfId="30" applyFont="1" applyBorder="1"/>
    <xf numFmtId="2" fontId="24" fillId="0" borderId="78" xfId="0" applyNumberFormat="1" applyFont="1" applyBorder="1" applyAlignment="1">
      <alignment vertical="top"/>
    </xf>
    <xf numFmtId="166" fontId="18" fillId="0" borderId="23" xfId="0" applyNumberFormat="1" applyFont="1" applyBorder="1" applyAlignment="1">
      <alignment horizontal="left" vertical="top" wrapText="1"/>
    </xf>
    <xf numFmtId="166" fontId="18" fillId="0" borderId="24" xfId="0" applyNumberFormat="1" applyFont="1" applyBorder="1" applyAlignment="1">
      <alignment horizontal="left" vertical="top" wrapText="1"/>
    </xf>
    <xf numFmtId="166" fontId="18" fillId="0" borderId="25" xfId="0" applyNumberFormat="1" applyFont="1" applyBorder="1" applyAlignment="1">
      <alignment horizontal="left" vertical="top" wrapText="1"/>
    </xf>
    <xf numFmtId="0" fontId="18" fillId="0" borderId="24" xfId="0" applyFont="1" applyBorder="1" applyAlignment="1">
      <alignment horizontal="center"/>
    </xf>
    <xf numFmtId="0" fontId="18" fillId="0" borderId="60" xfId="0" applyFont="1" applyBorder="1" applyAlignment="1">
      <alignment horizont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166" fontId="4" fillId="0" borderId="18" xfId="0" applyNumberFormat="1" applyFont="1" applyBorder="1" applyAlignment="1">
      <alignment horizontal="center" vertical="center"/>
    </xf>
    <xf numFmtId="166" fontId="4" fillId="0" borderId="19" xfId="0" applyNumberFormat="1" applyFont="1" applyBorder="1" applyAlignment="1">
      <alignment horizontal="center" vertical="center"/>
    </xf>
    <xf numFmtId="166" fontId="4" fillId="0" borderId="20" xfId="0" applyNumberFormat="1"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16" borderId="18" xfId="0" applyFill="1" applyBorder="1" applyAlignment="1"/>
    <xf numFmtId="0" fontId="0" fillId="16" borderId="19" xfId="0" applyFill="1" applyBorder="1" applyAlignment="1"/>
    <xf numFmtId="0" fontId="0" fillId="16" borderId="46" xfId="0" applyFill="1" applyBorder="1" applyAlignment="1"/>
    <xf numFmtId="0" fontId="13" fillId="0" borderId="1" xfId="0" applyFont="1" applyBorder="1" applyAlignment="1">
      <alignment vertical="center" wrapText="1"/>
    </xf>
    <xf numFmtId="0" fontId="13" fillId="0" borderId="4" xfId="0" applyFont="1" applyBorder="1" applyAlignment="1">
      <alignment vertical="center" wrapText="1"/>
    </xf>
    <xf numFmtId="0" fontId="13" fillId="0" borderId="7" xfId="0" applyFont="1" applyBorder="1" applyAlignment="1">
      <alignment vertical="center" wrapText="1"/>
    </xf>
    <xf numFmtId="0" fontId="13" fillId="0" borderId="57" xfId="0" applyFont="1" applyBorder="1" applyAlignment="1">
      <alignment vertical="center" wrapText="1"/>
    </xf>
    <xf numFmtId="0" fontId="13" fillId="0" borderId="41" xfId="0" applyFont="1" applyBorder="1" applyAlignment="1">
      <alignment vertical="center" wrapText="1"/>
    </xf>
    <xf numFmtId="0" fontId="13" fillId="0" borderId="58" xfId="0" applyFont="1" applyBorder="1" applyAlignment="1">
      <alignment vertical="center" wrapText="1"/>
    </xf>
    <xf numFmtId="0" fontId="13" fillId="0" borderId="39" xfId="20" applyFont="1" applyBorder="1" applyAlignment="1">
      <alignment vertical="center"/>
    </xf>
    <xf numFmtId="0" fontId="13" fillId="0" borderId="40" xfId="20" applyFont="1" applyBorder="1" applyAlignment="1">
      <alignment vertical="center"/>
    </xf>
    <xf numFmtId="0" fontId="13" fillId="0" borderId="42" xfId="20" applyFont="1" applyBorder="1" applyAlignment="1">
      <alignment vertical="center"/>
    </xf>
    <xf numFmtId="0" fontId="13" fillId="0" borderId="39" xfId="0" applyFont="1" applyBorder="1" applyAlignment="1">
      <alignment vertical="center" wrapText="1"/>
    </xf>
    <xf numFmtId="0" fontId="13" fillId="0" borderId="40" xfId="0" applyFont="1" applyBorder="1" applyAlignment="1">
      <alignment vertical="center" wrapText="1"/>
    </xf>
    <xf numFmtId="0" fontId="13" fillId="0" borderId="42" xfId="0" applyFont="1" applyBorder="1" applyAlignment="1">
      <alignment vertical="center" wrapText="1"/>
    </xf>
    <xf numFmtId="0" fontId="13" fillId="0" borderId="65" xfId="0" applyFont="1" applyBorder="1" applyAlignment="1">
      <alignment vertical="center" wrapText="1"/>
    </xf>
    <xf numFmtId="0" fontId="13" fillId="0" borderId="66" xfId="0" applyFont="1" applyBorder="1" applyAlignment="1">
      <alignment vertical="center" wrapText="1"/>
    </xf>
    <xf numFmtId="0" fontId="13" fillId="0" borderId="67" xfId="0" applyFont="1" applyBorder="1" applyAlignment="1">
      <alignment vertical="center" wrapText="1"/>
    </xf>
    <xf numFmtId="0" fontId="13" fillId="0" borderId="41" xfId="0" applyFont="1" applyBorder="1" applyAlignment="1">
      <alignment vertical="center"/>
    </xf>
    <xf numFmtId="0" fontId="13" fillId="0" borderId="58" xfId="0" applyFont="1" applyBorder="1" applyAlignment="1">
      <alignment vertical="center"/>
    </xf>
    <xf numFmtId="49" fontId="18" fillId="0" borderId="26" xfId="0" applyNumberFormat="1" applyFont="1" applyBorder="1" applyAlignment="1">
      <alignment vertical="center" wrapText="1"/>
    </xf>
    <xf numFmtId="49" fontId="18" fillId="0" borderId="29" xfId="0" applyNumberFormat="1" applyFont="1" applyBorder="1" applyAlignment="1">
      <alignment vertical="center" wrapText="1"/>
    </xf>
    <xf numFmtId="49" fontId="18" fillId="0" borderId="74" xfId="0" applyNumberFormat="1" applyFont="1" applyBorder="1" applyAlignment="1">
      <alignment vertical="center" wrapText="1"/>
    </xf>
    <xf numFmtId="49" fontId="18" fillId="0" borderId="71" xfId="0" applyNumberFormat="1" applyFont="1" applyBorder="1" applyAlignment="1">
      <alignment vertical="center" wrapText="1"/>
    </xf>
    <xf numFmtId="0" fontId="18" fillId="0" borderId="24" xfId="0" applyFont="1" applyBorder="1" applyAlignment="1"/>
    <xf numFmtId="0" fontId="18" fillId="0" borderId="60" xfId="0" applyFont="1" applyBorder="1" applyAlignment="1"/>
    <xf numFmtId="166" fontId="18" fillId="0" borderId="23" xfId="0" applyNumberFormat="1" applyFont="1" applyBorder="1" applyAlignment="1">
      <alignment vertical="top" wrapText="1"/>
    </xf>
    <xf numFmtId="166" fontId="18" fillId="0" borderId="24" xfId="0" applyNumberFormat="1" applyFont="1" applyBorder="1" applyAlignment="1">
      <alignment vertical="top" wrapText="1"/>
    </xf>
    <xf numFmtId="166" fontId="18" fillId="0" borderId="25" xfId="0" applyNumberFormat="1" applyFont="1" applyBorder="1" applyAlignment="1">
      <alignment vertical="top" wrapText="1"/>
    </xf>
    <xf numFmtId="0" fontId="31" fillId="0" borderId="0" xfId="0" applyFont="1" applyFill="1" applyProtection="1">
      <protection locked="0"/>
    </xf>
    <xf numFmtId="166" fontId="0" fillId="0" borderId="0" xfId="0" applyNumberFormat="1" applyFill="1" applyProtection="1">
      <protection locked="0"/>
    </xf>
    <xf numFmtId="166" fontId="24" fillId="0" borderId="0" xfId="0" applyNumberFormat="1" applyFont="1" applyFill="1" applyProtection="1">
      <protection locked="0"/>
    </xf>
    <xf numFmtId="166" fontId="0" fillId="0" borderId="0" xfId="0" applyNumberFormat="1" applyFill="1"/>
    <xf numFmtId="0" fontId="24" fillId="0" borderId="0" xfId="0" applyFont="1" applyFill="1" applyProtection="1">
      <protection locked="0"/>
    </xf>
    <xf numFmtId="10" fontId="0" fillId="0" borderId="0" xfId="0" applyNumberFormat="1" applyFill="1"/>
    <xf numFmtId="10" fontId="24" fillId="0" borderId="0" xfId="0" applyNumberFormat="1" applyFont="1" applyFill="1"/>
    <xf numFmtId="0" fontId="0" fillId="0" borderId="0" xfId="0" applyFill="1"/>
    <xf numFmtId="0" fontId="0" fillId="0" borderId="0" xfId="0" applyFill="1" applyProtection="1">
      <protection locked="0"/>
    </xf>
    <xf numFmtId="49" fontId="31" fillId="0" borderId="0" xfId="0" applyNumberFormat="1" applyFont="1" applyFill="1" applyAlignment="1" applyProtection="1">
      <alignment vertical="top" wrapText="1"/>
      <protection locked="0"/>
    </xf>
    <xf numFmtId="0" fontId="0" fillId="0" borderId="0" xfId="0" applyFill="1" applyAlignment="1" applyProtection="1">
      <alignment horizontal="center"/>
      <protection locked="0"/>
    </xf>
    <xf numFmtId="0" fontId="24" fillId="0" borderId="0" xfId="0" applyFont="1" applyFill="1" applyAlignment="1">
      <alignment wrapText="1"/>
    </xf>
  </cellXfs>
  <cellStyles count="51">
    <cellStyle name="Comma" xfId="1" builtinId="3"/>
    <cellStyle name="Comma 2" xfId="6" xr:uid="{00000000-0005-0000-0000-000001000000}"/>
    <cellStyle name="Comma 3" xfId="7" xr:uid="{00000000-0005-0000-0000-000002000000}"/>
    <cellStyle name="Comma 3 2" xfId="8" xr:uid="{00000000-0005-0000-0000-000003000000}"/>
    <cellStyle name="Comma 3 3" xfId="34" xr:uid="{00000000-0005-0000-0000-000004000000}"/>
    <cellStyle name="Comma 4" xfId="9" xr:uid="{00000000-0005-0000-0000-000005000000}"/>
    <cellStyle name="Comma 5" xfId="27" xr:uid="{00000000-0005-0000-0000-000006000000}"/>
    <cellStyle name="Comma 6" xfId="5" xr:uid="{00000000-0005-0000-0000-000007000000}"/>
    <cellStyle name="Comma 7" xfId="31" xr:uid="{00000000-0005-0000-0000-000008000000}"/>
    <cellStyle name="Comma 8" xfId="48" xr:uid="{57923FE8-09A0-4C9D-BFF5-40D0B6407C6B}"/>
    <cellStyle name="Comma0" xfId="10" xr:uid="{00000000-0005-0000-0000-000009000000}"/>
    <cellStyle name="Comma0 2" xfId="11" xr:uid="{00000000-0005-0000-0000-00000A000000}"/>
    <cellStyle name="Comma0 3" xfId="12" xr:uid="{00000000-0005-0000-0000-00000B000000}"/>
    <cellStyle name="Currency" xfId="2" builtinId="4"/>
    <cellStyle name="Currency 2" xfId="14" xr:uid="{00000000-0005-0000-0000-00000D000000}"/>
    <cellStyle name="Currency 3" xfId="15" xr:uid="{00000000-0005-0000-0000-00000E000000}"/>
    <cellStyle name="Currency 3 2" xfId="16" xr:uid="{00000000-0005-0000-0000-00000F000000}"/>
    <cellStyle name="Currency 3 3" xfId="35" xr:uid="{00000000-0005-0000-0000-000010000000}"/>
    <cellStyle name="Currency 4" xfId="17" xr:uid="{00000000-0005-0000-0000-000011000000}"/>
    <cellStyle name="Currency 5" xfId="28" xr:uid="{00000000-0005-0000-0000-000012000000}"/>
    <cellStyle name="Currency 6" xfId="13" xr:uid="{00000000-0005-0000-0000-000013000000}"/>
    <cellStyle name="Currency 7" xfId="32" xr:uid="{00000000-0005-0000-0000-000014000000}"/>
    <cellStyle name="Hyperlink" xfId="38" builtinId="8"/>
    <cellStyle name="Hyperlink 2" xfId="18" xr:uid="{00000000-0005-0000-0000-000016000000}"/>
    <cellStyle name="Normal" xfId="0" builtinId="0"/>
    <cellStyle name="Normal 10 2 2" xfId="39" xr:uid="{00000000-0005-0000-0000-000018000000}"/>
    <cellStyle name="Normal 169" xfId="40" xr:uid="{00000000-0005-0000-0000-000019000000}"/>
    <cellStyle name="Normal 2" xfId="19" xr:uid="{00000000-0005-0000-0000-00001A000000}"/>
    <cellStyle name="Normal 2 2" xfId="41" xr:uid="{00000000-0005-0000-0000-00001B000000}"/>
    <cellStyle name="Normal 3" xfId="20" xr:uid="{00000000-0005-0000-0000-00001C000000}"/>
    <cellStyle name="Normal 4" xfId="26" xr:uid="{00000000-0005-0000-0000-00001D000000}"/>
    <cellStyle name="Normal 5" xfId="4" xr:uid="{00000000-0005-0000-0000-00001E000000}"/>
    <cellStyle name="Normal 6" xfId="30" xr:uid="{00000000-0005-0000-0000-00001F000000}"/>
    <cellStyle name="Normal 7" xfId="47" xr:uid="{14FEAB08-AC90-41A6-A961-7F9CC561C347}"/>
    <cellStyle name="Normal_2.StudentAssumptions" xfId="37" xr:uid="{00000000-0005-0000-0000-000020000000}"/>
    <cellStyle name="Normal_2.StudentAssumptions_1" xfId="42" xr:uid="{00000000-0005-0000-0000-000021000000}"/>
    <cellStyle name="Normal_3.SalaryHistory_2" xfId="45" xr:uid="{B988A3BD-C2D0-4F18-8A85-F4123FD2E7FD}"/>
    <cellStyle name="Normal_District total salaries" xfId="46" xr:uid="{6D17DF79-79DD-42B8-9394-B2682B30CAC6}"/>
    <cellStyle name="Normal_Food service" xfId="44" xr:uid="{00000000-0005-0000-0000-000024000000}"/>
    <cellStyle name="Normal_RIPROS" xfId="49" xr:uid="{7BEA3F5E-5E6E-4591-AB1E-D2A59D2A6878}"/>
    <cellStyle name="Normal_Sheet1" xfId="50" xr:uid="{6D8B0C83-50C3-47EC-B48C-D6DBF33BFBCC}"/>
    <cellStyle name="Normal_Sheet3" xfId="43" xr:uid="{00000000-0005-0000-0000-000025000000}"/>
    <cellStyle name="Percent" xfId="3" builtinId="5"/>
    <cellStyle name="Percent 2" xfId="22" xr:uid="{00000000-0005-0000-0000-000028000000}"/>
    <cellStyle name="Percent 3" xfId="23" xr:uid="{00000000-0005-0000-0000-000029000000}"/>
    <cellStyle name="Percent 3 2" xfId="24" xr:uid="{00000000-0005-0000-0000-00002A000000}"/>
    <cellStyle name="Percent 3 3" xfId="36" xr:uid="{00000000-0005-0000-0000-00002B000000}"/>
    <cellStyle name="Percent 4" xfId="25" xr:uid="{00000000-0005-0000-0000-00002C000000}"/>
    <cellStyle name="Percent 5" xfId="29" xr:uid="{00000000-0005-0000-0000-00002D000000}"/>
    <cellStyle name="Percent 6" xfId="21" xr:uid="{00000000-0005-0000-0000-00002E000000}"/>
    <cellStyle name="Percent 7" xfId="33" xr:uid="{00000000-0005-0000-0000-00002F000000}"/>
  </cellStyles>
  <dxfs count="7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QEC\QEC%20YYYY\Model%20Spreadsheets\Initial%20for%20Report%20YYY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12 Assumptions"/>
      <sheetName val="Years"/>
      <sheetName val="Raw Student"/>
      <sheetName val="Raw Staff"/>
      <sheetName val="Raw Financial"/>
      <sheetName val="Staffing_ClassSize_Report"/>
      <sheetName val="Pre-K Assumptions"/>
      <sheetName val="Scale-Up"/>
      <sheetName val="Pre-K Output Tables"/>
      <sheetName val="Pre-K Detail"/>
      <sheetName val="K-12 Output Tables"/>
      <sheetName val="ES_Detail"/>
      <sheetName val="MS_Detail"/>
      <sheetName val="HS_Detail"/>
      <sheetName val="Detail_Parameters"/>
      <sheetName val="Parameters"/>
      <sheetName val="SalaryParameters"/>
      <sheetName val="Diagnosti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hyperlink" Target="https://data.bls.gov/timeseries/CUUR0000SEEE01?output_view=data"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data.bls.gov/timeseries/CUSR0000SEEA?output_view=data"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0230C-005B-4A07-88A4-42FC4489373C}">
  <sheetPr>
    <tabColor theme="0" tint="-0.14999847407452621"/>
  </sheetPr>
  <dimension ref="A1:C34"/>
  <sheetViews>
    <sheetView tabSelected="1" workbookViewId="0"/>
  </sheetViews>
  <sheetFormatPr defaultRowHeight="15"/>
  <cols>
    <col min="1" max="1" width="28.42578125" style="1110" bestFit="1" customWidth="1"/>
    <col min="2" max="2" width="74.140625" style="1110" customWidth="1"/>
    <col min="3" max="3" width="84.5703125" style="1110" bestFit="1" customWidth="1"/>
    <col min="4" max="16384" width="9.140625" style="1110"/>
  </cols>
  <sheetData>
    <row r="1" spans="1:3" ht="94.5">
      <c r="A1" s="1111" t="s">
        <v>0</v>
      </c>
      <c r="B1" s="1112" t="s">
        <v>1083</v>
      </c>
    </row>
    <row r="4" spans="1:3" ht="45">
      <c r="A4" s="1111" t="s">
        <v>1</v>
      </c>
      <c r="B4" s="1110" t="s">
        <v>2</v>
      </c>
    </row>
    <row r="6" spans="1:3" ht="15.75">
      <c r="A6" s="1113" t="s">
        <v>3</v>
      </c>
      <c r="B6" s="1113" t="s">
        <v>4</v>
      </c>
      <c r="C6" s="1113" t="s">
        <v>5</v>
      </c>
    </row>
    <row r="7" spans="1:3" ht="31.5">
      <c r="A7" s="1114" t="s">
        <v>6</v>
      </c>
      <c r="B7" s="1114" t="s">
        <v>7</v>
      </c>
      <c r="C7" s="1114" t="s">
        <v>8</v>
      </c>
    </row>
    <row r="8" spans="1:3" ht="31.5">
      <c r="A8" s="1115" t="s">
        <v>9</v>
      </c>
      <c r="B8" s="1115" t="str">
        <f>'K-12 Output Tables'!D1 &amp; " " &amp; 'K-12 Output Tables'!D2</f>
        <v>Quality Education Model Impact Analysis for the 2025-2027 Biennium Policy Scenario Compared to the Current Service Level</v>
      </c>
      <c r="C8" s="1115" t="s">
        <v>10</v>
      </c>
    </row>
    <row r="9" spans="1:3" ht="31.5">
      <c r="A9" s="1115" t="s">
        <v>11</v>
      </c>
      <c r="B9" s="1115" t="str">
        <f>'Scale-Up'!D1</f>
        <v>QEM Policy Model Estimated Expenditures</v>
      </c>
      <c r="C9" s="1115" t="s">
        <v>12</v>
      </c>
    </row>
    <row r="10" spans="1:3" ht="47.25">
      <c r="A10" s="1115" t="s">
        <v>13</v>
      </c>
      <c r="B10" s="1115"/>
      <c r="C10" s="1115" t="s">
        <v>14</v>
      </c>
    </row>
    <row r="11" spans="1:3" ht="63">
      <c r="A11" s="1116" t="s">
        <v>15</v>
      </c>
      <c r="B11" s="1116" t="s">
        <v>16</v>
      </c>
      <c r="C11" s="1116" t="s">
        <v>17</v>
      </c>
    </row>
    <row r="12" spans="1:3" ht="63">
      <c r="A12" s="1117" t="s">
        <v>18</v>
      </c>
      <c r="B12" s="1117" t="s">
        <v>19</v>
      </c>
      <c r="C12" s="1117" t="s">
        <v>20</v>
      </c>
    </row>
    <row r="13" spans="1:3" ht="63">
      <c r="A13" s="1117" t="s">
        <v>21</v>
      </c>
      <c r="B13" s="1117" t="s">
        <v>22</v>
      </c>
      <c r="C13" s="1117" t="s">
        <v>23</v>
      </c>
    </row>
    <row r="14" spans="1:3" ht="63">
      <c r="A14" s="1117" t="s">
        <v>24</v>
      </c>
      <c r="B14" s="1117" t="s">
        <v>25</v>
      </c>
      <c r="C14" s="1117" t="s">
        <v>26</v>
      </c>
    </row>
    <row r="15" spans="1:3" ht="31.5">
      <c r="A15" s="1118" t="s">
        <v>27</v>
      </c>
      <c r="B15" s="1118" t="s">
        <v>28</v>
      </c>
      <c r="C15" s="1118" t="s">
        <v>29</v>
      </c>
    </row>
    <row r="16" spans="1:3" ht="15.75">
      <c r="A16" s="1119" t="s">
        <v>30</v>
      </c>
      <c r="B16" s="1119" t="s">
        <v>31</v>
      </c>
      <c r="C16" s="1119" t="s">
        <v>32</v>
      </c>
    </row>
    <row r="17" spans="1:3" ht="31.5">
      <c r="A17" s="1119" t="s">
        <v>33</v>
      </c>
      <c r="B17" s="1119" t="s">
        <v>34</v>
      </c>
      <c r="C17" s="1119" t="s">
        <v>35</v>
      </c>
    </row>
    <row r="18" spans="1:3" ht="15.75">
      <c r="A18" s="1120" t="s">
        <v>36</v>
      </c>
      <c r="B18" s="1120" t="s">
        <v>37</v>
      </c>
      <c r="C18" s="1120" t="s">
        <v>38</v>
      </c>
    </row>
    <row r="19" spans="1:3" ht="15.75">
      <c r="A19" s="1120" t="s">
        <v>39</v>
      </c>
      <c r="B19" s="1120" t="s">
        <v>37</v>
      </c>
      <c r="C19" s="1120" t="s">
        <v>38</v>
      </c>
    </row>
    <row r="20" spans="1:3" ht="15.75">
      <c r="A20" s="1120" t="s">
        <v>40</v>
      </c>
      <c r="B20" s="1120" t="s">
        <v>41</v>
      </c>
      <c r="C20" s="1120" t="s">
        <v>38</v>
      </c>
    </row>
    <row r="21" spans="1:3" ht="15.75">
      <c r="A21" s="1120" t="s">
        <v>42</v>
      </c>
      <c r="B21" s="1120" t="s">
        <v>43</v>
      </c>
      <c r="C21" s="1120" t="s">
        <v>38</v>
      </c>
    </row>
    <row r="22" spans="1:3" ht="15.75">
      <c r="A22" s="1120" t="s">
        <v>44</v>
      </c>
      <c r="B22" s="1120" t="s">
        <v>45</v>
      </c>
      <c r="C22" s="1120" t="s">
        <v>38</v>
      </c>
    </row>
    <row r="23" spans="1:3" ht="31.5">
      <c r="A23" s="1121" t="s">
        <v>46</v>
      </c>
      <c r="B23" s="1121" t="str">
        <f>'4.PerStudentExpenditures'!B1</f>
        <v>Base Year Expenditures per Student</v>
      </c>
      <c r="C23" s="1121" t="s">
        <v>47</v>
      </c>
    </row>
    <row r="24" spans="1:3" ht="31.5">
      <c r="A24" s="1121" t="s">
        <v>48</v>
      </c>
      <c r="B24" s="1121" t="s">
        <v>49</v>
      </c>
      <c r="C24" s="1121" t="s">
        <v>50</v>
      </c>
    </row>
    <row r="25" spans="1:3" ht="31.5">
      <c r="A25" s="1122" t="s">
        <v>51</v>
      </c>
      <c r="B25" s="1122" t="s">
        <v>52</v>
      </c>
      <c r="C25" s="1122" t="s">
        <v>53</v>
      </c>
    </row>
    <row r="26" spans="1:3" ht="15.75">
      <c r="A26" s="1122" t="s">
        <v>54</v>
      </c>
      <c r="B26" s="1122" t="s">
        <v>55</v>
      </c>
      <c r="C26" s="1122" t="s">
        <v>56</v>
      </c>
    </row>
    <row r="27" spans="1:3" ht="47.25">
      <c r="A27" s="1122" t="s">
        <v>57</v>
      </c>
      <c r="B27" s="1122" t="s">
        <v>58</v>
      </c>
      <c r="C27" s="1122" t="s">
        <v>59</v>
      </c>
    </row>
    <row r="28" spans="1:3" ht="15.75">
      <c r="A28" s="1160" t="s">
        <v>60</v>
      </c>
      <c r="B28" s="1160" t="s">
        <v>61</v>
      </c>
      <c r="C28" s="1160" t="s">
        <v>62</v>
      </c>
    </row>
    <row r="29" spans="1:3" ht="15.75">
      <c r="A29" s="1160" t="s">
        <v>63</v>
      </c>
      <c r="B29" s="1160" t="s">
        <v>64</v>
      </c>
      <c r="C29" s="1160" t="s">
        <v>65</v>
      </c>
    </row>
    <row r="30" spans="1:3" ht="15.75">
      <c r="A30" s="1160" t="s">
        <v>66</v>
      </c>
      <c r="B30" s="1160" t="s">
        <v>67</v>
      </c>
      <c r="C30" s="1160" t="s">
        <v>65</v>
      </c>
    </row>
    <row r="31" spans="1:3" ht="31.5">
      <c r="A31" s="1161" t="s">
        <v>68</v>
      </c>
      <c r="B31" s="1161" t="s">
        <v>69</v>
      </c>
      <c r="C31" s="1161" t="s">
        <v>70</v>
      </c>
    </row>
    <row r="32" spans="1:3" ht="47.25">
      <c r="A32" s="1161" t="s">
        <v>71</v>
      </c>
      <c r="B32" s="1161" t="s">
        <v>72</v>
      </c>
      <c r="C32" s="1161" t="s">
        <v>70</v>
      </c>
    </row>
    <row r="33" spans="1:3" ht="47.25">
      <c r="A33" s="1162" t="s">
        <v>73</v>
      </c>
      <c r="B33" s="1162" t="s">
        <v>74</v>
      </c>
      <c r="C33" s="1162" t="str">
        <f>'10.CostShares'!B1 &amp; " " &amp; '10.CostShares'!B2</f>
        <v>Change in PERS rate affects centralized services to the extent of their salary share. Adds amount equal to the difference in the PERS rate from the base year times the share that is salary.</v>
      </c>
    </row>
    <row r="34" spans="1:3" ht="47.25">
      <c r="A34" s="1123" t="s">
        <v>75</v>
      </c>
      <c r="B34" s="1123" t="s">
        <v>76</v>
      </c>
      <c r="C34" s="1123" t="s">
        <v>77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Y39"/>
  <sheetViews>
    <sheetView workbookViewId="0"/>
  </sheetViews>
  <sheetFormatPr defaultRowHeight="15"/>
  <cols>
    <col min="1" max="1" width="20.28515625" bestFit="1" customWidth="1"/>
    <col min="2" max="2" width="13.28515625" customWidth="1"/>
    <col min="3" max="3" width="10.140625" bestFit="1" customWidth="1"/>
    <col min="4" max="4" width="9" bestFit="1" customWidth="1"/>
    <col min="5" max="6" width="7.28515625" bestFit="1" customWidth="1"/>
    <col min="7" max="7" width="8.42578125" bestFit="1" customWidth="1"/>
    <col min="8" max="8" width="10.140625" customWidth="1"/>
    <col min="10" max="10" width="28.140625" bestFit="1" customWidth="1"/>
    <col min="11" max="11" width="9.85546875" bestFit="1" customWidth="1"/>
    <col min="12" max="12" width="22.85546875" bestFit="1" customWidth="1"/>
    <col min="13" max="13" width="4.7109375" customWidth="1"/>
    <col min="14" max="14" width="20.5703125" bestFit="1" customWidth="1"/>
    <col min="15" max="15" width="9.85546875" bestFit="1" customWidth="1"/>
    <col min="16" max="16" width="26" bestFit="1" customWidth="1"/>
    <col min="17" max="17" width="4.7109375" customWidth="1"/>
    <col min="18" max="18" width="12.85546875" bestFit="1" customWidth="1"/>
    <col min="19" max="19" width="9.85546875" bestFit="1" customWidth="1"/>
    <col min="20" max="20" width="22.85546875" bestFit="1" customWidth="1"/>
    <col min="21" max="21" width="4.7109375" customWidth="1"/>
    <col min="22" max="22" width="12.85546875" bestFit="1" customWidth="1"/>
    <col min="23" max="23" width="9.85546875" bestFit="1" customWidth="1"/>
    <col min="24" max="25" width="26" bestFit="1" customWidth="1"/>
  </cols>
  <sheetData>
    <row r="1" spans="1:24" ht="20.25">
      <c r="A1" s="1125" t="s">
        <v>632</v>
      </c>
      <c r="B1" s="1126" t="s">
        <v>622</v>
      </c>
      <c r="C1" s="778" t="str">
        <f>'1.Years'!A7</f>
        <v>2022-23</v>
      </c>
      <c r="D1" s="1125"/>
      <c r="E1" s="1125"/>
      <c r="F1" s="1125"/>
      <c r="G1" s="1125"/>
      <c r="H1" s="1125"/>
      <c r="J1" s="66"/>
    </row>
    <row r="2" spans="1:24" ht="20.25">
      <c r="A2" s="1125"/>
      <c r="B2" s="1126"/>
      <c r="C2" s="2"/>
      <c r="D2" s="1125"/>
      <c r="E2" s="1125"/>
      <c r="F2" s="1125"/>
      <c r="G2" s="1125"/>
      <c r="H2" s="1127"/>
      <c r="J2" s="66"/>
    </row>
    <row r="3" spans="1:24" ht="26.25">
      <c r="A3" s="1174" t="s">
        <v>633</v>
      </c>
      <c r="B3" s="1174" t="s">
        <v>634</v>
      </c>
      <c r="C3" s="1174" t="s">
        <v>635</v>
      </c>
      <c r="D3" s="1174" t="s">
        <v>636</v>
      </c>
      <c r="E3" s="1174" t="s">
        <v>637</v>
      </c>
      <c r="F3" s="1175" t="s">
        <v>638</v>
      </c>
      <c r="G3" s="1175" t="s">
        <v>639</v>
      </c>
      <c r="H3" s="1128" t="s">
        <v>634</v>
      </c>
      <c r="J3" t="s">
        <v>640</v>
      </c>
      <c r="N3" t="s">
        <v>641</v>
      </c>
      <c r="R3" t="s">
        <v>642</v>
      </c>
      <c r="V3" t="s">
        <v>643</v>
      </c>
    </row>
    <row r="4" spans="1:24">
      <c r="A4" s="1175" t="s">
        <v>644</v>
      </c>
      <c r="B4" s="1176" t="str">
        <f t="shared" ref="B4:G4" si="0">+$C1</f>
        <v>2022-23</v>
      </c>
      <c r="C4" s="1176" t="str">
        <f t="shared" si="0"/>
        <v>2022-23</v>
      </c>
      <c r="D4" s="1176" t="str">
        <f t="shared" si="0"/>
        <v>2022-23</v>
      </c>
      <c r="E4" s="1176" t="str">
        <f t="shared" si="0"/>
        <v>2022-23</v>
      </c>
      <c r="F4" s="1176" t="str">
        <f t="shared" si="0"/>
        <v>2022-23</v>
      </c>
      <c r="G4" s="1176" t="str">
        <f t="shared" si="0"/>
        <v>2022-23</v>
      </c>
      <c r="H4" s="1129" t="str">
        <f>'1.Years'!B7</f>
        <v>2023-24</v>
      </c>
      <c r="J4" s="1130" t="s">
        <v>645</v>
      </c>
      <c r="K4" s="1130" t="s">
        <v>646</v>
      </c>
      <c r="L4" s="1130" t="s">
        <v>647</v>
      </c>
      <c r="N4" s="1130" t="s">
        <v>645</v>
      </c>
      <c r="O4" s="1130" t="s">
        <v>646</v>
      </c>
      <c r="P4" s="1130" t="s">
        <v>648</v>
      </c>
      <c r="R4" s="1130" t="s">
        <v>645</v>
      </c>
      <c r="S4" s="1130" t="s">
        <v>646</v>
      </c>
      <c r="T4" s="1130" t="s">
        <v>647</v>
      </c>
      <c r="V4" s="1130" t="s">
        <v>645</v>
      </c>
      <c r="W4" s="1130" t="s">
        <v>646</v>
      </c>
      <c r="X4" s="1130" t="s">
        <v>648</v>
      </c>
    </row>
    <row r="5" spans="1:24">
      <c r="A5" s="1131" t="s">
        <v>649</v>
      </c>
      <c r="B5" s="1132">
        <f>L22</f>
        <v>37026</v>
      </c>
      <c r="C5" s="1133">
        <f>L5</f>
        <v>37045.71</v>
      </c>
      <c r="D5" s="1133">
        <f>T5</f>
        <v>5796.51</v>
      </c>
      <c r="E5" s="1132">
        <f>P5</f>
        <v>6598</v>
      </c>
      <c r="F5" s="1132">
        <f>T22</f>
        <v>4304</v>
      </c>
      <c r="G5" s="1132">
        <v>23876</v>
      </c>
      <c r="H5" s="1134">
        <f>P22</f>
        <v>35644</v>
      </c>
      <c r="J5" s="1135">
        <v>2593</v>
      </c>
      <c r="K5" s="1136" t="s">
        <v>649</v>
      </c>
      <c r="L5" s="1135">
        <v>37045.71</v>
      </c>
      <c r="N5" s="1135">
        <v>2584</v>
      </c>
      <c r="O5" s="1136" t="s">
        <v>649</v>
      </c>
      <c r="P5" s="1135">
        <v>6598</v>
      </c>
      <c r="R5" s="1135">
        <v>2593</v>
      </c>
      <c r="S5" s="1136" t="s">
        <v>649</v>
      </c>
      <c r="T5" s="1135">
        <v>5796.51</v>
      </c>
      <c r="V5" s="1135">
        <v>2587</v>
      </c>
      <c r="W5" s="1136" t="s">
        <v>649</v>
      </c>
      <c r="X5" s="1135">
        <v>25342</v>
      </c>
    </row>
    <row r="6" spans="1:24">
      <c r="A6" s="1131">
        <v>1</v>
      </c>
      <c r="B6" s="1132">
        <f t="shared" ref="B6:B17" si="1">L23</f>
        <v>40181</v>
      </c>
      <c r="C6" s="1133">
        <f t="shared" ref="C6:C17" si="2">L6</f>
        <v>40045.18</v>
      </c>
      <c r="D6" s="1133">
        <f t="shared" ref="D6:D17" si="3">T6</f>
        <v>6356.75</v>
      </c>
      <c r="E6" s="1132">
        <f t="shared" ref="E6:E17" si="4">P6</f>
        <v>7143</v>
      </c>
      <c r="F6" s="1132">
        <f t="shared" ref="F6:F17" si="5">T23</f>
        <v>5442</v>
      </c>
      <c r="G6" s="1132">
        <v>25541</v>
      </c>
      <c r="H6" s="1134">
        <f t="shared" ref="H6:H17" si="6">P23</f>
        <v>38406</v>
      </c>
      <c r="J6" s="1135">
        <v>2593</v>
      </c>
      <c r="K6" s="1136" t="s">
        <v>650</v>
      </c>
      <c r="L6" s="1135">
        <v>40045.18</v>
      </c>
      <c r="N6" s="1135">
        <v>2584</v>
      </c>
      <c r="O6" s="1136" t="s">
        <v>650</v>
      </c>
      <c r="P6" s="1135">
        <v>7143</v>
      </c>
      <c r="R6" s="1135">
        <v>2593</v>
      </c>
      <c r="S6" s="1136" t="s">
        <v>650</v>
      </c>
      <c r="T6" s="1135">
        <v>6356.75</v>
      </c>
      <c r="V6" s="1135">
        <v>2587</v>
      </c>
      <c r="W6" s="1136" t="s">
        <v>650</v>
      </c>
      <c r="X6" s="1135">
        <v>27129</v>
      </c>
    </row>
    <row r="7" spans="1:24">
      <c r="A7" s="1131">
        <f>+A6+1</f>
        <v>2</v>
      </c>
      <c r="B7" s="1132">
        <f t="shared" si="1"/>
        <v>39548</v>
      </c>
      <c r="C7" s="1133">
        <f t="shared" si="2"/>
        <v>39463.75</v>
      </c>
      <c r="D7" s="1133">
        <f t="shared" si="3"/>
        <v>5980.29</v>
      </c>
      <c r="E7" s="1132">
        <f t="shared" si="4"/>
        <v>6998</v>
      </c>
      <c r="F7" s="1132">
        <f t="shared" si="5"/>
        <v>5756</v>
      </c>
      <c r="G7" s="1132">
        <v>25715</v>
      </c>
      <c r="H7" s="1134">
        <f t="shared" si="6"/>
        <v>40577</v>
      </c>
      <c r="J7" s="1135">
        <v>2593</v>
      </c>
      <c r="K7" s="1136" t="s">
        <v>651</v>
      </c>
      <c r="L7" s="1135">
        <v>39463.75</v>
      </c>
      <c r="N7" s="1135">
        <v>2584</v>
      </c>
      <c r="O7" s="1136" t="s">
        <v>651</v>
      </c>
      <c r="P7" s="1135">
        <v>6998</v>
      </c>
      <c r="R7" s="1135">
        <v>2593</v>
      </c>
      <c r="S7" s="1136" t="s">
        <v>651</v>
      </c>
      <c r="T7" s="1135">
        <v>5980.29</v>
      </c>
      <c r="V7" s="1135">
        <v>2587</v>
      </c>
      <c r="W7" s="1136" t="s">
        <v>651</v>
      </c>
      <c r="X7" s="1135">
        <v>26577</v>
      </c>
    </row>
    <row r="8" spans="1:24">
      <c r="A8" s="1131">
        <f t="shared" ref="A8:A17" si="7">+A7+1</f>
        <v>3</v>
      </c>
      <c r="B8" s="1132">
        <f t="shared" si="1"/>
        <v>41185</v>
      </c>
      <c r="C8" s="1133">
        <f t="shared" si="2"/>
        <v>41072.78</v>
      </c>
      <c r="D8" s="1133">
        <f t="shared" si="3"/>
        <v>5822.63</v>
      </c>
      <c r="E8" s="1132">
        <f t="shared" si="4"/>
        <v>6752</v>
      </c>
      <c r="F8" s="1132">
        <f t="shared" si="5"/>
        <v>6265</v>
      </c>
      <c r="G8" s="1132">
        <v>26835</v>
      </c>
      <c r="H8" s="1134">
        <f t="shared" si="6"/>
        <v>40026</v>
      </c>
      <c r="J8" s="1135">
        <v>2593</v>
      </c>
      <c r="K8" s="1136" t="s">
        <v>652</v>
      </c>
      <c r="L8" s="1135">
        <v>41072.78</v>
      </c>
      <c r="N8" s="1135">
        <v>2584</v>
      </c>
      <c r="O8" s="1136" t="s">
        <v>652</v>
      </c>
      <c r="P8" s="1135">
        <v>6752</v>
      </c>
      <c r="R8" s="1135">
        <v>2593</v>
      </c>
      <c r="S8" s="1136" t="s">
        <v>652</v>
      </c>
      <c r="T8" s="1135">
        <v>5822.63</v>
      </c>
      <c r="V8" s="1135">
        <v>2587</v>
      </c>
      <c r="W8" s="1136" t="s">
        <v>652</v>
      </c>
      <c r="X8" s="1135">
        <v>28048</v>
      </c>
    </row>
    <row r="9" spans="1:24">
      <c r="A9" s="1131">
        <f t="shared" si="7"/>
        <v>4</v>
      </c>
      <c r="B9" s="1132">
        <f t="shared" si="1"/>
        <v>41214</v>
      </c>
      <c r="C9" s="1133">
        <f t="shared" si="2"/>
        <v>41073.160000000003</v>
      </c>
      <c r="D9" s="1133">
        <f t="shared" si="3"/>
        <v>5042.75</v>
      </c>
      <c r="E9" s="1132">
        <f t="shared" si="4"/>
        <v>5792</v>
      </c>
      <c r="F9" s="1132">
        <f t="shared" si="5"/>
        <v>6510</v>
      </c>
      <c r="G9" s="1132">
        <v>27603</v>
      </c>
      <c r="H9" s="1134">
        <f t="shared" si="6"/>
        <v>41618</v>
      </c>
      <c r="J9" s="1135">
        <v>2593</v>
      </c>
      <c r="K9" s="1136" t="s">
        <v>653</v>
      </c>
      <c r="L9" s="1135">
        <v>41073.160000000003</v>
      </c>
      <c r="N9" s="1135">
        <v>2584</v>
      </c>
      <c r="O9" s="1136" t="s">
        <v>653</v>
      </c>
      <c r="P9" s="1135">
        <v>5792</v>
      </c>
      <c r="R9" s="1135">
        <v>2593</v>
      </c>
      <c r="S9" s="1136" t="s">
        <v>653</v>
      </c>
      <c r="T9" s="1135">
        <v>5042.75</v>
      </c>
      <c r="V9" s="1135">
        <v>2587</v>
      </c>
      <c r="W9" s="1136" t="s">
        <v>653</v>
      </c>
      <c r="X9" s="1135">
        <v>27920</v>
      </c>
    </row>
    <row r="10" spans="1:24">
      <c r="A10" s="1131">
        <f t="shared" si="7"/>
        <v>5</v>
      </c>
      <c r="B10" s="1132">
        <f t="shared" si="1"/>
        <v>41559</v>
      </c>
      <c r="C10" s="1133">
        <f t="shared" si="2"/>
        <v>41426.199999999997</v>
      </c>
      <c r="D10" s="1133">
        <f t="shared" si="3"/>
        <v>4525.8500000000004</v>
      </c>
      <c r="E10" s="1132">
        <f t="shared" si="4"/>
        <v>5157</v>
      </c>
      <c r="F10" s="1132">
        <f t="shared" si="5"/>
        <v>6575</v>
      </c>
      <c r="G10" s="1132">
        <v>27420</v>
      </c>
      <c r="H10" s="1134">
        <f t="shared" si="6"/>
        <v>41454</v>
      </c>
      <c r="J10" s="1135">
        <v>2593</v>
      </c>
      <c r="K10" s="1136" t="s">
        <v>654</v>
      </c>
      <c r="L10" s="1135">
        <v>41426.199999999997</v>
      </c>
      <c r="N10" s="1135">
        <v>2584</v>
      </c>
      <c r="O10" s="1136" t="s">
        <v>654</v>
      </c>
      <c r="P10" s="1135">
        <v>5157</v>
      </c>
      <c r="R10" s="1135">
        <v>2593</v>
      </c>
      <c r="S10" s="1136" t="s">
        <v>654</v>
      </c>
      <c r="T10" s="1135">
        <v>4525.8500000000004</v>
      </c>
      <c r="V10" s="1135">
        <v>2587</v>
      </c>
      <c r="W10" s="1136" t="s">
        <v>654</v>
      </c>
      <c r="X10" s="1135">
        <v>27783</v>
      </c>
    </row>
    <row r="11" spans="1:24">
      <c r="A11" s="1131">
        <f t="shared" si="7"/>
        <v>6</v>
      </c>
      <c r="B11" s="1132">
        <f t="shared" si="1"/>
        <v>41907</v>
      </c>
      <c r="C11" s="1133">
        <f t="shared" si="2"/>
        <v>41632.199999999997</v>
      </c>
      <c r="D11" s="1133">
        <f t="shared" si="3"/>
        <v>4113.04</v>
      </c>
      <c r="E11" s="1132">
        <f t="shared" si="4"/>
        <v>4757</v>
      </c>
      <c r="F11" s="1132">
        <f t="shared" si="5"/>
        <v>6484</v>
      </c>
      <c r="G11" s="1132">
        <v>25608</v>
      </c>
      <c r="H11" s="1134">
        <f t="shared" si="6"/>
        <v>41670</v>
      </c>
      <c r="J11" s="1135">
        <v>2593</v>
      </c>
      <c r="K11" s="1136" t="s">
        <v>655</v>
      </c>
      <c r="L11" s="1135">
        <v>41632.199999999997</v>
      </c>
      <c r="N11" s="1135">
        <v>2584</v>
      </c>
      <c r="O11" s="1136" t="s">
        <v>655</v>
      </c>
      <c r="P11" s="1135">
        <v>4757</v>
      </c>
      <c r="R11" s="1135">
        <v>2593</v>
      </c>
      <c r="S11" s="1136" t="s">
        <v>655</v>
      </c>
      <c r="T11" s="1135">
        <v>4113.04</v>
      </c>
      <c r="V11" s="1135">
        <v>2587</v>
      </c>
      <c r="W11" s="1136" t="s">
        <v>655</v>
      </c>
      <c r="X11" s="1135">
        <v>27419</v>
      </c>
    </row>
    <row r="12" spans="1:24">
      <c r="A12" s="1131">
        <f t="shared" si="7"/>
        <v>7</v>
      </c>
      <c r="B12" s="1132">
        <f t="shared" si="1"/>
        <v>42603</v>
      </c>
      <c r="C12" s="1133">
        <f t="shared" si="2"/>
        <v>42312.31</v>
      </c>
      <c r="D12" s="1133">
        <f t="shared" si="3"/>
        <v>3578.84</v>
      </c>
      <c r="E12" s="1132">
        <f t="shared" si="4"/>
        <v>4096</v>
      </c>
      <c r="F12" s="1132">
        <f t="shared" si="5"/>
        <v>6544</v>
      </c>
      <c r="G12" s="1132">
        <v>23680</v>
      </c>
      <c r="H12" s="1134">
        <f t="shared" si="6"/>
        <v>42008</v>
      </c>
      <c r="J12" s="1135">
        <v>2593</v>
      </c>
      <c r="K12" s="1136" t="s">
        <v>656</v>
      </c>
      <c r="L12" s="1135">
        <v>42312.31</v>
      </c>
      <c r="N12" s="1135">
        <v>2584</v>
      </c>
      <c r="O12" s="1136" t="s">
        <v>656</v>
      </c>
      <c r="P12" s="1135">
        <v>4096</v>
      </c>
      <c r="R12" s="1135">
        <v>2593</v>
      </c>
      <c r="S12" s="1136" t="s">
        <v>656</v>
      </c>
      <c r="T12" s="1135">
        <v>3578.84</v>
      </c>
      <c r="V12" s="1135">
        <v>2587</v>
      </c>
      <c r="W12" s="1136" t="s">
        <v>656</v>
      </c>
      <c r="X12" s="1135">
        <v>26957</v>
      </c>
    </row>
    <row r="13" spans="1:24">
      <c r="A13" s="1131">
        <f t="shared" si="7"/>
        <v>8</v>
      </c>
      <c r="B13" s="1132">
        <f t="shared" si="1"/>
        <v>43936</v>
      </c>
      <c r="C13" s="1133">
        <f t="shared" si="2"/>
        <v>43561.36</v>
      </c>
      <c r="D13" s="1133">
        <f t="shared" si="3"/>
        <v>3544.96</v>
      </c>
      <c r="E13" s="1132">
        <f t="shared" si="4"/>
        <v>4114</v>
      </c>
      <c r="F13" s="1132">
        <f t="shared" si="5"/>
        <v>6488</v>
      </c>
      <c r="G13" s="1132">
        <v>23053</v>
      </c>
      <c r="H13" s="1134">
        <f t="shared" si="6"/>
        <v>42831</v>
      </c>
      <c r="J13" s="1135">
        <v>2593</v>
      </c>
      <c r="K13" s="1136" t="s">
        <v>657</v>
      </c>
      <c r="L13" s="1135">
        <v>43561.36</v>
      </c>
      <c r="N13" s="1135">
        <v>2584</v>
      </c>
      <c r="O13" s="1136" t="s">
        <v>657</v>
      </c>
      <c r="P13" s="1135">
        <v>4114</v>
      </c>
      <c r="R13" s="1135">
        <v>2593</v>
      </c>
      <c r="S13" s="1136" t="s">
        <v>657</v>
      </c>
      <c r="T13" s="1135">
        <v>3544.96</v>
      </c>
      <c r="V13" s="1135">
        <v>2587</v>
      </c>
      <c r="W13" s="1136" t="s">
        <v>657</v>
      </c>
      <c r="X13" s="1135">
        <v>27677</v>
      </c>
    </row>
    <row r="14" spans="1:24">
      <c r="A14" s="1131">
        <f t="shared" si="7"/>
        <v>9</v>
      </c>
      <c r="B14" s="1132">
        <f t="shared" si="1"/>
        <v>46727</v>
      </c>
      <c r="C14" s="1133">
        <f t="shared" si="2"/>
        <v>46126.96</v>
      </c>
      <c r="D14" s="1133">
        <f t="shared" si="3"/>
        <v>3186.91</v>
      </c>
      <c r="E14" s="1132">
        <f t="shared" si="4"/>
        <v>3875</v>
      </c>
      <c r="F14" s="1132">
        <f t="shared" si="5"/>
        <v>6651</v>
      </c>
      <c r="G14" s="1132">
        <v>21823</v>
      </c>
      <c r="H14" s="1134">
        <f t="shared" si="6"/>
        <v>44871</v>
      </c>
      <c r="J14" s="1135">
        <v>2593</v>
      </c>
      <c r="K14" s="1136" t="s">
        <v>658</v>
      </c>
      <c r="L14" s="1135">
        <v>46126.96</v>
      </c>
      <c r="N14" s="1135">
        <v>2584</v>
      </c>
      <c r="O14" s="1136" t="s">
        <v>658</v>
      </c>
      <c r="P14" s="1135">
        <v>3875</v>
      </c>
      <c r="R14" s="1135">
        <v>2593</v>
      </c>
      <c r="S14" s="1136" t="s">
        <v>658</v>
      </c>
      <c r="T14" s="1135">
        <v>3186.91</v>
      </c>
      <c r="V14" s="1135">
        <v>2587</v>
      </c>
      <c r="W14" s="1136" t="s">
        <v>658</v>
      </c>
      <c r="X14" s="1135">
        <v>28696</v>
      </c>
    </row>
    <row r="15" spans="1:24">
      <c r="A15" s="1131">
        <f t="shared" si="7"/>
        <v>10</v>
      </c>
      <c r="B15" s="1132">
        <f t="shared" si="1"/>
        <v>46513</v>
      </c>
      <c r="C15" s="1133">
        <f t="shared" si="2"/>
        <v>45611.94</v>
      </c>
      <c r="D15" s="1133">
        <f t="shared" si="3"/>
        <v>2797.87</v>
      </c>
      <c r="E15" s="1132">
        <f t="shared" si="4"/>
        <v>3748</v>
      </c>
      <c r="F15" s="1132">
        <f t="shared" si="5"/>
        <v>6152</v>
      </c>
      <c r="G15" s="1132">
        <v>20853</v>
      </c>
      <c r="H15" s="1134">
        <f t="shared" si="6"/>
        <v>46733</v>
      </c>
      <c r="J15" s="1135">
        <v>2593</v>
      </c>
      <c r="K15" s="1136" t="s">
        <v>659</v>
      </c>
      <c r="L15" s="1135">
        <v>45611.94</v>
      </c>
      <c r="N15" s="1135">
        <v>2584</v>
      </c>
      <c r="O15" s="1136" t="s">
        <v>659</v>
      </c>
      <c r="P15" s="1135">
        <v>3748</v>
      </c>
      <c r="R15" s="1135">
        <v>2593</v>
      </c>
      <c r="S15" s="1136" t="s">
        <v>659</v>
      </c>
      <c r="T15" s="1135">
        <v>2797.87</v>
      </c>
      <c r="V15" s="1135">
        <v>2587</v>
      </c>
      <c r="W15" s="1136" t="s">
        <v>659</v>
      </c>
      <c r="X15" s="1135">
        <v>26526</v>
      </c>
    </row>
    <row r="16" spans="1:24">
      <c r="A16" s="1131">
        <f t="shared" si="7"/>
        <v>11</v>
      </c>
      <c r="B16" s="1132">
        <f t="shared" si="1"/>
        <v>44750</v>
      </c>
      <c r="C16" s="1133">
        <f t="shared" si="2"/>
        <v>43360.65</v>
      </c>
      <c r="D16" s="1133">
        <f t="shared" si="3"/>
        <v>2305.0100000000002</v>
      </c>
      <c r="E16" s="1132">
        <f t="shared" si="4"/>
        <v>3274</v>
      </c>
      <c r="F16" s="1132">
        <f t="shared" si="5"/>
        <v>5744</v>
      </c>
      <c r="G16" s="1132">
        <v>19535</v>
      </c>
      <c r="H16" s="1134">
        <f t="shared" si="6"/>
        <v>45424</v>
      </c>
      <c r="J16" s="1135">
        <v>2593</v>
      </c>
      <c r="K16" s="1136" t="s">
        <v>660</v>
      </c>
      <c r="L16" s="1135">
        <v>43360.65</v>
      </c>
      <c r="N16" s="1135">
        <v>2584</v>
      </c>
      <c r="O16" s="1136" t="s">
        <v>660</v>
      </c>
      <c r="P16" s="1135">
        <v>3274</v>
      </c>
      <c r="R16" s="1135">
        <v>2593</v>
      </c>
      <c r="S16" s="1136" t="s">
        <v>660</v>
      </c>
      <c r="T16" s="1135">
        <v>2305.0100000000002</v>
      </c>
      <c r="V16" s="1135">
        <v>2587</v>
      </c>
      <c r="W16" s="1136" t="s">
        <v>660</v>
      </c>
      <c r="X16" s="1135">
        <v>24736</v>
      </c>
    </row>
    <row r="17" spans="1:25" ht="15.75" thickBot="1">
      <c r="A17" s="1137">
        <f t="shared" si="7"/>
        <v>12</v>
      </c>
      <c r="B17" s="1138">
        <f t="shared" si="1"/>
        <v>45231</v>
      </c>
      <c r="C17" s="1139">
        <f t="shared" si="2"/>
        <v>41260.71</v>
      </c>
      <c r="D17" s="1139">
        <f t="shared" si="3"/>
        <v>1979.76</v>
      </c>
      <c r="E17" s="1138">
        <f t="shared" si="4"/>
        <v>3299</v>
      </c>
      <c r="F17" s="1138">
        <f t="shared" si="5"/>
        <v>7083</v>
      </c>
      <c r="G17" s="1138">
        <v>19133</v>
      </c>
      <c r="H17" s="1140">
        <f t="shared" si="6"/>
        <v>46162</v>
      </c>
      <c r="J17" s="1135">
        <v>2593</v>
      </c>
      <c r="K17" s="1136" t="s">
        <v>661</v>
      </c>
      <c r="L17" s="1135">
        <v>41260.71</v>
      </c>
      <c r="N17" s="1135">
        <v>2584</v>
      </c>
      <c r="O17" s="1136" t="s">
        <v>661</v>
      </c>
      <c r="P17" s="1135">
        <v>3299</v>
      </c>
      <c r="R17" s="1135">
        <v>2593</v>
      </c>
      <c r="S17" s="1136" t="s">
        <v>661</v>
      </c>
      <c r="T17" s="1135">
        <v>1979.76</v>
      </c>
      <c r="V17" s="1135">
        <v>2587</v>
      </c>
      <c r="W17" s="1136" t="s">
        <v>661</v>
      </c>
      <c r="X17" s="1135">
        <v>23175</v>
      </c>
    </row>
    <row r="18" spans="1:25" ht="16.5" thickTop="1" thickBot="1">
      <c r="A18" s="1141" t="s">
        <v>662</v>
      </c>
      <c r="B18" s="1142">
        <f t="shared" ref="B18:H18" si="8">SUM(B5:B17)</f>
        <v>552380</v>
      </c>
      <c r="C18" s="1143">
        <f t="shared" si="8"/>
        <v>543992.91</v>
      </c>
      <c r="D18" s="1143">
        <f t="shared" si="8"/>
        <v>55031.170000000006</v>
      </c>
      <c r="E18" s="1142">
        <f t="shared" si="8"/>
        <v>65603</v>
      </c>
      <c r="F18" s="1142">
        <f t="shared" si="8"/>
        <v>79998</v>
      </c>
      <c r="G18" s="1142">
        <f t="shared" si="8"/>
        <v>310675</v>
      </c>
      <c r="H18" s="1134">
        <f t="shared" si="8"/>
        <v>547424</v>
      </c>
      <c r="Y18" s="1144"/>
    </row>
    <row r="19" spans="1:25">
      <c r="A19" s="1141" t="s">
        <v>663</v>
      </c>
      <c r="B19" s="1134">
        <f>L20</f>
        <v>549811</v>
      </c>
      <c r="C19" s="1142"/>
      <c r="D19" s="1142"/>
      <c r="E19" s="1142"/>
      <c r="F19" s="1142"/>
      <c r="G19" s="1142"/>
      <c r="H19" s="1134">
        <f>P20</f>
        <v>544957</v>
      </c>
      <c r="J19" s="1145"/>
      <c r="K19" s="1144"/>
      <c r="L19" s="1146" t="s">
        <v>664</v>
      </c>
      <c r="P19" s="1146" t="s">
        <v>664</v>
      </c>
      <c r="V19" s="1130" t="s">
        <v>645</v>
      </c>
      <c r="W19" s="1130" t="s">
        <v>646</v>
      </c>
      <c r="X19" s="1130" t="s">
        <v>665</v>
      </c>
    </row>
    <row r="20" spans="1:25" ht="15.75" thickBot="1">
      <c r="J20" t="s">
        <v>666</v>
      </c>
      <c r="L20" s="1147">
        <v>549811</v>
      </c>
      <c r="N20" t="s">
        <v>667</v>
      </c>
      <c r="P20" s="1147">
        <v>544957</v>
      </c>
      <c r="R20" t="s">
        <v>668</v>
      </c>
      <c r="V20" s="1135">
        <v>2660</v>
      </c>
      <c r="W20" s="1136" t="s">
        <v>649</v>
      </c>
      <c r="X20" s="1135">
        <v>35644</v>
      </c>
    </row>
    <row r="21" spans="1:25">
      <c r="J21" s="1130" t="s">
        <v>645</v>
      </c>
      <c r="K21" s="1130" t="s">
        <v>646</v>
      </c>
      <c r="L21" s="1177" t="s">
        <v>665</v>
      </c>
      <c r="N21" s="1130" t="s">
        <v>645</v>
      </c>
      <c r="O21" s="1130" t="s">
        <v>646</v>
      </c>
      <c r="P21" s="1177" t="s">
        <v>665</v>
      </c>
      <c r="R21" s="1130" t="s">
        <v>645</v>
      </c>
      <c r="S21" s="1130" t="s">
        <v>646</v>
      </c>
      <c r="T21" s="1130" t="s">
        <v>665</v>
      </c>
      <c r="V21" s="1135">
        <v>2660</v>
      </c>
      <c r="W21" s="1136" t="s">
        <v>650</v>
      </c>
      <c r="X21" s="1135">
        <v>38406</v>
      </c>
    </row>
    <row r="22" spans="1:25">
      <c r="A22" t="s">
        <v>669</v>
      </c>
      <c r="J22" s="1135">
        <v>2557</v>
      </c>
      <c r="K22" s="1136" t="s">
        <v>649</v>
      </c>
      <c r="L22" s="1135">
        <v>37026</v>
      </c>
      <c r="N22" s="1135">
        <v>2660</v>
      </c>
      <c r="O22" s="1136" t="s">
        <v>649</v>
      </c>
      <c r="P22" s="1178">
        <v>35644</v>
      </c>
      <c r="R22" s="1135">
        <v>2570</v>
      </c>
      <c r="S22" s="1136" t="s">
        <v>649</v>
      </c>
      <c r="T22" s="1135">
        <v>4304</v>
      </c>
      <c r="V22" s="1135">
        <v>2660</v>
      </c>
      <c r="W22" s="1136" t="s">
        <v>651</v>
      </c>
      <c r="X22" s="1135">
        <v>40577</v>
      </c>
    </row>
    <row r="23" spans="1:25" ht="15" customHeight="1">
      <c r="J23" s="1135">
        <v>2557</v>
      </c>
      <c r="K23" s="1136" t="s">
        <v>650</v>
      </c>
      <c r="L23" s="1135">
        <v>40181</v>
      </c>
      <c r="N23" s="1135">
        <v>2660</v>
      </c>
      <c r="O23" s="1136" t="s">
        <v>650</v>
      </c>
      <c r="P23" s="1148">
        <v>38406</v>
      </c>
      <c r="R23" s="1135">
        <v>2570</v>
      </c>
      <c r="S23" s="1136" t="s">
        <v>650</v>
      </c>
      <c r="T23" s="1135">
        <v>5442</v>
      </c>
      <c r="V23" s="1135">
        <v>2660</v>
      </c>
      <c r="W23" s="1136" t="s">
        <v>652</v>
      </c>
      <c r="X23" s="1135">
        <v>40026</v>
      </c>
    </row>
    <row r="24" spans="1:25">
      <c r="A24" t="s">
        <v>670</v>
      </c>
      <c r="B24" t="s">
        <v>671</v>
      </c>
      <c r="J24" s="1135">
        <v>2557</v>
      </c>
      <c r="K24" s="1136" t="s">
        <v>651</v>
      </c>
      <c r="L24" s="1135">
        <v>39548</v>
      </c>
      <c r="N24" s="1135">
        <v>2660</v>
      </c>
      <c r="O24" s="1136" t="s">
        <v>651</v>
      </c>
      <c r="P24" s="1148">
        <v>40577</v>
      </c>
      <c r="R24" s="1135">
        <v>2570</v>
      </c>
      <c r="S24" s="1136" t="s">
        <v>651</v>
      </c>
      <c r="T24" s="1135">
        <v>5756</v>
      </c>
      <c r="V24" s="1135">
        <v>2660</v>
      </c>
      <c r="W24" s="1136" t="s">
        <v>653</v>
      </c>
      <c r="X24" s="1135">
        <v>41618</v>
      </c>
    </row>
    <row r="25" spans="1:25">
      <c r="A25" t="s">
        <v>635</v>
      </c>
      <c r="B25" t="s">
        <v>672</v>
      </c>
      <c r="J25" s="1135">
        <v>2557</v>
      </c>
      <c r="K25" s="1136" t="s">
        <v>652</v>
      </c>
      <c r="L25" s="1135">
        <v>41185</v>
      </c>
      <c r="N25" s="1135">
        <v>2660</v>
      </c>
      <c r="O25" s="1136" t="s">
        <v>652</v>
      </c>
      <c r="P25" s="1148">
        <v>40026</v>
      </c>
      <c r="R25" s="1135">
        <v>2570</v>
      </c>
      <c r="S25" s="1136" t="s">
        <v>652</v>
      </c>
      <c r="T25" s="1135">
        <v>6265</v>
      </c>
      <c r="V25" s="1135">
        <v>2660</v>
      </c>
      <c r="W25" s="1136" t="s">
        <v>654</v>
      </c>
      <c r="X25" s="1135">
        <v>41454</v>
      </c>
    </row>
    <row r="26" spans="1:25">
      <c r="A26" t="s">
        <v>636</v>
      </c>
      <c r="B26" t="s">
        <v>672</v>
      </c>
      <c r="J26" s="1135">
        <v>2557</v>
      </c>
      <c r="K26" s="1136" t="s">
        <v>653</v>
      </c>
      <c r="L26" s="1135">
        <v>41214</v>
      </c>
      <c r="N26" s="1135">
        <v>2660</v>
      </c>
      <c r="O26" s="1136" t="s">
        <v>653</v>
      </c>
      <c r="P26" s="1148">
        <v>41618</v>
      </c>
      <c r="R26" s="1135">
        <v>2570</v>
      </c>
      <c r="S26" s="1136" t="s">
        <v>653</v>
      </c>
      <c r="T26" s="1135">
        <v>6510</v>
      </c>
      <c r="V26" s="1135">
        <v>2660</v>
      </c>
      <c r="W26" s="1136" t="s">
        <v>655</v>
      </c>
      <c r="X26" s="1135">
        <v>41670</v>
      </c>
    </row>
    <row r="27" spans="1:25">
      <c r="A27" t="s">
        <v>637</v>
      </c>
      <c r="B27" t="s">
        <v>673</v>
      </c>
      <c r="J27" s="1135">
        <v>2557</v>
      </c>
      <c r="K27" s="1136" t="s">
        <v>654</v>
      </c>
      <c r="L27" s="1135">
        <v>41559</v>
      </c>
      <c r="N27" s="1135">
        <v>2660</v>
      </c>
      <c r="O27" s="1136" t="s">
        <v>654</v>
      </c>
      <c r="P27" s="1148">
        <v>41454</v>
      </c>
      <c r="R27" s="1135">
        <v>2570</v>
      </c>
      <c r="S27" s="1136" t="s">
        <v>654</v>
      </c>
      <c r="T27" s="1135">
        <v>6575</v>
      </c>
      <c r="V27" s="1135">
        <v>2660</v>
      </c>
      <c r="W27" s="1136" t="s">
        <v>656</v>
      </c>
      <c r="X27" s="1135">
        <v>42008</v>
      </c>
    </row>
    <row r="28" spans="1:25">
      <c r="A28" t="s">
        <v>674</v>
      </c>
      <c r="B28" t="s">
        <v>675</v>
      </c>
      <c r="J28" s="1135">
        <v>2557</v>
      </c>
      <c r="K28" s="1136" t="s">
        <v>655</v>
      </c>
      <c r="L28" s="1135">
        <v>41907</v>
      </c>
      <c r="N28" s="1135">
        <v>2660</v>
      </c>
      <c r="O28" s="1136" t="s">
        <v>655</v>
      </c>
      <c r="P28" s="1148">
        <v>41670</v>
      </c>
      <c r="R28" s="1135">
        <v>2570</v>
      </c>
      <c r="S28" s="1136" t="s">
        <v>655</v>
      </c>
      <c r="T28" s="1135">
        <v>6484</v>
      </c>
      <c r="V28" s="1135">
        <v>2660</v>
      </c>
      <c r="W28" s="1136" t="s">
        <v>657</v>
      </c>
      <c r="X28" s="1135">
        <v>42831</v>
      </c>
    </row>
    <row r="29" spans="1:25">
      <c r="A29" t="s">
        <v>639</v>
      </c>
      <c r="B29" t="s">
        <v>676</v>
      </c>
      <c r="J29" s="1135">
        <v>2557</v>
      </c>
      <c r="K29" s="1136" t="s">
        <v>656</v>
      </c>
      <c r="L29" s="1135">
        <v>42603</v>
      </c>
      <c r="N29" s="1135">
        <v>2660</v>
      </c>
      <c r="O29" s="1136" t="s">
        <v>656</v>
      </c>
      <c r="P29" s="1148">
        <v>42008</v>
      </c>
      <c r="R29" s="1135">
        <v>2570</v>
      </c>
      <c r="S29" s="1136" t="s">
        <v>656</v>
      </c>
      <c r="T29" s="1135">
        <v>6544</v>
      </c>
      <c r="V29" s="1135">
        <v>2660</v>
      </c>
      <c r="W29" s="1136" t="s">
        <v>658</v>
      </c>
      <c r="X29" s="1135">
        <v>44871</v>
      </c>
    </row>
    <row r="30" spans="1:25">
      <c r="J30" s="1135">
        <v>2557</v>
      </c>
      <c r="K30" s="1136" t="s">
        <v>657</v>
      </c>
      <c r="L30" s="1135">
        <v>43936</v>
      </c>
      <c r="N30" s="1135">
        <v>2660</v>
      </c>
      <c r="O30" s="1136" t="s">
        <v>657</v>
      </c>
      <c r="P30" s="1148">
        <v>42831</v>
      </c>
      <c r="R30" s="1135">
        <v>2570</v>
      </c>
      <c r="S30" s="1136" t="s">
        <v>657</v>
      </c>
      <c r="T30" s="1135">
        <v>6488</v>
      </c>
      <c r="V30" s="1135">
        <v>2660</v>
      </c>
      <c r="W30" s="1136" t="s">
        <v>659</v>
      </c>
      <c r="X30" s="1135">
        <v>46733</v>
      </c>
    </row>
    <row r="31" spans="1:25">
      <c r="J31" s="1135">
        <v>2557</v>
      </c>
      <c r="K31" s="1136" t="s">
        <v>658</v>
      </c>
      <c r="L31" s="1135">
        <v>46727</v>
      </c>
      <c r="N31" s="1135">
        <v>2660</v>
      </c>
      <c r="O31" s="1136" t="s">
        <v>658</v>
      </c>
      <c r="P31" s="1148">
        <v>44871</v>
      </c>
      <c r="R31" s="1135">
        <v>2570</v>
      </c>
      <c r="S31" s="1136" t="s">
        <v>658</v>
      </c>
      <c r="T31" s="1135">
        <v>6651</v>
      </c>
      <c r="V31" s="1135">
        <v>2660</v>
      </c>
      <c r="W31" s="1136" t="s">
        <v>660</v>
      </c>
      <c r="X31" s="1135">
        <v>45424</v>
      </c>
    </row>
    <row r="32" spans="1:25">
      <c r="J32" s="1135">
        <v>2557</v>
      </c>
      <c r="K32" s="1136" t="s">
        <v>659</v>
      </c>
      <c r="L32" s="1135">
        <v>46513</v>
      </c>
      <c r="N32" s="1135">
        <v>2660</v>
      </c>
      <c r="O32" s="1136" t="s">
        <v>659</v>
      </c>
      <c r="P32" s="1148">
        <v>46733</v>
      </c>
      <c r="R32" s="1135">
        <v>2570</v>
      </c>
      <c r="S32" s="1136" t="s">
        <v>659</v>
      </c>
      <c r="T32" s="1135">
        <v>6152</v>
      </c>
      <c r="V32" s="1135">
        <v>2660</v>
      </c>
      <c r="W32" s="1136" t="s">
        <v>661</v>
      </c>
      <c r="X32" s="1135">
        <v>46162</v>
      </c>
    </row>
    <row r="33" spans="10:23">
      <c r="J33" s="1135">
        <v>2557</v>
      </c>
      <c r="K33" s="1136" t="s">
        <v>660</v>
      </c>
      <c r="L33" s="1135">
        <v>44750</v>
      </c>
      <c r="N33" s="1135">
        <v>2660</v>
      </c>
      <c r="O33" s="1136" t="s">
        <v>660</v>
      </c>
      <c r="P33" s="1148">
        <v>45424</v>
      </c>
      <c r="R33" s="1135">
        <v>2570</v>
      </c>
      <c r="S33" s="1136" t="s">
        <v>660</v>
      </c>
      <c r="T33" s="1135">
        <v>5744</v>
      </c>
    </row>
    <row r="34" spans="10:23">
      <c r="J34" s="1135">
        <v>2557</v>
      </c>
      <c r="K34" s="1136" t="s">
        <v>661</v>
      </c>
      <c r="L34" s="1135">
        <v>45231</v>
      </c>
      <c r="N34" s="1135">
        <v>2660</v>
      </c>
      <c r="O34" s="1136" t="s">
        <v>661</v>
      </c>
      <c r="P34" s="1148">
        <v>46162</v>
      </c>
      <c r="R34" s="1135">
        <v>2570</v>
      </c>
      <c r="S34" s="1136" t="s">
        <v>661</v>
      </c>
      <c r="T34" s="1135">
        <v>7083</v>
      </c>
    </row>
    <row r="38" spans="10:23">
      <c r="V38" s="1179"/>
      <c r="W38" s="1136"/>
    </row>
    <row r="39" spans="10:23">
      <c r="V39" s="1179"/>
      <c r="W39" s="1136"/>
    </row>
  </sheetData>
  <sheetProtection algorithmName="SHA-512" hashValue="7rdotMLaqsYsIhcSC3GgSF62XOlX65Dri8B1j9rffmWEGqvUl8j0H8XeCyLnYalXog1uGRQqujIy4tLwxGidZA==" saltValue="NQrvBZMPVqMgWGnFprnJUg==" spinCount="100000" sheet="1" objects="1" scenarios="1"/>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A1:L20"/>
  <sheetViews>
    <sheetView topLeftCell="B1" workbookViewId="0"/>
  </sheetViews>
  <sheetFormatPr defaultColWidth="9.140625" defaultRowHeight="15" outlineLevelCol="1"/>
  <cols>
    <col min="1" max="1" width="19.140625" style="770" hidden="1" customWidth="1" outlineLevel="1"/>
    <col min="2" max="2" width="38" style="770" bestFit="1" customWidth="1" collapsed="1"/>
    <col min="3" max="9" width="12.5703125" style="770" customWidth="1"/>
    <col min="10" max="16384" width="9.140625" style="770"/>
  </cols>
  <sheetData>
    <row r="1" spans="1:12">
      <c r="A1" s="770" t="s">
        <v>260</v>
      </c>
      <c r="B1" s="636"/>
      <c r="C1" s="1180" t="str">
        <f>+'1.Years'!A4</f>
        <v>Base Year</v>
      </c>
      <c r="D1" s="1180" t="str">
        <f>+'1.Years'!B4</f>
        <v>Base+1</v>
      </c>
      <c r="E1" s="1180" t="str">
        <f>+'1.Years'!C4</f>
        <v>Base+2</v>
      </c>
      <c r="F1" s="1180" t="str">
        <f>+'1.Years'!D4</f>
        <v>Base+3</v>
      </c>
      <c r="G1" s="1180" t="str">
        <f>+'1.Years'!E4</f>
        <v>Base+4</v>
      </c>
      <c r="H1" s="1180" t="str">
        <f>+'1.Years'!F4</f>
        <v>Base+5</v>
      </c>
      <c r="I1" s="1180" t="str">
        <f>+'1.Years'!G4</f>
        <v>Base+6</v>
      </c>
    </row>
    <row r="2" spans="1:12">
      <c r="B2" s="772" t="s">
        <v>677</v>
      </c>
      <c r="C2" s="1180" t="str">
        <f>+'1.Years'!A7</f>
        <v>2022-23</v>
      </c>
      <c r="D2" s="1180" t="str">
        <f>+'1.Years'!B7</f>
        <v>2023-24</v>
      </c>
      <c r="E2" s="1180" t="str">
        <f>+'1.Years'!C7</f>
        <v>2024-25</v>
      </c>
      <c r="F2" s="1180" t="str">
        <f>+'1.Years'!D7</f>
        <v>2025-26</v>
      </c>
      <c r="G2" s="1180" t="str">
        <f>+'1.Years'!E7</f>
        <v>2026-27</v>
      </c>
      <c r="H2" s="1180" t="str">
        <f>+'1.Years'!F7</f>
        <v>2027-28</v>
      </c>
      <c r="I2" s="1180" t="str">
        <f>+'1.Years'!G7</f>
        <v>2028-29</v>
      </c>
    </row>
    <row r="3" spans="1:12">
      <c r="B3" s="771" t="s">
        <v>678</v>
      </c>
      <c r="C3" s="771"/>
      <c r="D3" s="798">
        <f>D4/C4-1</f>
        <v>-2.133629023498318E-2</v>
      </c>
      <c r="E3" s="798">
        <f>E4/D4-1</f>
        <v>-1.2916526342695578E-3</v>
      </c>
      <c r="F3" s="798">
        <f>F4/E4-1</f>
        <v>-7.3347459510719748E-4</v>
      </c>
      <c r="G3" s="798">
        <f>G4/F4-1</f>
        <v>-9.2678405931423402E-4</v>
      </c>
      <c r="H3" s="909">
        <f>AVERAGE(E3:G3)</f>
        <v>-9.839704295636631E-4</v>
      </c>
      <c r="I3" s="909">
        <f>AVERAGE(F3:H3)</f>
        <v>-8.8140969466169816E-4</v>
      </c>
      <c r="K3" s="910"/>
      <c r="L3" s="770" t="s">
        <v>679</v>
      </c>
    </row>
    <row r="4" spans="1:12">
      <c r="B4" s="110" t="s">
        <v>680</v>
      </c>
      <c r="C4" s="871">
        <f>SUM(C5:C7)</f>
        <v>552380</v>
      </c>
      <c r="D4" s="871">
        <f>SUM(D5:D7)</f>
        <v>540594.26</v>
      </c>
      <c r="E4" s="908">
        <v>539896</v>
      </c>
      <c r="F4" s="908">
        <v>539500</v>
      </c>
      <c r="G4" s="908">
        <v>539000</v>
      </c>
      <c r="H4" s="890">
        <f>G4*(1+H3)</f>
        <v>538469.6399384652</v>
      </c>
      <c r="I4" s="890">
        <f>H4*(1+I3)</f>
        <v>537995.02757754247</v>
      </c>
      <c r="K4" s="911"/>
      <c r="L4" s="770" t="s">
        <v>681</v>
      </c>
    </row>
    <row r="5" spans="1:12">
      <c r="A5" s="775" t="s">
        <v>139</v>
      </c>
      <c r="B5" s="110" t="s">
        <v>682</v>
      </c>
      <c r="C5" s="871">
        <f>SUM('2.StudentAssumptions'!B5:B10)</f>
        <v>240713</v>
      </c>
      <c r="D5" s="871">
        <f>SUM('2.StudentAssumptions'!H5:H10)</f>
        <v>237725</v>
      </c>
      <c r="E5" s="871">
        <f>(D$5/D$4)*E$4</f>
        <v>237417.94187751829</v>
      </c>
      <c r="F5" s="871">
        <f>(E$5/E$4)*F$4</f>
        <v>237243.80184872847</v>
      </c>
      <c r="G5" s="871">
        <f>(F$5/F$4)*G$4</f>
        <v>237023.92807500399</v>
      </c>
      <c r="H5" s="871">
        <f>(G$5/G$4)*H$4</f>
        <v>236790.70353867917</v>
      </c>
      <c r="I5" s="871">
        <f>(H$5/H$4)*I$4</f>
        <v>236581.9939169744</v>
      </c>
      <c r="K5" s="912"/>
      <c r="L5" s="770" t="s">
        <v>683</v>
      </c>
    </row>
    <row r="6" spans="1:12">
      <c r="A6" s="774" t="s">
        <v>141</v>
      </c>
      <c r="B6" s="110" t="s">
        <v>684</v>
      </c>
      <c r="C6" s="871">
        <f>SUM('2.StudentAssumptions'!B11:B13)</f>
        <v>128446</v>
      </c>
      <c r="D6" s="871">
        <f>SUM('2.StudentAssumptions'!H11:H13)</f>
        <v>126509</v>
      </c>
      <c r="E6" s="871">
        <f>(D$6/D$4)*E$4</f>
        <v>126345.59431689119</v>
      </c>
      <c r="F6" s="871">
        <f>(E$6/E$4)*F$4</f>
        <v>126252.92303325603</v>
      </c>
      <c r="G6" s="871">
        <f>(F$6/F$4)*G$4</f>
        <v>126135.91383674699</v>
      </c>
      <c r="H6" s="871">
        <f>(G$6/G$4)*H$4</f>
        <v>126011.79982742564</v>
      </c>
      <c r="I6" s="871">
        <f>(H$6/H$4)*I$4</f>
        <v>125900.73180541598</v>
      </c>
    </row>
    <row r="7" spans="1:12">
      <c r="A7" s="774" t="s">
        <v>142</v>
      </c>
      <c r="B7" s="110" t="s">
        <v>685</v>
      </c>
      <c r="C7" s="871">
        <f>SUM('2.StudentAssumptions'!B14:B17)</f>
        <v>183221</v>
      </c>
      <c r="D7" s="871">
        <f>SUM('2.StudentAssumptions'!C14:C17)</f>
        <v>176360.25999999998</v>
      </c>
      <c r="E7" s="871">
        <f>(D$7/D$4)*E$4</f>
        <v>176132.46380559049</v>
      </c>
      <c r="F7" s="871">
        <f>(E$7/E$4)*F$4</f>
        <v>176003.27511801547</v>
      </c>
      <c r="G7" s="871">
        <f>(F$7/F$4)*G$4</f>
        <v>175840.15808824901</v>
      </c>
      <c r="H7" s="871">
        <f>(G$7/G$4)*H$4</f>
        <v>175667.13657236038</v>
      </c>
      <c r="I7" s="871">
        <f>(H$7/H$4)*I$4</f>
        <v>175512.30185515204</v>
      </c>
    </row>
    <row r="8" spans="1:12">
      <c r="B8" s="110" t="s">
        <v>686</v>
      </c>
      <c r="C8" s="873"/>
      <c r="D8" s="873">
        <f t="shared" ref="D8:I8" si="0">D4/C4-1</f>
        <v>-2.133629023498318E-2</v>
      </c>
      <c r="E8" s="873">
        <f t="shared" si="0"/>
        <v>-1.2916526342695578E-3</v>
      </c>
      <c r="F8" s="873">
        <f t="shared" si="0"/>
        <v>-7.3347459510719748E-4</v>
      </c>
      <c r="G8" s="873">
        <f t="shared" si="0"/>
        <v>-9.2678405931423402E-4</v>
      </c>
      <c r="H8" s="873">
        <f t="shared" si="0"/>
        <v>-9.839704295636631E-4</v>
      </c>
      <c r="I8" s="873">
        <f t="shared" si="0"/>
        <v>-8.8140969466166119E-4</v>
      </c>
    </row>
    <row r="9" spans="1:12">
      <c r="B9" s="110" t="s">
        <v>687</v>
      </c>
      <c r="C9" s="905">
        <f ca="1">C15-(C11/2*1.21)</f>
        <v>647553.27</v>
      </c>
      <c r="D9" s="905">
        <f t="shared" ref="D9:I9" ca="1" si="1">D15-(D11/2*1.21)</f>
        <v>647497.38</v>
      </c>
      <c r="E9" s="905">
        <f t="shared" ca="1" si="1"/>
        <v>645423.23399823008</v>
      </c>
      <c r="F9" s="905">
        <f t="shared" ca="1" si="1"/>
        <v>644979.03066895308</v>
      </c>
      <c r="G9" s="905">
        <f t="shared" ca="1" si="1"/>
        <v>643498.97596027004</v>
      </c>
      <c r="H9" s="905">
        <f t="shared" ca="1" si="1"/>
        <v>642171.96209300321</v>
      </c>
      <c r="I9" s="905">
        <f t="shared" ca="1" si="1"/>
        <v>641091.97950906807</v>
      </c>
    </row>
    <row r="10" spans="1:12">
      <c r="B10" s="110" t="s">
        <v>688</v>
      </c>
      <c r="C10" s="873"/>
      <c r="D10" s="873">
        <f>D14</f>
        <v>-1.3314346955164424E-3</v>
      </c>
      <c r="E10" s="873">
        <f ca="1">(E9/D9)-1</f>
        <v>-3.2033272501734711E-3</v>
      </c>
      <c r="F10" s="873">
        <f ca="1">(F9/E9)-1</f>
        <v>-6.8823572793508259E-4</v>
      </c>
      <c r="G10" s="873">
        <f ca="1">(G9/F9)-1</f>
        <v>-2.2947330662020926E-3</v>
      </c>
      <c r="H10" s="873">
        <f ca="1">(H9/G9)-1</f>
        <v>-2.0621848935914455E-3</v>
      </c>
      <c r="I10" s="873">
        <f ca="1">(I9/H9)-1</f>
        <v>-1.681765395697421E-3</v>
      </c>
    </row>
    <row r="11" spans="1:12">
      <c r="B11" s="110" t="s">
        <v>689</v>
      </c>
      <c r="C11" s="871">
        <f>+'2.StudentAssumptions'!B5</f>
        <v>37026</v>
      </c>
      <c r="D11" s="871">
        <f>+'2.StudentAssumptions'!H5</f>
        <v>35644</v>
      </c>
      <c r="E11" s="871">
        <f>D11*(1+E12)</f>
        <v>35597.960333504096</v>
      </c>
      <c r="F11" s="871">
        <f>E11*(1+F12)</f>
        <v>35571.850133961838</v>
      </c>
      <c r="G11" s="871">
        <f>F11*(1+G12)</f>
        <v>35538.882710297366</v>
      </c>
      <c r="H11" s="871">
        <f>G11*(1+H12)</f>
        <v>35503.913500610703</v>
      </c>
      <c r="I11" s="871">
        <f>H11*(1+I12)</f>
        <v>35472.620007052836</v>
      </c>
    </row>
    <row r="12" spans="1:12">
      <c r="B12" s="110" t="s">
        <v>690</v>
      </c>
      <c r="C12" s="873"/>
      <c r="D12" s="873"/>
      <c r="E12" s="873">
        <f>E8</f>
        <v>-1.2916526342695578E-3</v>
      </c>
      <c r="F12" s="873">
        <f>F8</f>
        <v>-7.3347459510719748E-4</v>
      </c>
      <c r="G12" s="873">
        <f>G8</f>
        <v>-9.2678405931423402E-4</v>
      </c>
      <c r="H12" s="873">
        <f>H8</f>
        <v>-9.839704295636631E-4</v>
      </c>
      <c r="I12" s="873">
        <f>I8</f>
        <v>-8.8140969466166119E-4</v>
      </c>
    </row>
    <row r="13" spans="1:12">
      <c r="B13" s="110" t="s">
        <v>691</v>
      </c>
      <c r="C13" s="908">
        <v>669954</v>
      </c>
      <c r="D13" s="908">
        <v>669062</v>
      </c>
      <c r="E13" s="908">
        <v>666960</v>
      </c>
      <c r="F13" s="908">
        <v>666500</v>
      </c>
      <c r="G13" s="908">
        <v>665000</v>
      </c>
      <c r="H13" s="890">
        <f>+G13*(1+H14)</f>
        <v>663651.82976087264</v>
      </c>
      <c r="I13" s="890">
        <f>+H13*(1+I14)</f>
        <v>662552.91461333504</v>
      </c>
    </row>
    <row r="14" spans="1:12">
      <c r="B14" s="110" t="s">
        <v>692</v>
      </c>
      <c r="C14" s="873"/>
      <c r="D14" s="873">
        <f>+D13/C13-1</f>
        <v>-1.3314346955164424E-3</v>
      </c>
      <c r="E14" s="873">
        <f>+E13/D13-1</f>
        <v>-3.1417118293969315E-3</v>
      </c>
      <c r="F14" s="873">
        <f>+F13/E13-1</f>
        <v>-6.8969653352524141E-4</v>
      </c>
      <c r="G14" s="873">
        <f>+G13/F13-1</f>
        <v>-2.2505626406601476E-3</v>
      </c>
      <c r="H14" s="891">
        <f>AVERAGE(E14:G14)</f>
        <v>-2.0273236678607733E-3</v>
      </c>
      <c r="I14" s="891">
        <f>AVERAGE(F14:H14)</f>
        <v>-1.6558609473487206E-3</v>
      </c>
    </row>
    <row r="15" spans="1:12">
      <c r="A15" s="770" t="s">
        <v>398</v>
      </c>
      <c r="B15" s="872" t="s">
        <v>132</v>
      </c>
      <c r="C15" s="871">
        <f t="shared" ref="C15:I15" ca="1" si="2">IF(INDEX(INDIRECT($A$15 &amp; $A$16), MATCH($A$1, INDIRECT($A$15 &amp; $A$17),0), MATCH(C$2, INDIRECT($A$15 &amp; $A$18),0))="Y", C13,C9)</f>
        <v>669954</v>
      </c>
      <c r="D15" s="871">
        <f t="shared" ca="1" si="2"/>
        <v>669062</v>
      </c>
      <c r="E15" s="871">
        <f t="shared" ca="1" si="2"/>
        <v>666960</v>
      </c>
      <c r="F15" s="871">
        <f t="shared" ca="1" si="2"/>
        <v>666500</v>
      </c>
      <c r="G15" s="871">
        <f t="shared" ca="1" si="2"/>
        <v>665000</v>
      </c>
      <c r="H15" s="871">
        <f t="shared" ca="1" si="2"/>
        <v>663651.82976087264</v>
      </c>
      <c r="I15" s="871">
        <f t="shared" ca="1" si="2"/>
        <v>662552.91461333504</v>
      </c>
    </row>
    <row r="16" spans="1:12">
      <c r="A16" s="770" t="s">
        <v>693</v>
      </c>
      <c r="B16" s="110"/>
      <c r="C16" s="773"/>
      <c r="D16" s="773"/>
      <c r="E16" s="773"/>
      <c r="F16" s="798"/>
      <c r="G16" s="798"/>
      <c r="H16" s="773"/>
      <c r="I16" s="773"/>
    </row>
    <row r="17" spans="1:9">
      <c r="A17" s="770" t="s">
        <v>424</v>
      </c>
    </row>
    <row r="18" spans="1:9">
      <c r="A18" s="770" t="s">
        <v>694</v>
      </c>
      <c r="E18" s="888"/>
      <c r="F18" s="888"/>
      <c r="G18" s="888"/>
      <c r="H18" s="888"/>
      <c r="I18" s="888"/>
    </row>
    <row r="19" spans="1:9">
      <c r="E19" s="889"/>
      <c r="F19" s="889"/>
      <c r="G19" s="889"/>
      <c r="H19" s="889"/>
      <c r="I19" s="889"/>
    </row>
    <row r="20" spans="1:9">
      <c r="C20" s="892"/>
      <c r="D20" s="892"/>
      <c r="E20" s="892"/>
      <c r="F20" s="892"/>
      <c r="G20" s="892"/>
      <c r="H20" s="892"/>
      <c r="I20" s="892"/>
    </row>
  </sheetData>
  <sheetProtection algorithmName="SHA-512" hashValue="JVvETVm8/hgcLaqRrXiTIWWQTnujAnv3gs0PfiXFZZxMD+r0nCDqX5WE3w2zAHKIGt/bVL4jNCGeAQbr5PqQfg==" saltValue="kA+PXznzGQHFKZduXOE6GA==" spinCount="100000" sheet="1" objects="1" scenarios="1" formatColumns="0" formatRows="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P34"/>
  <sheetViews>
    <sheetView zoomScale="90" zoomScaleNormal="90" workbookViewId="0"/>
  </sheetViews>
  <sheetFormatPr defaultColWidth="9.140625" defaultRowHeight="15"/>
  <cols>
    <col min="1" max="1" width="11.28515625" customWidth="1"/>
    <col min="2" max="2" width="11.7109375" customWidth="1"/>
    <col min="3" max="3" width="17.28515625" bestFit="1" customWidth="1"/>
    <col min="4" max="4" width="16.7109375" bestFit="1" customWidth="1"/>
    <col min="5" max="5" width="10" bestFit="1" customWidth="1"/>
    <col min="6" max="6" width="13.28515625" bestFit="1" customWidth="1"/>
    <col min="7" max="7" width="14.7109375" bestFit="1" customWidth="1"/>
    <col min="8" max="8" width="11" bestFit="1" customWidth="1"/>
    <col min="9" max="9" width="17.28515625" bestFit="1" customWidth="1"/>
    <col min="10" max="10" width="28.28515625" customWidth="1"/>
    <col min="11" max="11" width="17.28515625" bestFit="1" customWidth="1"/>
    <col min="12" max="12" width="16.7109375" bestFit="1" customWidth="1"/>
    <col min="13" max="13" width="10" bestFit="1" customWidth="1"/>
    <col min="14" max="14" width="12.85546875" bestFit="1" customWidth="1"/>
    <col min="15" max="15" width="8.42578125" bestFit="1" customWidth="1"/>
    <col min="16" max="16" width="11.85546875" bestFit="1" customWidth="1"/>
  </cols>
  <sheetData>
    <row r="1" spans="1:11" ht="20.25">
      <c r="A1" s="1125" t="s">
        <v>695</v>
      </c>
      <c r="B1" s="86"/>
      <c r="J1" t="s">
        <v>696</v>
      </c>
      <c r="K1" t="s">
        <v>697</v>
      </c>
    </row>
    <row r="2" spans="1:11" ht="15.75" thickBot="1">
      <c r="A2" s="1" t="s">
        <v>698</v>
      </c>
    </row>
    <row r="3" spans="1:11" ht="25.5" customHeight="1">
      <c r="A3" s="1204" t="s">
        <v>644</v>
      </c>
      <c r="B3" s="1206" t="s">
        <v>699</v>
      </c>
      <c r="C3" s="1207"/>
      <c r="D3" s="1208"/>
      <c r="E3" s="1209" t="s">
        <v>700</v>
      </c>
      <c r="F3" s="1210"/>
      <c r="G3" s="1211"/>
      <c r="J3" s="6"/>
      <c r="K3" s="1149" t="s">
        <v>622</v>
      </c>
    </row>
    <row r="4" spans="1:11" ht="15.75" thickBot="1">
      <c r="A4" s="1205"/>
      <c r="B4" s="1150" t="s">
        <v>701</v>
      </c>
      <c r="C4" s="1150" t="s">
        <v>702</v>
      </c>
      <c r="D4" s="1150" t="s">
        <v>703</v>
      </c>
      <c r="E4" s="1150" t="s">
        <v>701</v>
      </c>
      <c r="F4" s="1150" t="s">
        <v>702</v>
      </c>
      <c r="G4" s="1150" t="s">
        <v>703</v>
      </c>
      <c r="J4" s="1151"/>
      <c r="K4" s="1152" t="str">
        <f>'1.Years'!A7</f>
        <v>2022-23</v>
      </c>
    </row>
    <row r="5" spans="1:11">
      <c r="A5" s="1050" t="s">
        <v>704</v>
      </c>
      <c r="B5" s="4">
        <v>70213</v>
      </c>
      <c r="C5" s="4">
        <v>121690</v>
      </c>
      <c r="D5" s="4">
        <v>111816</v>
      </c>
      <c r="E5" s="3"/>
      <c r="F5" s="3"/>
      <c r="G5" s="3"/>
      <c r="I5" s="8" t="s">
        <v>366</v>
      </c>
      <c r="J5" s="7" t="s">
        <v>701</v>
      </c>
      <c r="K5" s="1153">
        <f ca="1">CEILING(VLOOKUP($K$4,INDIRECT($K$1), MATCH(J5, $A$4:$G$4,0),0),10)</f>
        <v>73300</v>
      </c>
    </row>
    <row r="6" spans="1:11">
      <c r="A6" s="1050" t="s">
        <v>629</v>
      </c>
      <c r="B6" s="4">
        <v>73298</v>
      </c>
      <c r="C6" s="4">
        <v>127301</v>
      </c>
      <c r="D6" s="4">
        <v>117906</v>
      </c>
      <c r="E6" s="3">
        <f>+B6/B5-1</f>
        <v>4.3937732328771073E-2</v>
      </c>
      <c r="F6" s="3">
        <f>+C6/C5-1</f>
        <v>4.6108965403895086E-2</v>
      </c>
      <c r="G6" s="3">
        <f>+D6/D5-1</f>
        <v>5.4464477355655738E-2</v>
      </c>
      <c r="I6" s="8" t="s">
        <v>370</v>
      </c>
      <c r="J6" s="7" t="s">
        <v>702</v>
      </c>
      <c r="K6" s="1153">
        <f ca="1">CEILING(VLOOKUP($K$4,INDIRECT($K$1), MATCH(J6, $A$4:$G$4,0),0),10)</f>
        <v>127310</v>
      </c>
    </row>
    <row r="7" spans="1:11">
      <c r="A7" s="1050" t="s">
        <v>82</v>
      </c>
      <c r="B7" s="4">
        <v>77159</v>
      </c>
      <c r="C7" s="4">
        <v>132783</v>
      </c>
      <c r="D7" s="4">
        <v>122448</v>
      </c>
      <c r="E7" s="3">
        <f t="shared" ref="E7:E12" si="0">+B7/B6-1</f>
        <v>5.2675379955796853E-2</v>
      </c>
      <c r="F7" s="3">
        <f t="shared" ref="F7:F12" si="1">+C7/C6-1</f>
        <v>4.3063290940369647E-2</v>
      </c>
      <c r="G7" s="3">
        <f t="shared" ref="G7:G12" si="2">+D7/D6-1</f>
        <v>3.8522212610045292E-2</v>
      </c>
      <c r="I7" s="8" t="s">
        <v>374</v>
      </c>
      <c r="J7" s="7" t="s">
        <v>703</v>
      </c>
      <c r="K7" s="1153">
        <f ca="1">CEILING(VLOOKUP($K$4,INDIRECT($K$1), MATCH(J7, $A$4:$G$4,0),0),10)</f>
        <v>117910</v>
      </c>
    </row>
    <row r="8" spans="1:11">
      <c r="A8" s="1050" t="s">
        <v>83</v>
      </c>
      <c r="B8" s="4">
        <v>79613.673039640082</v>
      </c>
      <c r="C8" s="4">
        <v>136646.9853</v>
      </c>
      <c r="D8" s="4">
        <v>125692.872</v>
      </c>
      <c r="E8" s="3">
        <f t="shared" si="0"/>
        <v>3.1813178496871153E-2</v>
      </c>
      <c r="F8" s="3">
        <f t="shared" si="1"/>
        <v>2.9099999999999904E-2</v>
      </c>
      <c r="G8" s="3">
        <f t="shared" si="2"/>
        <v>2.6499999999999968E-2</v>
      </c>
      <c r="I8" s="8" t="s">
        <v>377</v>
      </c>
      <c r="J8" s="7" t="s">
        <v>421</v>
      </c>
      <c r="K8" s="847">
        <f>VLOOKUP($K$4, $A$19:$H$34, 8, FALSE)</f>
        <v>74785.188193197333</v>
      </c>
    </row>
    <row r="9" spans="1:11">
      <c r="A9" s="1050" t="s">
        <v>705</v>
      </c>
      <c r="B9" s="4">
        <v>83672</v>
      </c>
      <c r="C9" s="4">
        <f>140623.41257223*(1+0.0166)</f>
        <v>142957.76122092901</v>
      </c>
      <c r="D9" s="4">
        <f>129023.733108*(1+0.0195)</f>
        <v>131539.69590360601</v>
      </c>
      <c r="E9" s="3">
        <f t="shared" si="0"/>
        <v>5.0975250926298177E-2</v>
      </c>
      <c r="F9" s="3">
        <f t="shared" si="1"/>
        <v>4.6183059999999942E-2</v>
      </c>
      <c r="G9" s="3">
        <f t="shared" si="2"/>
        <v>4.6516750000000107E-2</v>
      </c>
      <c r="I9" s="8" t="s">
        <v>380</v>
      </c>
      <c r="J9" s="7" t="s">
        <v>706</v>
      </c>
      <c r="K9" s="868">
        <f>VLOOKUP($K$4, $K$19:$L$34, 2, 0)</f>
        <v>22.976859199438202</v>
      </c>
    </row>
    <row r="10" spans="1:11" ht="15.75" thickBot="1">
      <c r="A10" s="1050" t="s">
        <v>707</v>
      </c>
      <c r="B10" s="4">
        <v>86517</v>
      </c>
      <c r="C10" s="4">
        <f>144715.553878082*(1+0.0166)</f>
        <v>147117.83207245814</v>
      </c>
      <c r="D10" s="4">
        <f>132442.862035362*(1+0.0195)</f>
        <v>135025.49784505155</v>
      </c>
      <c r="E10" s="3">
        <f t="shared" si="0"/>
        <v>3.4001816617267533E-2</v>
      </c>
      <c r="F10" s="3">
        <f t="shared" si="1"/>
        <v>2.9100000000000792E-2</v>
      </c>
      <c r="G10" s="3">
        <f t="shared" si="2"/>
        <v>2.6499999999999746E-2</v>
      </c>
      <c r="I10" s="8" t="s">
        <v>382</v>
      </c>
      <c r="J10" s="1154" t="s">
        <v>708</v>
      </c>
      <c r="K10" s="868">
        <f>VLOOKUP($K$4, $O$19:$P$34, 2, 0)</f>
        <v>19.060954773869348</v>
      </c>
    </row>
    <row r="11" spans="1:11">
      <c r="A11" s="1050" t="s">
        <v>709</v>
      </c>
      <c r="B11" s="4">
        <v>89535</v>
      </c>
      <c r="C11" s="4">
        <f>148926.776495934*(1+0.0166)</f>
        <v>151398.96098576649</v>
      </c>
      <c r="D11" s="4">
        <f>135952.597879299*(1+0.0195)</f>
        <v>138603.67353794535</v>
      </c>
      <c r="E11" s="3">
        <f t="shared" si="0"/>
        <v>3.4883317729463625E-2</v>
      </c>
      <c r="F11" s="3">
        <f t="shared" si="1"/>
        <v>2.9099999999998793E-2</v>
      </c>
      <c r="G11" s="3">
        <f t="shared" si="2"/>
        <v>2.6499999999999524E-2</v>
      </c>
    </row>
    <row r="12" spans="1:11">
      <c r="A12" s="1050" t="s">
        <v>710</v>
      </c>
      <c r="B12" s="4">
        <v>92738</v>
      </c>
      <c r="C12" s="4">
        <f>153260.545691966*(1+0.0166)</f>
        <v>155804.67075045261</v>
      </c>
      <c r="D12" s="4">
        <f>139555.3417231*(1+0.0195)</f>
        <v>142276.67088670045</v>
      </c>
      <c r="E12" s="3">
        <f t="shared" si="0"/>
        <v>3.5773719774389923E-2</v>
      </c>
      <c r="F12" s="3">
        <f t="shared" si="1"/>
        <v>2.9100000000002124E-2</v>
      </c>
      <c r="G12" s="3">
        <f t="shared" si="2"/>
        <v>2.6499999999996859E-2</v>
      </c>
    </row>
    <row r="14" spans="1:11">
      <c r="A14" s="62" t="s">
        <v>711</v>
      </c>
      <c r="B14" s="770" t="s">
        <v>712</v>
      </c>
    </row>
    <row r="16" spans="1:11">
      <c r="A16" t="s">
        <v>713</v>
      </c>
    </row>
    <row r="17" spans="1:16">
      <c r="B17" t="s">
        <v>714</v>
      </c>
      <c r="J17" s="3" t="s">
        <v>715</v>
      </c>
      <c r="N17" t="s">
        <v>716</v>
      </c>
    </row>
    <row r="18" spans="1:16">
      <c r="B18" s="1181" t="s">
        <v>645</v>
      </c>
      <c r="C18" s="1181" t="s">
        <v>717</v>
      </c>
      <c r="D18" s="1181" t="s">
        <v>718</v>
      </c>
      <c r="E18" s="1181" t="s">
        <v>719</v>
      </c>
      <c r="F18" s="1181" t="s">
        <v>720</v>
      </c>
      <c r="G18" s="1181" t="s">
        <v>721</v>
      </c>
      <c r="H18" s="1181" t="s">
        <v>722</v>
      </c>
      <c r="J18" s="1181" t="s">
        <v>645</v>
      </c>
      <c r="K18" s="1181" t="s">
        <v>723</v>
      </c>
      <c r="L18" s="1181" t="s">
        <v>724</v>
      </c>
      <c r="N18" s="1181" t="s">
        <v>645</v>
      </c>
      <c r="O18" s="1181" t="s">
        <v>723</v>
      </c>
      <c r="P18" s="1181" t="s">
        <v>724</v>
      </c>
    </row>
    <row r="19" spans="1:16">
      <c r="A19" t="str">
        <f>"20" &amp; RIGHT(C19, 5)</f>
        <v>2008-09</v>
      </c>
      <c r="B19" s="1182">
        <v>477</v>
      </c>
      <c r="C19" s="1183" t="s">
        <v>725</v>
      </c>
      <c r="D19" s="1182">
        <v>55592851.719999999</v>
      </c>
      <c r="E19" s="1182">
        <v>971.68</v>
      </c>
      <c r="F19" s="1155"/>
      <c r="G19" s="1184">
        <v>57213.127490531864</v>
      </c>
      <c r="H19" s="1155"/>
      <c r="J19" s="1182">
        <v>477</v>
      </c>
      <c r="K19" s="1183" t="s">
        <v>726</v>
      </c>
      <c r="L19" s="1184">
        <v>16.935922142462729</v>
      </c>
      <c r="N19" s="1182">
        <v>477</v>
      </c>
      <c r="O19" s="1183" t="s">
        <v>726</v>
      </c>
      <c r="P19" s="1184">
        <v>13.494589041095891</v>
      </c>
    </row>
    <row r="20" spans="1:16">
      <c r="A20" t="str">
        <f t="shared" ref="A20:A31" si="3">"20" &amp; RIGHT(C20, 5)</f>
        <v>2009-10</v>
      </c>
      <c r="B20" s="1182">
        <v>558</v>
      </c>
      <c r="C20" s="1183" t="s">
        <v>727</v>
      </c>
      <c r="D20" s="1182">
        <v>54619875.359999999</v>
      </c>
      <c r="E20" s="1182">
        <v>926.72</v>
      </c>
      <c r="F20" s="1182">
        <v>925.81744917851404</v>
      </c>
      <c r="G20" s="1184">
        <v>58938.919371546959</v>
      </c>
      <c r="H20" s="1184">
        <v>58996.377102704959</v>
      </c>
      <c r="J20" s="1182">
        <v>558</v>
      </c>
      <c r="K20" s="1183" t="s">
        <v>728</v>
      </c>
      <c r="L20" s="1184">
        <v>17.519413735343381</v>
      </c>
      <c r="N20" s="1182">
        <v>558</v>
      </c>
      <c r="O20" s="1183" t="s">
        <v>728</v>
      </c>
      <c r="P20" s="1184">
        <v>13.998983451536644</v>
      </c>
    </row>
    <row r="21" spans="1:16">
      <c r="A21" t="str">
        <f t="shared" si="3"/>
        <v>2010-11</v>
      </c>
      <c r="B21" s="1182">
        <v>625</v>
      </c>
      <c r="C21" s="1183" t="s">
        <v>729</v>
      </c>
      <c r="D21" s="1182">
        <v>54598539.259999998</v>
      </c>
      <c r="E21" s="1182">
        <v>914.11</v>
      </c>
      <c r="F21" s="1182">
        <v>911.18422864585102</v>
      </c>
      <c r="G21" s="1184">
        <v>59728.631411974493</v>
      </c>
      <c r="H21" s="1184">
        <v>59920.417346491136</v>
      </c>
      <c r="J21" s="1182">
        <v>625</v>
      </c>
      <c r="K21" s="1183" t="s">
        <v>730</v>
      </c>
      <c r="L21" s="1184">
        <v>16.863765182186235</v>
      </c>
      <c r="N21" s="1182">
        <v>625</v>
      </c>
      <c r="O21" s="1183" t="s">
        <v>730</v>
      </c>
      <c r="P21" s="1184">
        <v>14.025416666666667</v>
      </c>
    </row>
    <row r="22" spans="1:16">
      <c r="A22" t="str">
        <f t="shared" si="3"/>
        <v>2011-12</v>
      </c>
      <c r="B22" s="1182">
        <v>707</v>
      </c>
      <c r="C22" s="1183" t="s">
        <v>731</v>
      </c>
      <c r="D22" s="1182">
        <v>51692329.060000002</v>
      </c>
      <c r="E22" s="1182">
        <v>859.79</v>
      </c>
      <c r="F22" s="1182">
        <v>859.56431600972599</v>
      </c>
      <c r="G22" s="1184">
        <v>60122.040335430749</v>
      </c>
      <c r="H22" s="1184">
        <v>60137.825753361198</v>
      </c>
      <c r="J22" s="1182">
        <v>707</v>
      </c>
      <c r="K22" s="1183" t="s">
        <v>732</v>
      </c>
      <c r="L22" s="1184">
        <v>16.851388960205391</v>
      </c>
      <c r="N22" s="1182">
        <v>707</v>
      </c>
      <c r="O22" s="1183" t="s">
        <v>732</v>
      </c>
      <c r="P22" s="1184">
        <v>14.218927536231885</v>
      </c>
    </row>
    <row r="23" spans="1:16">
      <c r="A23" t="str">
        <f t="shared" si="3"/>
        <v>2012-13</v>
      </c>
      <c r="B23" s="1182">
        <v>782</v>
      </c>
      <c r="C23" s="1183" t="s">
        <v>733</v>
      </c>
      <c r="D23" s="1182">
        <v>51319262.560000002</v>
      </c>
      <c r="E23" s="1182">
        <v>847.08</v>
      </c>
      <c r="F23" s="1182">
        <v>846.31206328399196</v>
      </c>
      <c r="G23" s="1184">
        <v>60583.725929073997</v>
      </c>
      <c r="H23" s="1184">
        <v>60638.699111605478</v>
      </c>
      <c r="J23" s="1182">
        <v>782</v>
      </c>
      <c r="K23" s="1183" t="s">
        <v>734</v>
      </c>
      <c r="L23" s="1184">
        <v>17.100621200105735</v>
      </c>
      <c r="N23" s="1182">
        <v>782</v>
      </c>
      <c r="O23" s="1183" t="s">
        <v>734</v>
      </c>
      <c r="P23" s="1184">
        <v>14.413399339933994</v>
      </c>
    </row>
    <row r="24" spans="1:16">
      <c r="A24" t="str">
        <f t="shared" si="3"/>
        <v>2013-14</v>
      </c>
      <c r="B24" s="1182">
        <v>1070</v>
      </c>
      <c r="C24" s="1183" t="s">
        <v>735</v>
      </c>
      <c r="D24" s="1182">
        <v>54035233.439999998</v>
      </c>
      <c r="E24" s="1182">
        <v>880.5</v>
      </c>
      <c r="F24" s="1182">
        <v>879.04713131040705</v>
      </c>
      <c r="G24" s="1184">
        <v>61368.805724020443</v>
      </c>
      <c r="H24" s="1184">
        <v>61470.234661307601</v>
      </c>
      <c r="J24" s="1182">
        <v>1070</v>
      </c>
      <c r="K24" s="1183" t="s">
        <v>736</v>
      </c>
      <c r="L24" s="1184">
        <v>17.765899312486138</v>
      </c>
      <c r="N24" s="1182">
        <v>1070</v>
      </c>
      <c r="O24" s="1183" t="s">
        <v>736</v>
      </c>
      <c r="P24" s="1184">
        <v>14.790338028169014</v>
      </c>
    </row>
    <row r="25" spans="1:16">
      <c r="A25" t="str">
        <f t="shared" si="3"/>
        <v>2014-15</v>
      </c>
      <c r="B25" s="1182">
        <v>1177</v>
      </c>
      <c r="C25" s="1183" t="s">
        <v>737</v>
      </c>
      <c r="D25" s="1182">
        <v>58753446.060000002</v>
      </c>
      <c r="E25" s="1182">
        <v>942.77</v>
      </c>
      <c r="F25" s="1182">
        <v>941.90762181698199</v>
      </c>
      <c r="G25" s="1184">
        <v>62320.020853442518</v>
      </c>
      <c r="H25" s="1184">
        <v>62377.078918484571</v>
      </c>
      <c r="J25" s="1182">
        <v>1177</v>
      </c>
      <c r="K25" s="1183" t="s">
        <v>738</v>
      </c>
      <c r="L25" s="1184">
        <v>17.758035113035113</v>
      </c>
      <c r="N25" s="1182">
        <v>1177</v>
      </c>
      <c r="O25" s="1183" t="s">
        <v>738</v>
      </c>
      <c r="P25" s="1184">
        <v>14.846656716417909</v>
      </c>
    </row>
    <row r="26" spans="1:16">
      <c r="A26" t="str">
        <f t="shared" si="3"/>
        <v>2015-16</v>
      </c>
      <c r="B26" s="1182">
        <v>1376</v>
      </c>
      <c r="C26" s="1183" t="s">
        <v>739</v>
      </c>
      <c r="D26" s="1182">
        <v>63657341.920000002</v>
      </c>
      <c r="E26" s="1182">
        <v>1003.48</v>
      </c>
      <c r="F26" s="1182">
        <v>1003.25131304134</v>
      </c>
      <c r="G26" s="1184">
        <v>63436.582612508479</v>
      </c>
      <c r="H26" s="1184">
        <v>63451.042717326534</v>
      </c>
      <c r="J26" s="1182">
        <v>1376</v>
      </c>
      <c r="K26" s="1183" t="s">
        <v>740</v>
      </c>
      <c r="L26" s="1184">
        <v>18.130314292268867</v>
      </c>
      <c r="N26" s="1182">
        <v>1376</v>
      </c>
      <c r="O26" s="1183" t="s">
        <v>740</v>
      </c>
      <c r="P26" s="1184">
        <v>15.242512953367875</v>
      </c>
    </row>
    <row r="27" spans="1:16">
      <c r="A27" t="str">
        <f t="shared" si="3"/>
        <v>2016-17</v>
      </c>
      <c r="B27" s="1182">
        <v>1709</v>
      </c>
      <c r="C27" s="1183" t="s">
        <v>741</v>
      </c>
      <c r="D27" s="1182">
        <v>68238534.099999994</v>
      </c>
      <c r="E27" s="1182">
        <v>1057.71</v>
      </c>
      <c r="F27" s="1182">
        <v>1056.9387550011299</v>
      </c>
      <c r="G27" s="1184">
        <v>64515.353074094033</v>
      </c>
      <c r="H27" s="1184">
        <v>64562.429731254429</v>
      </c>
      <c r="J27" s="1182">
        <v>1709</v>
      </c>
      <c r="K27" s="1183" t="s">
        <v>742</v>
      </c>
      <c r="L27" s="1184">
        <v>18.327150138033552</v>
      </c>
      <c r="N27" s="1182">
        <v>1709</v>
      </c>
      <c r="O27" s="1183" t="s">
        <v>742</v>
      </c>
      <c r="P27" s="1184">
        <v>15.371655172413792</v>
      </c>
    </row>
    <row r="28" spans="1:16">
      <c r="A28" t="str">
        <f t="shared" si="3"/>
        <v>2017-18</v>
      </c>
      <c r="B28" s="1182">
        <v>1876</v>
      </c>
      <c r="C28" s="1183" t="s">
        <v>743</v>
      </c>
      <c r="D28" s="1182">
        <v>74605156.719999999</v>
      </c>
      <c r="E28" s="1182">
        <v>1137.71</v>
      </c>
      <c r="F28" s="1182">
        <v>1136.9880040958001</v>
      </c>
      <c r="G28" s="1184">
        <v>65574.844837436613</v>
      </c>
      <c r="H28" s="1184">
        <v>65616.485355384575</v>
      </c>
      <c r="J28" s="1182">
        <v>1876</v>
      </c>
      <c r="K28" s="1183" t="s">
        <v>744</v>
      </c>
      <c r="L28" s="1184">
        <v>18.80428175026681</v>
      </c>
      <c r="N28" s="1182">
        <v>1876</v>
      </c>
      <c r="O28" s="1183" t="s">
        <v>744</v>
      </c>
      <c r="P28" s="1184">
        <v>15.746470588235294</v>
      </c>
    </row>
    <row r="29" spans="1:16">
      <c r="A29" t="str">
        <f t="shared" si="3"/>
        <v>2018-19</v>
      </c>
      <c r="B29" s="1182">
        <v>2205</v>
      </c>
      <c r="C29" s="1183" t="s">
        <v>745</v>
      </c>
      <c r="D29" s="1182">
        <v>82630177.159999996</v>
      </c>
      <c r="E29" s="1182">
        <v>1230.19</v>
      </c>
      <c r="F29" s="1182">
        <v>1229.5885452110299</v>
      </c>
      <c r="G29" s="1184">
        <v>67168.630179078027</v>
      </c>
      <c r="H29" s="1184">
        <v>67201.485799315473</v>
      </c>
      <c r="J29" s="1182">
        <v>2205</v>
      </c>
      <c r="K29" s="1183" t="s">
        <v>746</v>
      </c>
      <c r="L29" s="1184">
        <v>19.358670020120723</v>
      </c>
      <c r="N29" s="1182">
        <v>2205</v>
      </c>
      <c r="O29" s="1183" t="s">
        <v>746</v>
      </c>
      <c r="P29" s="1184">
        <v>16.129308176100629</v>
      </c>
    </row>
    <row r="30" spans="1:16">
      <c r="A30" t="str">
        <f t="shared" si="3"/>
        <v>2019-20</v>
      </c>
      <c r="B30" s="1182">
        <v>2326</v>
      </c>
      <c r="C30" s="1183" t="s">
        <v>747</v>
      </c>
      <c r="D30" s="1182">
        <v>86165577.939999998</v>
      </c>
      <c r="E30" s="1182">
        <v>1243.3800000000001</v>
      </c>
      <c r="F30" s="1182">
        <v>1242.70990351763</v>
      </c>
      <c r="G30" s="1184">
        <v>69299.472357605875</v>
      </c>
      <c r="H30" s="1184">
        <v>69336.840155613667</v>
      </c>
      <c r="J30" s="1182">
        <v>2326</v>
      </c>
      <c r="K30" s="1183" t="s">
        <v>748</v>
      </c>
      <c r="L30" s="1184">
        <v>20.166620008233842</v>
      </c>
      <c r="N30" s="1182">
        <v>2326</v>
      </c>
      <c r="O30" s="1183" t="s">
        <v>748</v>
      </c>
      <c r="P30" s="1184">
        <v>16.693827956989246</v>
      </c>
    </row>
    <row r="31" spans="1:16">
      <c r="A31" t="str">
        <f t="shared" si="3"/>
        <v>2020-21</v>
      </c>
      <c r="B31" s="1182">
        <v>2395</v>
      </c>
      <c r="C31" s="1183" t="s">
        <v>749</v>
      </c>
      <c r="D31" s="1182">
        <v>96344444.120000005</v>
      </c>
      <c r="E31" s="1182">
        <v>1363.97</v>
      </c>
      <c r="F31" s="1182">
        <v>1362.9054072418</v>
      </c>
      <c r="G31" s="1184">
        <v>70635.310248759139</v>
      </c>
      <c r="H31" s="1184">
        <v>70690.484906783444</v>
      </c>
      <c r="J31" s="1182">
        <v>2395</v>
      </c>
      <c r="K31" s="1183" t="s">
        <v>750</v>
      </c>
      <c r="L31" s="1184">
        <v>21.21920541366514</v>
      </c>
      <c r="N31" s="1182">
        <v>2395</v>
      </c>
      <c r="O31" s="1183" t="s">
        <v>750</v>
      </c>
      <c r="P31" s="1184">
        <v>18.339786096256685</v>
      </c>
    </row>
    <row r="32" spans="1:16">
      <c r="A32" t="s">
        <v>704</v>
      </c>
      <c r="B32" s="1182">
        <v>2485</v>
      </c>
      <c r="C32" s="1183" t="s">
        <v>751</v>
      </c>
      <c r="D32" s="1182">
        <v>109619325</v>
      </c>
      <c r="E32" s="1182">
        <v>1522.36</v>
      </c>
      <c r="F32" s="1182">
        <v>1521.06152260969</v>
      </c>
      <c r="G32" s="1184">
        <v>72006.177907984966</v>
      </c>
      <c r="H32" s="1184">
        <v>72067.647081050207</v>
      </c>
      <c r="J32" s="1182">
        <v>2485</v>
      </c>
      <c r="K32" s="1183" t="s">
        <v>704</v>
      </c>
      <c r="L32" s="1184">
        <v>21.61795489296636</v>
      </c>
      <c r="N32" s="1182">
        <v>2485</v>
      </c>
      <c r="O32" s="1183" t="s">
        <v>704</v>
      </c>
      <c r="P32" s="1184">
        <v>17.885938628158843</v>
      </c>
    </row>
    <row r="33" spans="1:16">
      <c r="A33" t="s">
        <v>629</v>
      </c>
      <c r="B33" s="1182">
        <v>2573</v>
      </c>
      <c r="C33" s="1183" t="s">
        <v>752</v>
      </c>
      <c r="D33" s="1182">
        <v>111081332.5</v>
      </c>
      <c r="E33" s="1182">
        <v>1486.39</v>
      </c>
      <c r="F33" s="1182">
        <v>1485.33867713265</v>
      </c>
      <c r="G33" s="1184">
        <v>74732.292668815047</v>
      </c>
      <c r="H33" s="1184">
        <v>74785.188193197333</v>
      </c>
      <c r="J33" s="1182">
        <v>2573</v>
      </c>
      <c r="K33" s="1183" t="s">
        <v>629</v>
      </c>
      <c r="L33" s="1184">
        <v>22.976859199438202</v>
      </c>
      <c r="N33" s="1182">
        <v>2573</v>
      </c>
      <c r="O33" s="1183" t="s">
        <v>629</v>
      </c>
      <c r="P33" s="1184">
        <v>19.060954773869348</v>
      </c>
    </row>
    <row r="34" spans="1:16">
      <c r="A34" t="s">
        <v>82</v>
      </c>
      <c r="B34" s="1182">
        <v>2663</v>
      </c>
      <c r="C34" s="1183" t="s">
        <v>753</v>
      </c>
      <c r="D34" s="1182">
        <v>115092334.28</v>
      </c>
      <c r="E34" s="1182">
        <v>1466.05</v>
      </c>
      <c r="F34" s="1182">
        <v>1465.4368625674899</v>
      </c>
      <c r="G34" s="1184">
        <v>78505.053906756249</v>
      </c>
      <c r="H34" s="1184">
        <v>78537.900348947645</v>
      </c>
      <c r="J34" s="1182">
        <v>2663</v>
      </c>
      <c r="K34" s="1183" t="s">
        <v>82</v>
      </c>
      <c r="L34" s="1184">
        <f>24.4330103092784*(1+0.0172)</f>
        <v>24.853258086597993</v>
      </c>
      <c r="N34" s="1182">
        <v>2663</v>
      </c>
      <c r="O34" s="1183" t="s">
        <v>82</v>
      </c>
      <c r="P34" s="1184">
        <v>20.384604316546763</v>
      </c>
    </row>
  </sheetData>
  <sheetProtection algorithmName="SHA-512" hashValue="hHYviJoRxJBd9mmNMhmd6QeJkElWJvjqCQgLri6o4be4MoRylp8ekcPvBrLmhoKRu5JZ7raoG+WkheAIlxN0BQ==" saltValue="t1CWicE4sV/hOx/dDgBSiw==" spinCount="100000" sheet="1" objects="1" scenarios="1"/>
  <mergeCells count="3">
    <mergeCell ref="A3:A4"/>
    <mergeCell ref="B3:D3"/>
    <mergeCell ref="E3:G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39997558519241921"/>
  </sheetPr>
  <dimension ref="A1:N31"/>
  <sheetViews>
    <sheetView topLeftCell="E1" zoomScale="90" zoomScaleNormal="90" workbookViewId="0"/>
  </sheetViews>
  <sheetFormatPr defaultColWidth="9.140625" defaultRowHeight="12.75" outlineLevelRow="2" outlineLevelCol="1"/>
  <cols>
    <col min="1" max="1" width="27.7109375" style="10" hidden="1" customWidth="1" outlineLevel="1"/>
    <col min="2" max="2" width="35" style="10" hidden="1" customWidth="1" outlineLevel="1"/>
    <col min="3" max="3" width="34.7109375" style="10" hidden="1" customWidth="1" outlineLevel="1"/>
    <col min="4" max="4" width="11.5703125" style="10" hidden="1" customWidth="1" outlineLevel="1"/>
    <col min="5" max="5" width="58.5703125" style="10" bestFit="1" customWidth="1" collapsed="1"/>
    <col min="6" max="12" width="10.7109375" style="10" customWidth="1"/>
    <col min="13" max="16384" width="9.140625" style="10"/>
  </cols>
  <sheetData>
    <row r="1" spans="1:14" ht="31.5">
      <c r="D1" s="10" t="s">
        <v>754</v>
      </c>
      <c r="E1" s="16" t="s">
        <v>755</v>
      </c>
    </row>
    <row r="2" spans="1:14" ht="13.5" thickBot="1">
      <c r="D2" s="10" t="s">
        <v>756</v>
      </c>
    </row>
    <row r="3" spans="1:14">
      <c r="E3" s="47"/>
      <c r="F3" s="51" t="str">
        <f>'1.Years'!A4</f>
        <v>Base Year</v>
      </c>
      <c r="G3" s="48" t="str">
        <f>'1.Years'!B4</f>
        <v>Base+1</v>
      </c>
      <c r="H3" s="48" t="str">
        <f>'1.Years'!C4</f>
        <v>Base+2</v>
      </c>
      <c r="I3" s="48" t="str">
        <f>'1.Years'!D4</f>
        <v>Base+3</v>
      </c>
      <c r="J3" s="48" t="str">
        <f>'1.Years'!E4</f>
        <v>Base+4</v>
      </c>
      <c r="K3" s="48" t="str">
        <f>'1.Years'!F4</f>
        <v>Base+5</v>
      </c>
      <c r="L3" s="49" t="str">
        <f>'1.Years'!G4</f>
        <v>Base+6</v>
      </c>
      <c r="M3" s="12"/>
      <c r="N3" s="12"/>
    </row>
    <row r="4" spans="1:14" ht="13.5" thickBot="1">
      <c r="E4" s="44"/>
      <c r="F4" s="52" t="str">
        <f>'1.Years'!A7</f>
        <v>2022-23</v>
      </c>
      <c r="G4" s="14" t="str">
        <f>'1.Years'!B7</f>
        <v>2023-24</v>
      </c>
      <c r="H4" s="14" t="str">
        <f>'1.Years'!C7</f>
        <v>2024-25</v>
      </c>
      <c r="I4" s="14" t="str">
        <f>'1.Years'!D7</f>
        <v>2025-26</v>
      </c>
      <c r="J4" s="14" t="str">
        <f>'1.Years'!E7</f>
        <v>2026-27</v>
      </c>
      <c r="K4" s="14" t="str">
        <f>'1.Years'!F7</f>
        <v>2027-28</v>
      </c>
      <c r="L4" s="50" t="str">
        <f>'1.Years'!G7</f>
        <v>2028-29</v>
      </c>
      <c r="M4" s="13"/>
      <c r="N4" s="13"/>
    </row>
    <row r="5" spans="1:14" hidden="1" outlineLevel="1">
      <c r="B5" s="15" t="s">
        <v>757</v>
      </c>
      <c r="C5" s="15"/>
      <c r="F5" s="53" t="str">
        <f t="shared" ref="F5:L5" si="0">CHAR(64+MATCH(F4, $A$4:$L$4, 0))</f>
        <v>F</v>
      </c>
      <c r="G5" s="13" t="str">
        <f t="shared" si="0"/>
        <v>G</v>
      </c>
      <c r="H5" s="13" t="str">
        <f t="shared" si="0"/>
        <v>H</v>
      </c>
      <c r="I5" s="13" t="str">
        <f t="shared" si="0"/>
        <v>I</v>
      </c>
      <c r="J5" s="13" t="str">
        <f t="shared" si="0"/>
        <v>J</v>
      </c>
      <c r="K5" s="13" t="str">
        <f t="shared" si="0"/>
        <v>K</v>
      </c>
      <c r="L5" s="54" t="str">
        <f t="shared" si="0"/>
        <v>L</v>
      </c>
      <c r="M5" s="13"/>
      <c r="N5" s="13"/>
    </row>
    <row r="6" spans="1:14" hidden="1" outlineLevel="1">
      <c r="B6" s="15" t="s">
        <v>758</v>
      </c>
      <c r="C6" s="15"/>
      <c r="F6" s="53"/>
      <c r="G6" s="13"/>
      <c r="H6" s="13"/>
      <c r="I6" s="13"/>
      <c r="J6" s="13"/>
      <c r="K6" s="13"/>
      <c r="L6" s="54"/>
      <c r="M6" s="13"/>
      <c r="N6" s="13"/>
    </row>
    <row r="7" spans="1:14" hidden="1" outlineLevel="1">
      <c r="B7" s="10" t="s">
        <v>759</v>
      </c>
      <c r="F7" s="53"/>
      <c r="G7" s="13"/>
      <c r="H7" s="13"/>
      <c r="I7" s="13"/>
      <c r="J7" s="13"/>
      <c r="K7" s="13"/>
      <c r="L7" s="54"/>
      <c r="M7" s="13"/>
      <c r="N7" s="13"/>
    </row>
    <row r="8" spans="1:14" ht="13.5" hidden="1" outlineLevel="1" thickBot="1">
      <c r="B8" s="10" t="s">
        <v>760</v>
      </c>
      <c r="F8" s="53"/>
      <c r="G8" s="13"/>
      <c r="H8" s="13"/>
      <c r="I8" s="13"/>
      <c r="J8" s="13"/>
      <c r="K8" s="13"/>
      <c r="L8" s="54"/>
      <c r="M8" s="13"/>
      <c r="N8" s="13"/>
    </row>
    <row r="9" spans="1:14" collapsed="1">
      <c r="A9" s="8" t="s">
        <v>366</v>
      </c>
      <c r="B9" s="8" t="s">
        <v>761</v>
      </c>
      <c r="C9" s="10" t="s">
        <v>762</v>
      </c>
      <c r="D9" s="8">
        <f t="shared" ref="D9:D14" ca="1" si="1">MATCH($C9, INDIRECT($D$2), 0)</f>
        <v>20</v>
      </c>
      <c r="E9" s="31" t="s">
        <v>761</v>
      </c>
      <c r="F9" s="55">
        <f t="shared" ref="F9:F14" ca="1" si="2">INDEX(INDIRECT($B$5&amp;$B$6), MATCH($A9, INDIRECT($B$5 &amp; $B$7),0), MATCH(F$4, INDIRECT($B$5&amp;$B$8), 0))</f>
        <v>73300</v>
      </c>
      <c r="G9" s="32">
        <f t="shared" ref="G9:G14" ca="1" si="3">F9*(1+INDIRECT(G$5 &amp; $D9))</f>
        <v>77161.105350759914</v>
      </c>
      <c r="H9" s="32">
        <f t="shared" ref="H9:L14" ca="1" si="4">G9*(1+INDIRECT(H$5 &amp; $D9))</f>
        <v>79615.845368299517</v>
      </c>
      <c r="I9" s="32">
        <f t="shared" ca="1" si="4"/>
        <v>83674.283063657946</v>
      </c>
      <c r="J9" s="32">
        <f t="shared" ca="1" si="4"/>
        <v>86519.360691969778</v>
      </c>
      <c r="K9" s="32">
        <f t="shared" ca="1" si="4"/>
        <v>89537.443040737824</v>
      </c>
      <c r="L9" s="33">
        <f t="shared" ca="1" si="4"/>
        <v>92740.530437392576</v>
      </c>
    </row>
    <row r="10" spans="1:14">
      <c r="A10" s="8" t="s">
        <v>377</v>
      </c>
      <c r="B10" s="8" t="s">
        <v>763</v>
      </c>
      <c r="C10" s="10" t="s">
        <v>762</v>
      </c>
      <c r="D10" s="8">
        <f t="shared" ca="1" si="1"/>
        <v>20</v>
      </c>
      <c r="E10" s="17" t="s">
        <v>763</v>
      </c>
      <c r="F10" s="56">
        <f t="shared" ca="1" si="2"/>
        <v>74785.188193197333</v>
      </c>
      <c r="G10" s="34">
        <f t="shared" ca="1" si="3"/>
        <v>78724.526396339774</v>
      </c>
      <c r="H10" s="34">
        <f t="shared" ca="1" si="4"/>
        <v>81229.003806668174</v>
      </c>
      <c r="I10" s="34">
        <f t="shared" ca="1" si="4"/>
        <v>85369.672658206313</v>
      </c>
      <c r="J10" s="34">
        <f t="shared" ca="1" si="4"/>
        <v>88272.396612606797</v>
      </c>
      <c r="K10" s="34">
        <f t="shared" ca="1" si="4"/>
        <v>91351.630670385595</v>
      </c>
      <c r="L10" s="35">
        <f t="shared" ca="1" si="4"/>
        <v>94619.618306921533</v>
      </c>
    </row>
    <row r="11" spans="1:14">
      <c r="A11" s="8" t="s">
        <v>370</v>
      </c>
      <c r="B11" s="8" t="s">
        <v>764</v>
      </c>
      <c r="C11" s="10" t="s">
        <v>765</v>
      </c>
      <c r="D11" s="8">
        <f t="shared" ca="1" si="1"/>
        <v>22</v>
      </c>
      <c r="E11" s="17" t="s">
        <v>764</v>
      </c>
      <c r="F11" s="56">
        <f t="shared" ca="1" si="2"/>
        <v>127310</v>
      </c>
      <c r="G11" s="34">
        <f t="shared" ca="1" si="3"/>
        <v>132792.38756961847</v>
      </c>
      <c r="H11" s="34">
        <f t="shared" ca="1" si="4"/>
        <v>136656.64604789435</v>
      </c>
      <c r="I11" s="34">
        <f t="shared" ca="1" si="4"/>
        <v>142967.86813172302</v>
      </c>
      <c r="J11" s="34">
        <f t="shared" ca="1" si="4"/>
        <v>147128.23309435628</v>
      </c>
      <c r="K11" s="34">
        <f t="shared" ca="1" si="4"/>
        <v>151409.66467740189</v>
      </c>
      <c r="L11" s="35">
        <f t="shared" ca="1" si="4"/>
        <v>155815.6859195146</v>
      </c>
    </row>
    <row r="12" spans="1:14">
      <c r="A12" s="8" t="s">
        <v>374</v>
      </c>
      <c r="B12" s="8" t="s">
        <v>766</v>
      </c>
      <c r="C12" s="10" t="s">
        <v>767</v>
      </c>
      <c r="D12" s="8">
        <f t="shared" ca="1" si="1"/>
        <v>21</v>
      </c>
      <c r="E12" s="17" t="s">
        <v>766</v>
      </c>
      <c r="F12" s="56">
        <f t="shared" ca="1" si="2"/>
        <v>117910</v>
      </c>
      <c r="G12" s="34">
        <f t="shared" ca="1" si="3"/>
        <v>122452.15408885044</v>
      </c>
      <c r="H12" s="34">
        <f t="shared" ca="1" si="4"/>
        <v>125697.13617220498</v>
      </c>
      <c r="I12" s="34">
        <f t="shared" ca="1" si="4"/>
        <v>131544.15843124341</v>
      </c>
      <c r="J12" s="34">
        <f t="shared" ca="1" si="4"/>
        <v>135030.07862967133</v>
      </c>
      <c r="K12" s="34">
        <f t="shared" ca="1" si="4"/>
        <v>138608.37571335756</v>
      </c>
      <c r="L12" s="35">
        <f t="shared" ca="1" si="4"/>
        <v>142281.4976697611</v>
      </c>
    </row>
    <row r="13" spans="1:14">
      <c r="A13" s="8" t="s">
        <v>382</v>
      </c>
      <c r="B13" s="8" t="s">
        <v>768</v>
      </c>
      <c r="C13" s="10" t="s">
        <v>769</v>
      </c>
      <c r="D13" s="8">
        <f t="shared" ca="1" si="1"/>
        <v>28</v>
      </c>
      <c r="E13" s="17" t="s">
        <v>768</v>
      </c>
      <c r="F13" s="57">
        <f t="shared" ca="1" si="2"/>
        <v>19.060954773869348</v>
      </c>
      <c r="G13" s="36">
        <f t="shared" ca="1" si="3"/>
        <v>19.896475305108478</v>
      </c>
      <c r="H13" s="36">
        <f t="shared" ca="1" si="4"/>
        <v>20.463248340683709</v>
      </c>
      <c r="I13" s="36">
        <f t="shared" ca="1" si="4"/>
        <v>20.926559163574808</v>
      </c>
      <c r="J13" s="36">
        <f t="shared" ca="1" si="4"/>
        <v>21.452333575463641</v>
      </c>
      <c r="K13" s="36">
        <f t="shared" ca="1" si="4"/>
        <v>22.009940181106135</v>
      </c>
      <c r="L13" s="37">
        <f t="shared" ca="1" si="4"/>
        <v>22.550121358734806</v>
      </c>
    </row>
    <row r="14" spans="1:14" ht="13.5" thickBot="1">
      <c r="A14" s="8" t="s">
        <v>380</v>
      </c>
      <c r="B14" s="8" t="s">
        <v>770</v>
      </c>
      <c r="C14" s="10" t="s">
        <v>769</v>
      </c>
      <c r="D14" s="8">
        <f t="shared" ca="1" si="1"/>
        <v>28</v>
      </c>
      <c r="E14" s="17" t="s">
        <v>770</v>
      </c>
      <c r="F14" s="57">
        <f t="shared" ca="1" si="2"/>
        <v>22.976859199438202</v>
      </c>
      <c r="G14" s="36">
        <f t="shared" ca="1" si="3"/>
        <v>23.984030027566881</v>
      </c>
      <c r="H14" s="36">
        <f t="shared" ca="1" si="4"/>
        <v>24.66724156607297</v>
      </c>
      <c r="I14" s="36">
        <f t="shared" ca="1" si="4"/>
        <v>25.22573549617444</v>
      </c>
      <c r="J14" s="36">
        <f t="shared" ca="1" si="4"/>
        <v>25.859525606688656</v>
      </c>
      <c r="K14" s="36">
        <f t="shared" ca="1" si="4"/>
        <v>26.531687553376042</v>
      </c>
      <c r="L14" s="37">
        <f t="shared" ca="1" si="4"/>
        <v>27.182844172118763</v>
      </c>
    </row>
    <row r="15" spans="1:14" ht="13.5" thickBot="1">
      <c r="A15" s="9" t="s">
        <v>384</v>
      </c>
      <c r="B15" s="8" t="s">
        <v>771</v>
      </c>
      <c r="C15" s="87" t="s">
        <v>772</v>
      </c>
      <c r="D15" s="88">
        <v>1.05</v>
      </c>
      <c r="E15" s="38" t="s">
        <v>771</v>
      </c>
      <c r="F15" s="58">
        <f t="shared" ref="F15:L15" ca="1" si="5">F14*$D15</f>
        <v>24.125702159410114</v>
      </c>
      <c r="G15" s="1185">
        <f t="shared" ca="1" si="5"/>
        <v>25.183231528945225</v>
      </c>
      <c r="H15" s="1185">
        <f t="shared" ca="1" si="5"/>
        <v>25.90060364437662</v>
      </c>
      <c r="I15" s="1185">
        <f t="shared" ca="1" si="5"/>
        <v>26.487022270983164</v>
      </c>
      <c r="J15" s="1185">
        <f t="shared" ca="1" si="5"/>
        <v>27.152501887023089</v>
      </c>
      <c r="K15" s="1185">
        <f t="shared" ca="1" si="5"/>
        <v>27.858271931044843</v>
      </c>
      <c r="L15" s="39">
        <f t="shared" ca="1" si="5"/>
        <v>28.541986380724701</v>
      </c>
    </row>
    <row r="16" spans="1:14" hidden="1" outlineLevel="2">
      <c r="A16" s="10" t="s">
        <v>773</v>
      </c>
      <c r="B16" s="15" t="s">
        <v>757</v>
      </c>
      <c r="C16" s="15"/>
      <c r="E16" s="40"/>
      <c r="F16" s="40"/>
      <c r="L16" s="41"/>
    </row>
    <row r="17" spans="1:12" hidden="1" outlineLevel="2">
      <c r="A17" s="10" t="s">
        <v>774</v>
      </c>
      <c r="B17" s="15" t="s">
        <v>775</v>
      </c>
      <c r="C17" s="15"/>
      <c r="E17" s="40"/>
      <c r="F17" s="40"/>
      <c r="L17" s="41"/>
    </row>
    <row r="18" spans="1:12" hidden="1" outlineLevel="2">
      <c r="A18" s="10" t="s">
        <v>754</v>
      </c>
      <c r="B18" s="10" t="s">
        <v>776</v>
      </c>
      <c r="E18" s="40"/>
      <c r="F18" s="40"/>
      <c r="L18" s="41"/>
    </row>
    <row r="19" spans="1:12" hidden="1" outlineLevel="2">
      <c r="A19" s="10" t="s">
        <v>777</v>
      </c>
      <c r="B19" s="10" t="s">
        <v>778</v>
      </c>
      <c r="E19" s="40"/>
      <c r="F19" s="40"/>
      <c r="L19" s="41"/>
    </row>
    <row r="20" spans="1:12" collapsed="1">
      <c r="A20" s="10" t="s">
        <v>364</v>
      </c>
      <c r="B20" s="10" t="s">
        <v>701</v>
      </c>
      <c r="E20" s="40" t="s">
        <v>762</v>
      </c>
      <c r="F20" s="59">
        <f t="shared" ref="F20:L22" ca="1" si="6">INDEX(INDIRECT($B$16&amp;$B$17), MATCH(F$4, INDIRECT($B$16&amp;$B$18), 0),MATCH($B20, INDIRECT($B$16 &amp; $B$19),0)+4)</f>
        <v>4.3937732328771073E-2</v>
      </c>
      <c r="G20" s="42">
        <f t="shared" ca="1" si="6"/>
        <v>5.2675379955796853E-2</v>
      </c>
      <c r="H20" s="42">
        <f t="shared" ca="1" si="6"/>
        <v>3.1813178496871153E-2</v>
      </c>
      <c r="I20" s="42">
        <f t="shared" ca="1" si="6"/>
        <v>5.0975250926298177E-2</v>
      </c>
      <c r="J20" s="42">
        <f t="shared" ca="1" si="6"/>
        <v>3.4001816617267533E-2</v>
      </c>
      <c r="K20" s="42">
        <f t="shared" ca="1" si="6"/>
        <v>3.4883317729463625E-2</v>
      </c>
      <c r="L20" s="43">
        <f t="shared" ca="1" si="6"/>
        <v>3.5773719774389923E-2</v>
      </c>
    </row>
    <row r="21" spans="1:12">
      <c r="A21" s="10" t="s">
        <v>372</v>
      </c>
      <c r="B21" s="10" t="s">
        <v>703</v>
      </c>
      <c r="E21" s="40" t="s">
        <v>767</v>
      </c>
      <c r="F21" s="59">
        <f t="shared" ca="1" si="6"/>
        <v>5.4464477355655738E-2</v>
      </c>
      <c r="G21" s="42">
        <f t="shared" ca="1" si="6"/>
        <v>3.8522212610045292E-2</v>
      </c>
      <c r="H21" s="42">
        <f t="shared" ca="1" si="6"/>
        <v>2.6499999999999968E-2</v>
      </c>
      <c r="I21" s="42">
        <f t="shared" ca="1" si="6"/>
        <v>4.6516750000000107E-2</v>
      </c>
      <c r="J21" s="42">
        <f t="shared" ca="1" si="6"/>
        <v>2.6499999999999746E-2</v>
      </c>
      <c r="K21" s="42">
        <f t="shared" ca="1" si="6"/>
        <v>2.6499999999999524E-2</v>
      </c>
      <c r="L21" s="43">
        <f t="shared" ca="1" si="6"/>
        <v>2.6499999999996859E-2</v>
      </c>
    </row>
    <row r="22" spans="1:12">
      <c r="A22" s="10" t="s">
        <v>368</v>
      </c>
      <c r="B22" s="10" t="s">
        <v>702</v>
      </c>
      <c r="E22" s="40" t="s">
        <v>765</v>
      </c>
      <c r="F22" s="59">
        <f t="shared" ca="1" si="6"/>
        <v>4.6108965403895086E-2</v>
      </c>
      <c r="G22" s="42">
        <f t="shared" ca="1" si="6"/>
        <v>4.3063290940369647E-2</v>
      </c>
      <c r="H22" s="42">
        <f t="shared" ca="1" si="6"/>
        <v>2.9099999999999904E-2</v>
      </c>
      <c r="I22" s="42">
        <f t="shared" ca="1" si="6"/>
        <v>4.6183059999999942E-2</v>
      </c>
      <c r="J22" s="42">
        <f t="shared" ca="1" si="6"/>
        <v>2.9100000000000792E-2</v>
      </c>
      <c r="K22" s="42">
        <f t="shared" ca="1" si="6"/>
        <v>2.9099999999998793E-2</v>
      </c>
      <c r="L22" s="43">
        <f t="shared" ca="1" si="6"/>
        <v>2.9100000000002124E-2</v>
      </c>
    </row>
    <row r="23" spans="1:12" hidden="1" outlineLevel="1">
      <c r="A23" s="10" t="s">
        <v>773</v>
      </c>
      <c r="B23" s="15" t="s">
        <v>426</v>
      </c>
      <c r="C23" s="15"/>
      <c r="E23" s="40"/>
      <c r="F23" s="59"/>
      <c r="G23" s="42"/>
      <c r="H23" s="42"/>
      <c r="I23" s="42"/>
      <c r="J23" s="42"/>
      <c r="K23" s="42"/>
      <c r="L23" s="43"/>
    </row>
    <row r="24" spans="1:12" hidden="1" outlineLevel="1">
      <c r="A24" s="10" t="s">
        <v>774</v>
      </c>
      <c r="B24" s="15" t="s">
        <v>779</v>
      </c>
      <c r="C24" s="15"/>
      <c r="E24" s="40"/>
      <c r="F24" s="59"/>
      <c r="G24" s="42"/>
      <c r="H24" s="42"/>
      <c r="I24" s="42"/>
      <c r="J24" s="42"/>
      <c r="K24" s="42"/>
      <c r="L24" s="43"/>
    </row>
    <row r="25" spans="1:12" hidden="1" outlineLevel="1">
      <c r="A25" s="10" t="s">
        <v>754</v>
      </c>
      <c r="B25" s="10" t="s">
        <v>504</v>
      </c>
      <c r="E25" s="40"/>
      <c r="F25" s="59"/>
      <c r="G25" s="42"/>
      <c r="H25" s="42"/>
      <c r="I25" s="42"/>
      <c r="J25" s="42"/>
      <c r="K25" s="42"/>
      <c r="L25" s="43"/>
    </row>
    <row r="26" spans="1:12" hidden="1" outlineLevel="1">
      <c r="A26" s="10" t="s">
        <v>777</v>
      </c>
      <c r="B26" s="10" t="s">
        <v>780</v>
      </c>
      <c r="E26" s="40"/>
      <c r="F26" s="59"/>
      <c r="G26" s="42"/>
      <c r="H26" s="42"/>
      <c r="I26" s="42"/>
      <c r="J26" s="42"/>
      <c r="K26" s="42"/>
      <c r="L26" s="43"/>
    </row>
    <row r="27" spans="1:12" collapsed="1">
      <c r="A27" s="10" t="s">
        <v>781</v>
      </c>
      <c r="E27" s="40" t="s">
        <v>781</v>
      </c>
      <c r="F27" s="59">
        <f>'6.GrowthFactors'!C8</f>
        <v>8.0000000000000071E-2</v>
      </c>
      <c r="G27" s="42">
        <f>'6.GrowthFactors'!D8</f>
        <v>4.2834138486312456E-2</v>
      </c>
      <c r="H27" s="42">
        <f>'6.GrowthFactors'!E8</f>
        <v>2.7486102532427337E-2</v>
      </c>
      <c r="I27" s="42">
        <f>'6.GrowthFactors'!F8</f>
        <v>2.1641118124436476E-2</v>
      </c>
      <c r="J27" s="42">
        <f>'6.GrowthFactors'!G8</f>
        <v>2.4124742571344671E-2</v>
      </c>
      <c r="K27" s="42">
        <f>'6.GrowthFactors'!H8</f>
        <v>2.4992818155702423E-2</v>
      </c>
      <c r="L27" s="43">
        <f>'6.GrowthFactors'!I8</f>
        <v>2.3542600896860888E-2</v>
      </c>
    </row>
    <row r="28" spans="1:12">
      <c r="A28" s="10" t="s">
        <v>378</v>
      </c>
      <c r="E28" s="40" t="s">
        <v>769</v>
      </c>
      <c r="F28" s="59">
        <f>F27+0.001</f>
        <v>8.1000000000000072E-2</v>
      </c>
      <c r="G28" s="42">
        <f t="shared" ref="G28:L28" si="7">G27+0.001</f>
        <v>4.3834138486312457E-2</v>
      </c>
      <c r="H28" s="42">
        <f t="shared" si="7"/>
        <v>2.8486102532427338E-2</v>
      </c>
      <c r="I28" s="42">
        <f t="shared" si="7"/>
        <v>2.2641118124436477E-2</v>
      </c>
      <c r="J28" s="42">
        <f t="shared" si="7"/>
        <v>2.5124742571344671E-2</v>
      </c>
      <c r="K28" s="42">
        <f t="shared" si="7"/>
        <v>2.5992818155702424E-2</v>
      </c>
      <c r="L28" s="43">
        <f t="shared" si="7"/>
        <v>2.4542600896860889E-2</v>
      </c>
    </row>
    <row r="29" spans="1:12" ht="13.5" thickBot="1">
      <c r="A29" s="10" t="s">
        <v>782</v>
      </c>
      <c r="E29" s="44" t="s">
        <v>783</v>
      </c>
      <c r="F29" s="60">
        <f t="shared" ref="F29:L29" ca="1" si="8">0.5*F20+0.1*F22+0.4*F28</f>
        <v>5.8979762704775077E-2</v>
      </c>
      <c r="G29" s="45">
        <f t="shared" ca="1" si="8"/>
        <v>4.8177674466460374E-2</v>
      </c>
      <c r="H29" s="45">
        <f t="shared" ca="1" si="8"/>
        <v>3.02110302614065E-2</v>
      </c>
      <c r="I29" s="45">
        <f t="shared" ca="1" si="8"/>
        <v>3.9162378712923676E-2</v>
      </c>
      <c r="J29" s="45">
        <f t="shared" ca="1" si="8"/>
        <v>2.9960805337171714E-2</v>
      </c>
      <c r="K29" s="45">
        <f t="shared" ca="1" si="8"/>
        <v>3.0748786127012661E-2</v>
      </c>
      <c r="L29" s="46">
        <f t="shared" ca="1" si="8"/>
        <v>3.0613900245939529E-2</v>
      </c>
    </row>
    <row r="30" spans="1:12">
      <c r="A30" s="10" t="s">
        <v>438</v>
      </c>
      <c r="D30" s="72"/>
      <c r="E30" s="10" t="s">
        <v>784</v>
      </c>
      <c r="F30" s="73">
        <f ca="1">F9*(1+'7.PayrollBenefits'!D7+'7.PayrollBenefits'!D9)/190</f>
        <v>516.10915789473677</v>
      </c>
      <c r="G30" s="73">
        <f ca="1">G9*(1+'7.PayrollBenefits'!E7+'7.PayrollBenefits'!E9)/190</f>
        <v>546.95040361264978</v>
      </c>
      <c r="H30" s="73">
        <f ca="1">H9*(1+'7.PayrollBenefits'!F7+'7.PayrollBenefits'!F9)/190</f>
        <v>564.35063443171464</v>
      </c>
      <c r="I30" s="73">
        <f ca="1">I9*(1+'7.PayrollBenefits'!G7+'7.PayrollBenefits'!G9)/190</f>
        <v>591.66525945276021</v>
      </c>
      <c r="J30" s="73">
        <f ca="1">J9*(1+'7.PayrollBenefits'!H7+'7.PayrollBenefits'!H9)/190</f>
        <v>611.78295310348096</v>
      </c>
      <c r="K30" s="73">
        <f ca="1">K9*(1+'7.PayrollBenefits'!I7+'7.PayrollBenefits'!I9)/190</f>
        <v>633.1239722380592</v>
      </c>
      <c r="L30" s="73">
        <f ca="1">L9*(1+'7.PayrollBenefits'!J7+'7.PayrollBenefits'!J9)/190</f>
        <v>655.77317180335228</v>
      </c>
    </row>
    <row r="31" spans="1:12">
      <c r="A31" s="10" t="s">
        <v>442</v>
      </c>
      <c r="D31" s="72"/>
      <c r="E31" s="10" t="s">
        <v>785</v>
      </c>
      <c r="F31" s="73">
        <f ca="1">F14*(1+'7.PayrollBenefits'!D7+'7.PayrollBenefits'!D16)*8</f>
        <v>259.32602366853928</v>
      </c>
      <c r="G31" s="73">
        <f ca="1">G14*(1+'7.PayrollBenefits'!E7+'7.PayrollBenefits'!E16)*8</f>
        <v>272.82313836957877</v>
      </c>
      <c r="H31" s="73">
        <f ca="1">H14*(1+'7.PayrollBenefits'!F7+'7.PayrollBenefits'!F16)*8</f>
        <v>280.59480626239326</v>
      </c>
      <c r="I31" s="73">
        <f ca="1">I14*(1+'7.PayrollBenefits'!G7+'7.PayrollBenefits'!G16)*8</f>
        <v>294.97966059806544</v>
      </c>
      <c r="J31" s="73">
        <f ca="1">J14*(1+'7.PayrollBenefits'!H7+'7.PayrollBenefits'!H16)*8</f>
        <v>302.39094863437447</v>
      </c>
      <c r="K31" s="73">
        <f ca="1">K14*(1+'7.PayrollBenefits'!I7+'7.PayrollBenefits'!I16)*8</f>
        <v>310.25094157415811</v>
      </c>
      <c r="L31" s="73">
        <f ca="1">L14*(1+'7.PayrollBenefits'!J7+'7.PayrollBenefits'!J16)*8</f>
        <v>317.86530661108799</v>
      </c>
    </row>
  </sheetData>
  <sheetProtection algorithmName="SHA-512" hashValue="fTe3tHKJFglxImjSK1Z7m3SJeXGj1uqwiUJeCqu3SHhqiamfeOnjylEYKqp9TZpsCoSHVDpJ6ckOqfWXW6Wcjg==" saltValue="/pZ6fJ5g6X2WjASu+PDrkw==" spinCount="100000" sheet="1" objects="1" scenarios="1" formatColumns="0" formatRows="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39997558519241921"/>
  </sheetPr>
  <dimension ref="A1:I27"/>
  <sheetViews>
    <sheetView workbookViewId="0"/>
  </sheetViews>
  <sheetFormatPr defaultRowHeight="15"/>
  <cols>
    <col min="1" max="1" width="9.140625" style="803"/>
    <col min="2" max="2" width="10.7109375" bestFit="1" customWidth="1"/>
    <col min="3" max="3" width="19.7109375" bestFit="1" customWidth="1"/>
    <col min="4" max="4" width="12" bestFit="1" customWidth="1"/>
  </cols>
  <sheetData>
    <row r="1" spans="1:9">
      <c r="B1" s="901" t="s">
        <v>786</v>
      </c>
      <c r="C1" s="901" t="s">
        <v>787</v>
      </c>
      <c r="D1" t="s">
        <v>788</v>
      </c>
      <c r="E1" t="s">
        <v>789</v>
      </c>
      <c r="G1" t="s">
        <v>790</v>
      </c>
      <c r="I1" t="s">
        <v>791</v>
      </c>
    </row>
    <row r="2" spans="1:9">
      <c r="A2" s="803">
        <v>9798</v>
      </c>
      <c r="B2" s="902">
        <v>35612</v>
      </c>
      <c r="C2" s="903">
        <v>598548652.83000004</v>
      </c>
      <c r="G2" s="11">
        <f>AVERAGE(D:D)</f>
        <v>3.4490740821992778E-2</v>
      </c>
    </row>
    <row r="3" spans="1:9">
      <c r="A3" s="803">
        <v>9899</v>
      </c>
      <c r="B3" s="902">
        <v>35977</v>
      </c>
      <c r="C3" s="903">
        <v>625540135.00999999</v>
      </c>
      <c r="D3" s="11"/>
    </row>
    <row r="4" spans="1:9">
      <c r="A4" s="803">
        <v>9900</v>
      </c>
      <c r="B4" s="902">
        <v>36342</v>
      </c>
      <c r="C4" s="903">
        <v>2119114981.6300001</v>
      </c>
      <c r="D4" s="11"/>
    </row>
    <row r="5" spans="1:9">
      <c r="A5" s="904" t="s">
        <v>792</v>
      </c>
      <c r="B5" s="902">
        <v>36708</v>
      </c>
      <c r="C5" s="903">
        <v>2218919393.5100002</v>
      </c>
      <c r="D5" s="11">
        <f t="shared" ref="D5:D27" si="0">C5/C4-1</f>
        <v>4.7097214046984748E-2</v>
      </c>
    </row>
    <row r="6" spans="1:9">
      <c r="A6" s="904" t="s">
        <v>793</v>
      </c>
      <c r="B6" s="902">
        <v>37073</v>
      </c>
      <c r="C6" s="903">
        <v>2299176330.79</v>
      </c>
      <c r="D6" s="11">
        <f t="shared" si="0"/>
        <v>3.6169379345071695E-2</v>
      </c>
    </row>
    <row r="7" spans="1:9">
      <c r="A7" s="904" t="s">
        <v>794</v>
      </c>
      <c r="B7" s="902">
        <v>37438</v>
      </c>
      <c r="C7" s="903">
        <v>2229787768.2199998</v>
      </c>
      <c r="D7" s="11">
        <f t="shared" si="0"/>
        <v>-3.017974813013069E-2</v>
      </c>
      <c r="E7" s="3">
        <f>AVERAGE(D5:D7)</f>
        <v>1.7695615087308585E-2</v>
      </c>
    </row>
    <row r="8" spans="1:9">
      <c r="A8" s="904" t="s">
        <v>795</v>
      </c>
      <c r="B8" s="902">
        <v>37803</v>
      </c>
      <c r="C8" s="903">
        <v>2245992087.5300002</v>
      </c>
      <c r="D8" s="11">
        <f t="shared" si="0"/>
        <v>7.2672025297439991E-3</v>
      </c>
      <c r="E8" s="3">
        <f t="shared" ref="E8:E27" si="1">AVERAGE(D6:D8)</f>
        <v>4.4189445815616679E-3</v>
      </c>
    </row>
    <row r="9" spans="1:9">
      <c r="A9" s="904" t="s">
        <v>796</v>
      </c>
      <c r="B9" s="902">
        <v>38169</v>
      </c>
      <c r="C9" s="903">
        <v>2346529760.7199998</v>
      </c>
      <c r="D9" s="11">
        <f t="shared" si="0"/>
        <v>4.4763146650514063E-2</v>
      </c>
      <c r="E9" s="3">
        <f t="shared" si="1"/>
        <v>7.2835336833757909E-3</v>
      </c>
    </row>
    <row r="10" spans="1:9">
      <c r="A10" s="904" t="s">
        <v>797</v>
      </c>
      <c r="B10" s="902">
        <v>38534</v>
      </c>
      <c r="C10" s="903">
        <v>2444458337.1399999</v>
      </c>
      <c r="D10" s="11">
        <f t="shared" si="0"/>
        <v>4.1733362201190172E-2</v>
      </c>
      <c r="E10" s="3">
        <f t="shared" si="1"/>
        <v>3.1254570460482745E-2</v>
      </c>
    </row>
    <row r="11" spans="1:9">
      <c r="A11" s="904" t="s">
        <v>798</v>
      </c>
      <c r="B11" s="902">
        <v>38899</v>
      </c>
      <c r="C11" s="903">
        <v>2575028842.8099999</v>
      </c>
      <c r="D11" s="11">
        <f t="shared" si="0"/>
        <v>5.3414903288049764E-2</v>
      </c>
      <c r="E11" s="3">
        <f t="shared" si="1"/>
        <v>4.6637137379918002E-2</v>
      </c>
    </row>
    <row r="12" spans="1:9">
      <c r="A12" s="904" t="s">
        <v>799</v>
      </c>
      <c r="B12" s="902">
        <v>39264</v>
      </c>
      <c r="C12" s="903">
        <v>2719329959.0599999</v>
      </c>
      <c r="D12" s="11">
        <f t="shared" si="0"/>
        <v>5.603864075267273E-2</v>
      </c>
      <c r="E12" s="3">
        <f t="shared" si="1"/>
        <v>5.0395635413970886E-2</v>
      </c>
    </row>
    <row r="13" spans="1:9">
      <c r="A13" s="904" t="s">
        <v>800</v>
      </c>
      <c r="B13" s="902">
        <v>39630</v>
      </c>
      <c r="C13" s="903">
        <v>2822725883.3000002</v>
      </c>
      <c r="D13" s="11">
        <f t="shared" si="0"/>
        <v>3.8022573868064624E-2</v>
      </c>
      <c r="E13" s="3">
        <f t="shared" si="1"/>
        <v>4.9158705969595706E-2</v>
      </c>
    </row>
    <row r="14" spans="1:9">
      <c r="A14" s="904" t="s">
        <v>801</v>
      </c>
      <c r="B14" s="902">
        <v>39995</v>
      </c>
      <c r="C14" s="903">
        <v>2788503921.27</v>
      </c>
      <c r="D14" s="11">
        <f t="shared" si="0"/>
        <v>-1.2123728425939784E-2</v>
      </c>
      <c r="E14" s="3">
        <f t="shared" si="1"/>
        <v>2.7312495398265857E-2</v>
      </c>
    </row>
    <row r="15" spans="1:9">
      <c r="A15" s="803">
        <v>1011</v>
      </c>
      <c r="B15" s="902">
        <v>40360</v>
      </c>
      <c r="C15" s="903">
        <v>2780034774.3699999</v>
      </c>
      <c r="D15" s="11">
        <f t="shared" si="0"/>
        <v>-3.037165139126996E-3</v>
      </c>
      <c r="E15" s="3">
        <f t="shared" si="1"/>
        <v>7.6205601009992812E-3</v>
      </c>
    </row>
    <row r="16" spans="1:9">
      <c r="A16" s="803">
        <v>1112</v>
      </c>
      <c r="B16" s="902">
        <v>40725</v>
      </c>
      <c r="C16" s="903">
        <v>2661437228.4000001</v>
      </c>
      <c r="D16" s="11">
        <f t="shared" si="0"/>
        <v>-4.2660454129346603E-2</v>
      </c>
      <c r="E16" s="3">
        <f t="shared" si="1"/>
        <v>-1.927378256480446E-2</v>
      </c>
    </row>
    <row r="17" spans="1:5">
      <c r="A17" s="803">
        <v>1213</v>
      </c>
      <c r="B17" s="902">
        <v>41091</v>
      </c>
      <c r="C17" s="903">
        <v>2660922171.8699999</v>
      </c>
      <c r="D17" s="11">
        <f t="shared" si="0"/>
        <v>-1.9352571028319332E-4</v>
      </c>
      <c r="E17" s="3">
        <f t="shared" si="1"/>
        <v>-1.5297048326252264E-2</v>
      </c>
    </row>
    <row r="18" spans="1:5">
      <c r="A18" s="803">
        <v>1314</v>
      </c>
      <c r="B18" s="902">
        <v>41456</v>
      </c>
      <c r="C18" s="903">
        <v>2759977253.3899999</v>
      </c>
      <c r="D18" s="11">
        <f t="shared" si="0"/>
        <v>3.7225846951542962E-2</v>
      </c>
      <c r="E18" s="3">
        <f t="shared" si="1"/>
        <v>-1.8760442960289447E-3</v>
      </c>
    </row>
    <row r="19" spans="1:5">
      <c r="A19" s="803">
        <v>1415</v>
      </c>
      <c r="B19" s="902">
        <v>41821</v>
      </c>
      <c r="C19" s="903">
        <v>2934592443.0999999</v>
      </c>
      <c r="D19" s="11">
        <f t="shared" si="0"/>
        <v>6.3266894499048876E-2</v>
      </c>
      <c r="E19" s="3">
        <f t="shared" si="1"/>
        <v>3.3433071913436217E-2</v>
      </c>
    </row>
    <row r="20" spans="1:5">
      <c r="A20" s="803">
        <v>1516</v>
      </c>
      <c r="B20" s="902">
        <v>42186</v>
      </c>
      <c r="C20" s="903">
        <v>3134905817.6300001</v>
      </c>
      <c r="D20" s="11">
        <f t="shared" si="0"/>
        <v>6.8259350630098581E-2</v>
      </c>
      <c r="E20" s="3">
        <f t="shared" si="1"/>
        <v>5.625069736023014E-2</v>
      </c>
    </row>
    <row r="21" spans="1:5">
      <c r="A21" s="803">
        <v>1617</v>
      </c>
      <c r="B21" s="902">
        <v>42552</v>
      </c>
      <c r="C21" s="903">
        <v>3276333773.0300002</v>
      </c>
      <c r="D21" s="11">
        <f t="shared" si="0"/>
        <v>4.5113940777627537E-2</v>
      </c>
      <c r="E21" s="3">
        <f t="shared" si="1"/>
        <v>5.8880061968925E-2</v>
      </c>
    </row>
    <row r="22" spans="1:5">
      <c r="A22" s="803">
        <v>1718</v>
      </c>
      <c r="B22" s="902">
        <v>42917</v>
      </c>
      <c r="C22" s="903">
        <v>3403252009.0799999</v>
      </c>
      <c r="D22" s="11">
        <f t="shared" si="0"/>
        <v>3.8737883513200178E-2</v>
      </c>
      <c r="E22" s="3">
        <f t="shared" si="1"/>
        <v>5.0703724973642096E-2</v>
      </c>
    </row>
    <row r="23" spans="1:5">
      <c r="A23" s="803">
        <v>1819</v>
      </c>
      <c r="B23" s="902">
        <v>43282</v>
      </c>
      <c r="C23" s="903">
        <v>3540205116.5</v>
      </c>
      <c r="D23" s="11">
        <f t="shared" si="0"/>
        <v>4.0241835472249576E-2</v>
      </c>
      <c r="E23" s="3">
        <f t="shared" si="1"/>
        <v>4.1364553254359095E-2</v>
      </c>
    </row>
    <row r="24" spans="1:5">
      <c r="A24" s="803">
        <v>1920</v>
      </c>
      <c r="B24" s="902">
        <v>43647</v>
      </c>
      <c r="C24" s="903">
        <v>3637029559.3099999</v>
      </c>
      <c r="D24" s="11">
        <f t="shared" si="0"/>
        <v>2.7349952791923204E-2</v>
      </c>
      <c r="E24" s="3">
        <f t="shared" si="1"/>
        <v>3.5443223925790988E-2</v>
      </c>
    </row>
    <row r="25" spans="1:5">
      <c r="A25" s="803">
        <v>2021</v>
      </c>
      <c r="B25" s="902">
        <v>44013</v>
      </c>
      <c r="C25" s="903">
        <v>3761755156.5700002</v>
      </c>
      <c r="D25" s="11">
        <f t="shared" si="0"/>
        <v>3.4293259162750056E-2</v>
      </c>
      <c r="E25" s="3">
        <f t="shared" si="1"/>
        <v>3.3961682475640943E-2</v>
      </c>
    </row>
    <row r="26" spans="1:5">
      <c r="A26" s="803">
        <v>2122</v>
      </c>
      <c r="B26" s="902">
        <v>44378</v>
      </c>
      <c r="C26" s="903">
        <v>4230540060.6199999</v>
      </c>
      <c r="D26" s="11">
        <f t="shared" si="0"/>
        <v>0.12461866456971693</v>
      </c>
      <c r="E26" s="3">
        <f t="shared" si="1"/>
        <v>6.2087292174796728E-2</v>
      </c>
    </row>
    <row r="27" spans="1:5">
      <c r="A27" s="803">
        <v>2223</v>
      </c>
      <c r="B27" s="902">
        <v>44743</v>
      </c>
      <c r="C27" s="903">
        <v>4559962101.5699997</v>
      </c>
      <c r="D27" s="11">
        <f t="shared" si="0"/>
        <v>7.7867609390211534E-2</v>
      </c>
      <c r="E27" s="3">
        <f t="shared" si="1"/>
        <v>7.8926511040892836E-2</v>
      </c>
    </row>
  </sheetData>
  <sheetProtection algorithmName="SHA-512" hashValue="bZ8z21Ed3uSUvZ4ttHmj8z/MGqdRCqfUxe5gcOpTGcrlajGK3d9/RQI4W0AcpH0BwjpjlZu89EG1tatmc+TIgA==" saltValue="K87/TgeGy88xll0DLsSud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L21"/>
  <sheetViews>
    <sheetView topLeftCell="C1" zoomScale="80" zoomScaleNormal="80" workbookViewId="0"/>
  </sheetViews>
  <sheetFormatPr defaultRowHeight="15" outlineLevelCol="1"/>
  <cols>
    <col min="1" max="1" width="24.5703125" hidden="1" customWidth="1" outlineLevel="1"/>
    <col min="2" max="2" width="20.28515625" hidden="1" customWidth="1" outlineLevel="1"/>
    <col min="3" max="3" width="57" bestFit="1" customWidth="1" collapsed="1"/>
    <col min="4" max="4" width="14.85546875" style="4" customWidth="1"/>
    <col min="5" max="10" width="17" style="4" customWidth="1"/>
    <col min="11" max="11" width="44.5703125" bestFit="1" customWidth="1"/>
    <col min="12" max="12" width="12" bestFit="1" customWidth="1"/>
  </cols>
  <sheetData>
    <row r="1" spans="1:12">
      <c r="B1" s="932"/>
      <c r="C1" s="932"/>
      <c r="D1" s="948" t="str">
        <f>'1.Years'!A4</f>
        <v>Base Year</v>
      </c>
      <c r="E1" s="948" t="str">
        <f>'1.Years'!B4</f>
        <v>Base+1</v>
      </c>
      <c r="F1" s="948" t="str">
        <f>'1.Years'!C4</f>
        <v>Base+2</v>
      </c>
      <c r="G1" s="948" t="str">
        <f>'1.Years'!D4</f>
        <v>Base+3</v>
      </c>
      <c r="H1" s="948" t="str">
        <f>'1.Years'!E4</f>
        <v>Base+4</v>
      </c>
      <c r="I1" s="948" t="str">
        <f>'1.Years'!F4</f>
        <v>Base+5</v>
      </c>
      <c r="J1" s="948" t="str">
        <f>'1.Years'!G4</f>
        <v>Base+6</v>
      </c>
    </row>
    <row r="2" spans="1:12" ht="15.75" thickBot="1">
      <c r="B2" s="934"/>
      <c r="C2" s="934"/>
      <c r="D2" s="949" t="str">
        <f>'1.Years'!A7</f>
        <v>2022-23</v>
      </c>
      <c r="E2" s="949" t="str">
        <f>'1.Years'!B7</f>
        <v>2023-24</v>
      </c>
      <c r="F2" s="949" t="str">
        <f>'1.Years'!C7</f>
        <v>2024-25</v>
      </c>
      <c r="G2" s="949" t="str">
        <f>'1.Years'!D7</f>
        <v>2025-26</v>
      </c>
      <c r="H2" s="949" t="str">
        <f>'1.Years'!E7</f>
        <v>2026-27</v>
      </c>
      <c r="I2" s="949" t="str">
        <f>'1.Years'!F7</f>
        <v>2027-28</v>
      </c>
      <c r="J2" s="949" t="str">
        <f>'1.Years'!G7</f>
        <v>2028-29</v>
      </c>
      <c r="K2" s="61"/>
      <c r="L2" s="937" t="s">
        <v>802</v>
      </c>
    </row>
    <row r="3" spans="1:12">
      <c r="B3" t="s">
        <v>388</v>
      </c>
      <c r="C3" t="s">
        <v>389</v>
      </c>
      <c r="D3" s="950">
        <v>18828</v>
      </c>
    </row>
    <row r="4" spans="1:12">
      <c r="B4" t="s">
        <v>396</v>
      </c>
      <c r="C4" t="s">
        <v>803</v>
      </c>
      <c r="D4" s="950">
        <f>6%*7000</f>
        <v>420</v>
      </c>
      <c r="E4" s="950">
        <f t="shared" ref="E4:J4" si="0">6%*7000</f>
        <v>420</v>
      </c>
      <c r="F4" s="950">
        <f t="shared" si="0"/>
        <v>420</v>
      </c>
      <c r="G4" s="950">
        <f t="shared" si="0"/>
        <v>420</v>
      </c>
      <c r="H4" s="950">
        <f t="shared" si="0"/>
        <v>420</v>
      </c>
      <c r="I4" s="950">
        <f t="shared" si="0"/>
        <v>420</v>
      </c>
      <c r="J4" s="950">
        <f t="shared" si="0"/>
        <v>420</v>
      </c>
      <c r="L4" s="951"/>
    </row>
    <row r="5" spans="1:12">
      <c r="B5" t="s">
        <v>386</v>
      </c>
      <c r="C5" t="s">
        <v>804</v>
      </c>
      <c r="D5" s="863">
        <v>3.4000000000000002E-2</v>
      </c>
      <c r="E5" s="863">
        <v>3.4000000000000002E-2</v>
      </c>
      <c r="F5" s="863">
        <v>3.4000000000000002E-2</v>
      </c>
      <c r="G5" s="863">
        <v>3.4000000000000002E-2</v>
      </c>
      <c r="H5" s="863">
        <v>3.4000000000000002E-2</v>
      </c>
      <c r="I5" s="863">
        <v>3.4000000000000002E-2</v>
      </c>
      <c r="J5" s="863">
        <v>3.4000000000000002E-2</v>
      </c>
    </row>
    <row r="6" spans="1:12" ht="3.95" customHeight="1">
      <c r="D6" s="863"/>
      <c r="E6" s="863"/>
      <c r="F6" s="863"/>
      <c r="G6" s="863"/>
      <c r="H6" s="863"/>
      <c r="I6" s="863"/>
      <c r="J6" s="863"/>
    </row>
    <row r="7" spans="1:12">
      <c r="B7" t="s">
        <v>805</v>
      </c>
      <c r="C7" t="s">
        <v>806</v>
      </c>
      <c r="D7" s="863">
        <v>0.26129999999999998</v>
      </c>
      <c r="E7" s="798">
        <v>0.27029999999999998</v>
      </c>
      <c r="F7" s="798">
        <v>0.27029999999999998</v>
      </c>
      <c r="G7" s="798">
        <v>0.26700000000000002</v>
      </c>
      <c r="H7" s="798">
        <v>0.26700000000000002</v>
      </c>
      <c r="I7" s="798">
        <v>0.26700000000000002</v>
      </c>
      <c r="J7" s="798">
        <v>0.26700000000000002</v>
      </c>
      <c r="K7" t="s">
        <v>807</v>
      </c>
      <c r="L7" t="s">
        <v>808</v>
      </c>
    </row>
    <row r="8" spans="1:12">
      <c r="A8" s="110" t="s">
        <v>561</v>
      </c>
      <c r="D8" s="802"/>
      <c r="E8" s="797">
        <f t="shared" ref="E8:J8" si="1">E7/D7-1</f>
        <v>3.4443168771526977E-2</v>
      </c>
      <c r="F8" s="797">
        <f t="shared" si="1"/>
        <v>0</v>
      </c>
      <c r="G8" s="797">
        <f t="shared" si="1"/>
        <v>-1.2208657047724669E-2</v>
      </c>
      <c r="H8" s="797">
        <f t="shared" si="1"/>
        <v>0</v>
      </c>
      <c r="I8" s="797">
        <f t="shared" si="1"/>
        <v>0</v>
      </c>
      <c r="J8" s="797">
        <f t="shared" si="1"/>
        <v>0</v>
      </c>
    </row>
    <row r="9" spans="1:12">
      <c r="B9" t="s">
        <v>809</v>
      </c>
      <c r="C9" t="s">
        <v>810</v>
      </c>
      <c r="D9" s="863">
        <v>7.6499999999999999E-2</v>
      </c>
      <c r="E9" s="863">
        <v>7.6499999999999999E-2</v>
      </c>
      <c r="F9" s="863">
        <v>7.6499999999999999E-2</v>
      </c>
      <c r="G9" s="863">
        <v>7.6499999999999999E-2</v>
      </c>
      <c r="H9" s="863">
        <v>7.6499999999999999E-2</v>
      </c>
      <c r="I9" s="863">
        <v>7.6499999999999999E-2</v>
      </c>
      <c r="J9" s="863">
        <v>7.6499999999999999E-2</v>
      </c>
      <c r="K9" t="s">
        <v>811</v>
      </c>
    </row>
    <row r="10" spans="1:12" ht="15.75" thickBot="1">
      <c r="B10" s="64" t="s">
        <v>44</v>
      </c>
      <c r="C10" s="64" t="s">
        <v>812</v>
      </c>
      <c r="D10" s="952">
        <v>5.4000000000000003E-3</v>
      </c>
      <c r="E10" s="952">
        <v>6.6E-3</v>
      </c>
      <c r="F10" s="952">
        <f>E10</f>
        <v>6.6E-3</v>
      </c>
      <c r="G10" s="952">
        <f>F10</f>
        <v>6.6E-3</v>
      </c>
      <c r="H10" s="952">
        <f>G10</f>
        <v>6.6E-3</v>
      </c>
      <c r="I10" s="952">
        <f>H10</f>
        <v>6.6E-3</v>
      </c>
      <c r="J10" s="952">
        <f>I10</f>
        <v>6.6E-3</v>
      </c>
      <c r="K10" t="s">
        <v>813</v>
      </c>
      <c r="L10" t="s">
        <v>814</v>
      </c>
    </row>
    <row r="11" spans="1:12" ht="15.75" thickTop="1">
      <c r="B11" t="s">
        <v>392</v>
      </c>
      <c r="C11" t="s">
        <v>393</v>
      </c>
      <c r="D11" s="863">
        <f>D7+D9+D10</f>
        <v>0.34320000000000001</v>
      </c>
      <c r="E11" s="863">
        <f t="shared" ref="E11:J11" si="2">E7+E9+E10</f>
        <v>0.35339999999999999</v>
      </c>
      <c r="F11" s="863">
        <f t="shared" si="2"/>
        <v>0.35339999999999999</v>
      </c>
      <c r="G11" s="863">
        <f t="shared" si="2"/>
        <v>0.35010000000000002</v>
      </c>
      <c r="H11" s="863">
        <f t="shared" si="2"/>
        <v>0.35010000000000002</v>
      </c>
      <c r="I11" s="863">
        <f t="shared" si="2"/>
        <v>0.35010000000000002</v>
      </c>
      <c r="J11" s="863">
        <f t="shared" si="2"/>
        <v>0.35010000000000002</v>
      </c>
    </row>
    <row r="13" spans="1:12">
      <c r="A13" s="66" t="s">
        <v>815</v>
      </c>
      <c r="C13" s="953" t="s">
        <v>816</v>
      </c>
      <c r="D13" s="950">
        <f>'District total salaries'!C27</f>
        <v>4559962101.5699997</v>
      </c>
      <c r="E13" s="950">
        <f ca="1">D13*(1+'11.Enrollment'!D3)*(1+Salary_Assumptions!G29)</f>
        <v>4677670461.6018562</v>
      </c>
      <c r="F13" s="950">
        <f ca="1">E13*(1+'11.Enrollment'!E3)*(1+Salary_Assumptions!H29)</f>
        <v>4812763247.3059139</v>
      </c>
      <c r="G13" s="950">
        <f ca="1">F13*(1+'11.Enrollment'!F3)*(1+Salary_Assumptions!I29)</f>
        <v>4997574219.9317083</v>
      </c>
      <c r="H13" s="950">
        <f ca="1">G13*(1+'11.Enrollment'!G3)*(1+Salary_Assumptions!J29)</f>
        <v>5142535127.5440359</v>
      </c>
      <c r="I13" s="950">
        <f ca="1">H13*(1+'11.Enrollment'!H3)*(1+Salary_Assumptions!K29)</f>
        <v>5295446145.823534</v>
      </c>
      <c r="J13" s="950">
        <f ca="1">I13*(1+'11.Enrollment'!I3)*(1+Salary_Assumptions!L29)</f>
        <v>5452750059.2385674</v>
      </c>
    </row>
    <row r="14" spans="1:12">
      <c r="A14" t="s">
        <v>817</v>
      </c>
      <c r="C14" t="s">
        <v>818</v>
      </c>
      <c r="D14" s="863">
        <v>0.1118</v>
      </c>
      <c r="E14" s="798">
        <v>0.1187</v>
      </c>
      <c r="F14" s="798">
        <v>0.1187</v>
      </c>
      <c r="G14" s="798">
        <v>7.2300000000000003E-2</v>
      </c>
      <c r="H14" s="798">
        <v>7.2300000000000003E-2</v>
      </c>
      <c r="I14" s="798">
        <v>7.2300000000000003E-2</v>
      </c>
      <c r="J14" s="798">
        <v>7.2300000000000003E-2</v>
      </c>
    </row>
    <row r="15" spans="1:12">
      <c r="A15" t="s">
        <v>819</v>
      </c>
      <c r="C15" t="s">
        <v>160</v>
      </c>
      <c r="D15" s="950">
        <f t="shared" ref="D15:J15" si="3">D13*D14-D17</f>
        <v>106669528.95552593</v>
      </c>
      <c r="E15" s="950">
        <f t="shared" ca="1" si="3"/>
        <v>132231281.20214039</v>
      </c>
      <c r="F15" s="950">
        <f t="shared" ca="1" si="3"/>
        <v>131394228.69521201</v>
      </c>
      <c r="G15" s="950">
        <f t="shared" ca="1" si="3"/>
        <v>-97292248.81893748</v>
      </c>
      <c r="H15" s="950">
        <f t="shared" ca="1" si="3"/>
        <v>-93626355.448566198</v>
      </c>
      <c r="I15" s="950">
        <f t="shared" ca="1" si="3"/>
        <v>106034037.74304152</v>
      </c>
      <c r="J15" s="950">
        <f t="shared" ca="1" si="3"/>
        <v>293218900.46294844</v>
      </c>
    </row>
    <row r="16" spans="1:12">
      <c r="A16" t="s">
        <v>820</v>
      </c>
      <c r="C16" t="s">
        <v>821</v>
      </c>
      <c r="D16" s="863">
        <f t="shared" ref="D16:J16" si="4">+D7-D14</f>
        <v>0.14949999999999997</v>
      </c>
      <c r="E16" s="863">
        <f t="shared" si="4"/>
        <v>0.15159999999999998</v>
      </c>
      <c r="F16" s="863">
        <f t="shared" si="4"/>
        <v>0.15159999999999998</v>
      </c>
      <c r="G16" s="863">
        <f t="shared" si="4"/>
        <v>0.19470000000000001</v>
      </c>
      <c r="H16" s="863">
        <f t="shared" si="4"/>
        <v>0.19470000000000001</v>
      </c>
      <c r="I16" s="863">
        <f t="shared" si="4"/>
        <v>0.19470000000000001</v>
      </c>
      <c r="J16" s="863">
        <f t="shared" si="4"/>
        <v>0.19470000000000001</v>
      </c>
    </row>
    <row r="17" spans="3:12">
      <c r="C17" t="s">
        <v>822</v>
      </c>
      <c r="D17" s="4">
        <v>403134234</v>
      </c>
      <c r="E17" s="4">
        <v>423008202.58999997</v>
      </c>
      <c r="F17" s="4">
        <v>439880768.75999999</v>
      </c>
      <c r="G17" s="4">
        <v>458616864.92000002</v>
      </c>
      <c r="H17" s="4">
        <v>465431645.17000002</v>
      </c>
      <c r="I17" s="4">
        <v>276826718.60000002</v>
      </c>
      <c r="J17" s="4">
        <v>101014928.81999999</v>
      </c>
      <c r="K17" t="s">
        <v>823</v>
      </c>
      <c r="L17" t="s">
        <v>824</v>
      </c>
    </row>
    <row r="18" spans="3:12">
      <c r="D18" s="3"/>
      <c r="E18" s="3"/>
      <c r="F18" s="3"/>
      <c r="G18" s="3"/>
      <c r="H18" s="3"/>
      <c r="I18" s="3"/>
      <c r="J18" s="3"/>
    </row>
    <row r="20" spans="3:12">
      <c r="G20" s="863"/>
      <c r="H20" s="863"/>
    </row>
    <row r="21" spans="3:12">
      <c r="F21" s="863"/>
      <c r="G21" s="863"/>
      <c r="H21" s="863"/>
      <c r="I21" s="863"/>
      <c r="J21" s="863"/>
    </row>
  </sheetData>
  <sheetProtection algorithmName="SHA-512" hashValue="wgy6Bok+g8BrwhP7MDCNTCJJ3TD/5PhVPF6l5YUQ8EJDXT2f/Ho+QmcfNvKICxzV5FudpOGsMms1buzNE6NuKA==" saltValue="jv8aiDgzVHTryYfurrhnpQ==" spinCount="100000" sheet="1" objects="1" scenarios="1" formatColumns="0" formatRows="0"/>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4D795-BD7E-4930-BF1B-49E1DBD5639F}">
  <sheetPr>
    <tabColor theme="8" tint="0.39997558519241921"/>
  </sheetPr>
  <dimension ref="A1:G28"/>
  <sheetViews>
    <sheetView zoomScaleNormal="100" workbookViewId="0"/>
  </sheetViews>
  <sheetFormatPr defaultRowHeight="15"/>
  <cols>
    <col min="1" max="1" width="10.7109375" bestFit="1" customWidth="1"/>
    <col min="2" max="2" width="35" bestFit="1" customWidth="1"/>
    <col min="3" max="3" width="15.28515625" bestFit="1" customWidth="1"/>
    <col min="4" max="4" width="9.42578125" bestFit="1" customWidth="1"/>
    <col min="5" max="5" width="16.85546875" bestFit="1" customWidth="1"/>
    <col min="6" max="6" width="17.85546875" bestFit="1" customWidth="1"/>
  </cols>
  <sheetData>
    <row r="1" spans="1:7">
      <c r="A1" s="1186" t="s">
        <v>786</v>
      </c>
      <c r="B1" s="1186" t="s">
        <v>825</v>
      </c>
      <c r="C1" s="1186" t="s">
        <v>44</v>
      </c>
      <c r="D1" s="1187" t="s">
        <v>826</v>
      </c>
      <c r="E1" s="1188" t="s">
        <v>827</v>
      </c>
      <c r="F1" s="1188" t="s">
        <v>828</v>
      </c>
      <c r="G1" s="11"/>
    </row>
    <row r="2" spans="1:7">
      <c r="A2" s="1189">
        <v>35612</v>
      </c>
      <c r="B2" s="1190">
        <v>407095818.52999997</v>
      </c>
      <c r="C2" s="1190">
        <v>4610478.09</v>
      </c>
      <c r="F2" s="3"/>
    </row>
    <row r="3" spans="1:7">
      <c r="A3" s="1189">
        <v>35977</v>
      </c>
      <c r="B3" s="1190">
        <v>426663539.10000002</v>
      </c>
      <c r="C3" s="1190">
        <v>5933404.8899999997</v>
      </c>
      <c r="F3" s="3"/>
    </row>
    <row r="4" spans="1:7">
      <c r="A4" s="1189">
        <v>36342</v>
      </c>
      <c r="B4" s="1190">
        <v>1424340956.25</v>
      </c>
      <c r="C4" s="1190">
        <v>32195973.640000001</v>
      </c>
      <c r="D4" s="11">
        <f>C4/B4</f>
        <v>2.2604119820274951E-2</v>
      </c>
      <c r="E4" s="3">
        <f>AVERAGE($D$4:D4)</f>
        <v>2.2604119820274951E-2</v>
      </c>
      <c r="F4" s="3"/>
    </row>
    <row r="5" spans="1:7">
      <c r="A5" s="1189">
        <v>36708</v>
      </c>
      <c r="B5" s="1190">
        <v>1491022881.8699999</v>
      </c>
      <c r="C5" s="1190">
        <v>34672291.880000003</v>
      </c>
      <c r="D5" s="11">
        <f t="shared" ref="D5:D25" si="0">C5/B5</f>
        <v>2.3254030707104217E-2</v>
      </c>
      <c r="E5" s="3">
        <f>AVERAGE($D$4:D5)</f>
        <v>2.2929075263689584E-2</v>
      </c>
      <c r="F5" s="3"/>
    </row>
    <row r="6" spans="1:7">
      <c r="A6" s="1189">
        <v>37073</v>
      </c>
      <c r="B6" s="1190">
        <v>1539208017.28</v>
      </c>
      <c r="C6" s="1190">
        <v>34084608.119999997</v>
      </c>
      <c r="D6" s="11">
        <f t="shared" si="0"/>
        <v>2.2144250638865798E-2</v>
      </c>
      <c r="E6" s="3">
        <f>AVERAGE($D$4:D6)</f>
        <v>2.2667467055414989E-2</v>
      </c>
      <c r="F6" s="3">
        <f t="shared" ref="F6:F25" si="1">AVERAGE(D4:D6)</f>
        <v>2.2667467055414989E-2</v>
      </c>
    </row>
    <row r="7" spans="1:7">
      <c r="A7" s="1189">
        <v>37438</v>
      </c>
      <c r="B7" s="1190">
        <v>1498810750.1900001</v>
      </c>
      <c r="C7" s="1190">
        <v>39721958.049999997</v>
      </c>
      <c r="D7" s="11">
        <f t="shared" si="0"/>
        <v>2.6502317283862927E-2</v>
      </c>
      <c r="E7" s="3">
        <f>AVERAGE($D$4:D7)</f>
        <v>2.3626179612526974E-2</v>
      </c>
      <c r="F7" s="3">
        <f t="shared" si="1"/>
        <v>2.3966866209944315E-2</v>
      </c>
      <c r="G7" s="3">
        <f>D7-F7</f>
        <v>2.5354510739186119E-3</v>
      </c>
    </row>
    <row r="8" spans="1:7">
      <c r="A8" s="1189">
        <v>37803</v>
      </c>
      <c r="B8" s="1190">
        <v>1517876426.6300001</v>
      </c>
      <c r="C8" s="1190">
        <v>46350333.520000003</v>
      </c>
      <c r="D8" s="11">
        <f t="shared" si="0"/>
        <v>3.0536302367451175E-2</v>
      </c>
      <c r="E8" s="3">
        <f>AVERAGE($D$4:D8)</f>
        <v>2.5008204163511814E-2</v>
      </c>
      <c r="F8" s="3">
        <f t="shared" si="1"/>
        <v>2.6394290096726631E-2</v>
      </c>
      <c r="G8" s="3">
        <f t="shared" ref="G8:G25" si="2">D8-F8</f>
        <v>4.1420122707245439E-3</v>
      </c>
    </row>
    <row r="9" spans="1:7">
      <c r="A9" s="1189">
        <v>38169</v>
      </c>
      <c r="B9" s="1190">
        <v>1584784064.79</v>
      </c>
      <c r="C9" s="1190">
        <v>49952023.479999997</v>
      </c>
      <c r="D9" s="11">
        <f t="shared" si="0"/>
        <v>3.151976637689069E-2</v>
      </c>
      <c r="E9" s="3">
        <f>AVERAGE($D$4:D9)</f>
        <v>2.6093464532408295E-2</v>
      </c>
      <c r="F9" s="3">
        <f t="shared" si="1"/>
        <v>2.9519462009401597E-2</v>
      </c>
      <c r="G9" s="3">
        <f t="shared" si="2"/>
        <v>2.0003043674890926E-3</v>
      </c>
    </row>
    <row r="10" spans="1:7">
      <c r="A10" s="1189">
        <v>38534</v>
      </c>
      <c r="B10" s="1190">
        <v>1647621007.03</v>
      </c>
      <c r="C10" s="1190">
        <v>46426327.840000004</v>
      </c>
      <c r="D10" s="11">
        <f t="shared" si="0"/>
        <v>2.8177795525736866E-2</v>
      </c>
      <c r="E10" s="3">
        <f>AVERAGE($D$4:D10)</f>
        <v>2.6391226102883806E-2</v>
      </c>
      <c r="F10" s="3">
        <f t="shared" si="1"/>
        <v>3.007795475669291E-2</v>
      </c>
      <c r="G10" s="3">
        <f t="shared" si="2"/>
        <v>-1.9001592309560444E-3</v>
      </c>
    </row>
    <row r="11" spans="1:7">
      <c r="A11" s="1189">
        <v>38899</v>
      </c>
      <c r="B11" s="1190">
        <v>1728316743.3800001</v>
      </c>
      <c r="C11" s="1190">
        <v>45907386.829999998</v>
      </c>
      <c r="D11" s="11">
        <f t="shared" si="0"/>
        <v>2.656190597345065E-2</v>
      </c>
      <c r="E11" s="3">
        <f>AVERAGE($D$4:D11)</f>
        <v>2.6412561086704662E-2</v>
      </c>
      <c r="F11" s="3">
        <f t="shared" si="1"/>
        <v>2.8753155958692735E-2</v>
      </c>
      <c r="G11" s="3">
        <f t="shared" si="2"/>
        <v>-2.1912499852420851E-3</v>
      </c>
    </row>
    <row r="12" spans="1:7">
      <c r="A12" s="1189">
        <v>39264</v>
      </c>
      <c r="B12" s="1190">
        <v>1807062351.73</v>
      </c>
      <c r="C12" s="1190">
        <v>43968940.280000001</v>
      </c>
      <c r="D12" s="11">
        <f t="shared" si="0"/>
        <v>2.4331722830651704E-2</v>
      </c>
      <c r="E12" s="3">
        <f>AVERAGE($D$4:D12)</f>
        <v>2.6181356836032111E-2</v>
      </c>
      <c r="F12" s="3">
        <f t="shared" si="1"/>
        <v>2.6357141443279736E-2</v>
      </c>
      <c r="G12" s="3">
        <f t="shared" si="2"/>
        <v>-2.0254186126280327E-3</v>
      </c>
    </row>
    <row r="13" spans="1:7">
      <c r="A13" s="1189">
        <v>39630</v>
      </c>
      <c r="B13" s="1190">
        <v>1872018384.77</v>
      </c>
      <c r="C13" s="1190">
        <v>44186880.560000002</v>
      </c>
      <c r="D13" s="11">
        <f t="shared" si="0"/>
        <v>2.3603871051420734E-2</v>
      </c>
      <c r="E13" s="3">
        <f>AVERAGE($D$4:D13)</f>
        <v>2.5923608257570972E-2</v>
      </c>
      <c r="F13" s="3">
        <f t="shared" si="1"/>
        <v>2.4832499951841031E-2</v>
      </c>
      <c r="G13" s="3">
        <f t="shared" si="2"/>
        <v>-1.2286289004202963E-3</v>
      </c>
    </row>
    <row r="14" spans="1:7">
      <c r="A14" s="1189">
        <v>39995</v>
      </c>
      <c r="B14" s="1190">
        <v>1853516725.05</v>
      </c>
      <c r="C14" s="1190">
        <v>42331760.509999998</v>
      </c>
      <c r="D14" s="11">
        <f t="shared" si="0"/>
        <v>2.283861803775095E-2</v>
      </c>
      <c r="E14" s="3">
        <f>AVERAGE($D$4:D14)</f>
        <v>2.5643154601223697E-2</v>
      </c>
      <c r="F14" s="3">
        <f t="shared" si="1"/>
        <v>2.3591403973274461E-2</v>
      </c>
      <c r="G14" s="3">
        <f t="shared" si="2"/>
        <v>-7.527859355235117E-4</v>
      </c>
    </row>
    <row r="15" spans="1:7">
      <c r="A15" s="1189">
        <v>40360</v>
      </c>
      <c r="B15" s="1190">
        <v>1844186287.9300001</v>
      </c>
      <c r="C15" s="1190">
        <v>43601628.68</v>
      </c>
      <c r="D15" s="11">
        <f t="shared" si="0"/>
        <v>2.364274637837183E-2</v>
      </c>
      <c r="E15" s="3">
        <f>AVERAGE($D$4:D15)</f>
        <v>2.5476453915986044E-2</v>
      </c>
      <c r="F15" s="3">
        <f t="shared" si="1"/>
        <v>2.3361745155847838E-2</v>
      </c>
      <c r="G15" s="3">
        <f t="shared" si="2"/>
        <v>2.8100122252399176E-4</v>
      </c>
    </row>
    <row r="16" spans="1:7">
      <c r="A16" s="1189">
        <v>40725</v>
      </c>
      <c r="B16" s="1190">
        <v>1759248740.28</v>
      </c>
      <c r="C16" s="1190">
        <v>44905629.969999999</v>
      </c>
      <c r="D16" s="11">
        <f t="shared" si="0"/>
        <v>2.5525458078686968E-2</v>
      </c>
      <c r="E16" s="3">
        <f>AVERAGE($D$4:D16)</f>
        <v>2.5480223466963034E-2</v>
      </c>
      <c r="F16" s="3">
        <f t="shared" si="1"/>
        <v>2.4002274164936582E-2</v>
      </c>
      <c r="G16" s="3">
        <f t="shared" si="2"/>
        <v>1.5231839137503853E-3</v>
      </c>
    </row>
    <row r="17" spans="1:7">
      <c r="A17" s="1189">
        <v>41091</v>
      </c>
      <c r="B17" s="1190">
        <v>1756437180.53</v>
      </c>
      <c r="C17" s="1190">
        <v>40676223.299999997</v>
      </c>
      <c r="D17" s="11">
        <f t="shared" si="0"/>
        <v>2.3158370678378639E-2</v>
      </c>
      <c r="E17" s="3">
        <f>AVERAGE($D$4:D17)</f>
        <v>2.5314376839207006E-2</v>
      </c>
      <c r="F17" s="3">
        <f t="shared" si="1"/>
        <v>2.4108858378479148E-2</v>
      </c>
      <c r="G17" s="3">
        <f t="shared" si="2"/>
        <v>-9.5048770010050868E-4</v>
      </c>
    </row>
    <row r="18" spans="1:7">
      <c r="A18" s="1189">
        <v>41456</v>
      </c>
      <c r="B18" s="1190">
        <v>1827343937.73</v>
      </c>
      <c r="C18" s="1190">
        <v>40480507.280000001</v>
      </c>
      <c r="D18" s="11">
        <f t="shared" si="0"/>
        <v>2.2152648138196968E-2</v>
      </c>
      <c r="E18" s="3">
        <f>AVERAGE($D$4:D18)</f>
        <v>2.5103594925806334E-2</v>
      </c>
      <c r="F18" s="3">
        <f t="shared" si="1"/>
        <v>2.3612158965087521E-2</v>
      </c>
      <c r="G18" s="3">
        <f t="shared" si="2"/>
        <v>-1.4595108268905532E-3</v>
      </c>
    </row>
    <row r="19" spans="1:7">
      <c r="A19" s="1189">
        <v>41821</v>
      </c>
      <c r="B19" s="1190">
        <v>1938190747.53</v>
      </c>
      <c r="C19" s="1190">
        <v>34444581.829999998</v>
      </c>
      <c r="D19" s="11">
        <f t="shared" si="0"/>
        <v>1.7771512878129066E-2</v>
      </c>
      <c r="E19" s="3">
        <f>AVERAGE($D$4:D19)</f>
        <v>2.4645339797826505E-2</v>
      </c>
      <c r="F19" s="3">
        <f t="shared" si="1"/>
        <v>2.1027510564901559E-2</v>
      </c>
      <c r="G19" s="3">
        <f t="shared" si="2"/>
        <v>-3.2559976867724931E-3</v>
      </c>
    </row>
    <row r="20" spans="1:7">
      <c r="A20" s="1189">
        <v>42186</v>
      </c>
      <c r="B20" s="1190">
        <v>2070537083.8</v>
      </c>
      <c r="C20" s="1190">
        <v>30650216.760000002</v>
      </c>
      <c r="D20" s="11">
        <f t="shared" si="0"/>
        <v>1.4803027195122002E-2</v>
      </c>
      <c r="E20" s="3">
        <f>AVERAGE($D$4:D20)</f>
        <v>2.4066380232961534E-2</v>
      </c>
      <c r="F20" s="3">
        <f t="shared" si="1"/>
        <v>1.824239607048268E-2</v>
      </c>
      <c r="G20" s="3">
        <f t="shared" si="2"/>
        <v>-3.439368875360678E-3</v>
      </c>
    </row>
    <row r="21" spans="1:7">
      <c r="A21" s="1189">
        <v>42552</v>
      </c>
      <c r="B21" s="1190">
        <v>2158320023.5</v>
      </c>
      <c r="C21" s="1190">
        <v>27034690.170000002</v>
      </c>
      <c r="D21" s="11">
        <f t="shared" si="0"/>
        <v>1.2525802418382652E-2</v>
      </c>
      <c r="E21" s="3">
        <f>AVERAGE($D$4:D21)</f>
        <v>2.3425237021040483E-2</v>
      </c>
      <c r="F21" s="3">
        <f t="shared" si="1"/>
        <v>1.5033447497211241E-2</v>
      </c>
      <c r="G21" s="3">
        <f t="shared" si="2"/>
        <v>-2.5076450788285888E-3</v>
      </c>
    </row>
    <row r="22" spans="1:7">
      <c r="A22" s="1189">
        <v>42917</v>
      </c>
      <c r="B22" s="1190">
        <v>2240182611.9200001</v>
      </c>
      <c r="C22" s="1190">
        <v>24119862.18</v>
      </c>
      <c r="D22" s="11">
        <f t="shared" si="0"/>
        <v>1.0766917862703843E-2</v>
      </c>
      <c r="E22" s="3">
        <f>AVERAGE($D$4:D22)</f>
        <v>2.2759009696917503E-2</v>
      </c>
      <c r="F22" s="3">
        <f t="shared" si="1"/>
        <v>1.2698582492069501E-2</v>
      </c>
      <c r="G22" s="3">
        <f t="shared" si="2"/>
        <v>-1.9316646293656582E-3</v>
      </c>
    </row>
    <row r="23" spans="1:7">
      <c r="A23" s="1189">
        <v>43282</v>
      </c>
      <c r="B23" s="1190">
        <v>2317262477.2600002</v>
      </c>
      <c r="C23" s="1190">
        <v>22313071.539999999</v>
      </c>
      <c r="D23" s="11">
        <f t="shared" si="0"/>
        <v>9.6290652263025626E-3</v>
      </c>
      <c r="E23" s="3">
        <f>AVERAGE($D$4:D23)</f>
        <v>2.2102512473386758E-2</v>
      </c>
      <c r="F23" s="3">
        <f t="shared" si="1"/>
        <v>1.0973928502463018E-2</v>
      </c>
      <c r="G23" s="3">
        <f t="shared" si="2"/>
        <v>-1.3448632761604556E-3</v>
      </c>
    </row>
    <row r="24" spans="1:7">
      <c r="A24" s="1189">
        <v>43647</v>
      </c>
      <c r="B24" s="1190">
        <v>2363542328.5500002</v>
      </c>
      <c r="C24" s="1190">
        <v>18763454.850000001</v>
      </c>
      <c r="D24" s="11">
        <f t="shared" si="0"/>
        <v>7.9387005780899699E-3</v>
      </c>
      <c r="E24" s="3">
        <f>AVERAGE($D$4:D24)</f>
        <v>2.1428045240277388E-2</v>
      </c>
      <c r="F24" s="3">
        <f t="shared" si="1"/>
        <v>9.4448945556987931E-3</v>
      </c>
      <c r="G24" s="3">
        <f t="shared" si="2"/>
        <v>-1.5061939776088232E-3</v>
      </c>
    </row>
    <row r="25" spans="1:7">
      <c r="A25" s="1189">
        <v>44013</v>
      </c>
      <c r="B25" s="1190">
        <v>2434391192.6999998</v>
      </c>
      <c r="C25" s="1190">
        <v>18427316.23</v>
      </c>
      <c r="D25" s="11">
        <f t="shared" si="0"/>
        <v>7.5695789096090751E-3</v>
      </c>
      <c r="E25" s="3">
        <f>AVERAGE($D$4:D25)</f>
        <v>2.0798114952519736E-2</v>
      </c>
      <c r="F25" s="3">
        <f t="shared" si="1"/>
        <v>8.3791149046672023E-3</v>
      </c>
      <c r="G25" s="3">
        <f t="shared" si="2"/>
        <v>-8.0953599505812716E-4</v>
      </c>
    </row>
    <row r="26" spans="1:7">
      <c r="A26" s="1189">
        <v>44378</v>
      </c>
      <c r="B26" s="1190">
        <v>2697830467.7199998</v>
      </c>
      <c r="C26" s="1190">
        <v>18680114.789999999</v>
      </c>
      <c r="D26" s="11">
        <f>C26/B26</f>
        <v>6.9241247785992296E-3</v>
      </c>
      <c r="E26" s="3">
        <f>AVERAGE($D$4:D26)</f>
        <v>2.0194897988436235E-2</v>
      </c>
      <c r="F26" s="3">
        <f>AVERAGE(D24:D26)</f>
        <v>7.4774680887660918E-3</v>
      </c>
      <c r="G26" s="3">
        <f>D26-F26</f>
        <v>-5.5334331016686222E-4</v>
      </c>
    </row>
    <row r="27" spans="1:7">
      <c r="A27" s="1189">
        <v>44743</v>
      </c>
      <c r="B27" s="1190">
        <v>3079245958.25</v>
      </c>
      <c r="C27" s="1190">
        <v>16671585.82</v>
      </c>
      <c r="D27" s="11">
        <f>C27/B27</f>
        <v>5.414178031258929E-3</v>
      </c>
      <c r="E27" s="3">
        <f>AVERAGE($D$4:D27)</f>
        <v>1.9579034656887182E-2</v>
      </c>
      <c r="F27" s="3">
        <f>AVERAGE(D25:D27)</f>
        <v>6.6359605731557449E-3</v>
      </c>
      <c r="G27" s="3">
        <f>D27-F27</f>
        <v>-1.2217825418968159E-3</v>
      </c>
    </row>
    <row r="28" spans="1:7">
      <c r="C28" s="906"/>
    </row>
  </sheetData>
  <sheetProtection algorithmName="SHA-512" hashValue="OihrwyC5Ls+5V12+z3ijVtPS0Iq9IvorM94gcBce0B+24yJU7jhEQrwTWL0RtkyVFPIumPP/5ZZ8xwCbdQa8/Q==" saltValue="0vpBOBeMprtoSMrtO3CdE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F34"/>
  <sheetViews>
    <sheetView topLeftCell="B1" zoomScale="80" zoomScaleNormal="80" workbookViewId="0"/>
  </sheetViews>
  <sheetFormatPr defaultRowHeight="15" outlineLevelCol="1"/>
  <cols>
    <col min="1" max="1" width="45.42578125" hidden="1" customWidth="1" outlineLevel="1"/>
    <col min="2" max="2" width="50.85546875" customWidth="1" collapsed="1"/>
    <col min="3" max="3" width="16.5703125" bestFit="1" customWidth="1"/>
    <col min="4" max="4" width="17.42578125" customWidth="1"/>
    <col min="5" max="5" width="12.7109375" customWidth="1"/>
    <col min="6" max="6" width="50" customWidth="1"/>
  </cols>
  <sheetData>
    <row r="1" spans="1:6" ht="18">
      <c r="A1" s="920"/>
      <c r="B1" s="784" t="s">
        <v>829</v>
      </c>
    </row>
    <row r="2" spans="1:6" ht="18">
      <c r="A2" s="920"/>
      <c r="B2" s="784" t="str">
        <f>+'1.Years'!A7</f>
        <v>2022-23</v>
      </c>
    </row>
    <row r="3" spans="1:6" ht="30" customHeight="1">
      <c r="A3" s="1191" t="s">
        <v>196</v>
      </c>
      <c r="B3" s="1192" t="s">
        <v>830</v>
      </c>
      <c r="C3" s="1192" t="s">
        <v>831</v>
      </c>
      <c r="D3" s="1192" t="s">
        <v>832</v>
      </c>
      <c r="E3" s="1192" t="s">
        <v>833</v>
      </c>
      <c r="F3" s="1193" t="s">
        <v>802</v>
      </c>
    </row>
    <row r="4" spans="1:6">
      <c r="A4" s="923" t="s">
        <v>585</v>
      </c>
      <c r="B4" s="1" t="s">
        <v>834</v>
      </c>
      <c r="C4" s="913">
        <v>287.3810454865399</v>
      </c>
      <c r="D4" s="913">
        <v>287.3810454865399</v>
      </c>
      <c r="E4" s="913">
        <v>287.3810454865399</v>
      </c>
      <c r="F4" s="786" t="s">
        <v>835</v>
      </c>
    </row>
    <row r="5" spans="1:6">
      <c r="A5" s="923" t="s">
        <v>581</v>
      </c>
      <c r="B5" s="1" t="s">
        <v>836</v>
      </c>
      <c r="C5" s="913">
        <v>207.74289346702776</v>
      </c>
      <c r="D5" s="913">
        <v>207.74289346702776</v>
      </c>
      <c r="E5" s="913">
        <v>207.74289346702776</v>
      </c>
    </row>
    <row r="6" spans="1:6">
      <c r="A6" s="923" t="s">
        <v>575</v>
      </c>
      <c r="B6" s="1" t="s">
        <v>837</v>
      </c>
      <c r="C6" s="913">
        <v>203.22823843102447</v>
      </c>
      <c r="D6" s="913">
        <v>203.22823843102447</v>
      </c>
      <c r="E6" s="913">
        <v>203.22823843102447</v>
      </c>
      <c r="F6" s="913"/>
    </row>
    <row r="7" spans="1:6">
      <c r="A7" s="920"/>
      <c r="B7" s="1" t="s">
        <v>838</v>
      </c>
      <c r="C7" s="913">
        <v>153.1969959633677</v>
      </c>
      <c r="D7" s="913">
        <v>174.99504339650238</v>
      </c>
      <c r="E7" s="913">
        <v>238.58310555469677</v>
      </c>
    </row>
    <row r="8" spans="1:6">
      <c r="A8" s="920"/>
      <c r="B8" s="1" t="s">
        <v>839</v>
      </c>
      <c r="C8" s="913">
        <v>309.96321141361238</v>
      </c>
      <c r="D8" s="913">
        <v>300.86273298139844</v>
      </c>
      <c r="E8" s="913">
        <v>302.44679430646011</v>
      </c>
    </row>
    <row r="9" spans="1:6">
      <c r="A9" s="923" t="s">
        <v>840</v>
      </c>
      <c r="B9" s="1" t="s">
        <v>526</v>
      </c>
      <c r="C9" s="913">
        <v>76.376593107875493</v>
      </c>
      <c r="D9" s="913">
        <v>153.41540202446294</v>
      </c>
      <c r="E9" s="913">
        <v>477.1505801324351</v>
      </c>
    </row>
    <row r="10" spans="1:6">
      <c r="A10" s="923" t="s">
        <v>557</v>
      </c>
      <c r="B10" s="1" t="s">
        <v>841</v>
      </c>
      <c r="C10" s="913">
        <v>551.01901136327615</v>
      </c>
      <c r="D10" s="913">
        <v>530.09384857311557</v>
      </c>
      <c r="E10" s="913">
        <v>467.16802690027714</v>
      </c>
    </row>
    <row r="11" spans="1:6">
      <c r="A11" s="920"/>
      <c r="B11" s="1" t="s">
        <v>842</v>
      </c>
      <c r="C11" s="913">
        <v>17.980601278352729</v>
      </c>
      <c r="D11" s="913">
        <v>17.632613601257205</v>
      </c>
      <c r="E11" s="913">
        <v>15.673116600967628</v>
      </c>
    </row>
    <row r="12" spans="1:6">
      <c r="A12" s="923" t="s">
        <v>500</v>
      </c>
      <c r="B12" s="1" t="s">
        <v>843</v>
      </c>
      <c r="C12" s="913">
        <v>29.833631236441072</v>
      </c>
      <c r="D12" s="913">
        <v>39.095132116839721</v>
      </c>
      <c r="E12" s="913">
        <v>40.865246183731202</v>
      </c>
    </row>
    <row r="13" spans="1:6">
      <c r="A13" s="920" t="s">
        <v>570</v>
      </c>
      <c r="B13" s="1" t="s">
        <v>844</v>
      </c>
      <c r="C13" s="913">
        <v>1339.1792381954251</v>
      </c>
      <c r="D13" s="913">
        <v>1480.6960264033751</v>
      </c>
      <c r="E13" s="913">
        <v>1422.3292445881368</v>
      </c>
    </row>
    <row r="14" spans="1:6">
      <c r="A14" s="923" t="s">
        <v>845</v>
      </c>
      <c r="B14" s="1" t="s">
        <v>846</v>
      </c>
      <c r="C14" s="913">
        <v>319.92894070240993</v>
      </c>
      <c r="D14" s="913">
        <v>319.96158753698353</v>
      </c>
      <c r="E14" s="913">
        <v>291.50337966386189</v>
      </c>
    </row>
    <row r="15" spans="1:6">
      <c r="A15" s="923" t="s">
        <v>588</v>
      </c>
      <c r="B15" s="1" t="s">
        <v>589</v>
      </c>
      <c r="C15" s="913">
        <v>128.41620751494605</v>
      </c>
      <c r="D15" s="913">
        <v>128.41620751494605</v>
      </c>
      <c r="E15" s="913">
        <v>128.41620751494605</v>
      </c>
    </row>
    <row r="16" spans="1:6">
      <c r="A16" s="923" t="s">
        <v>591</v>
      </c>
      <c r="B16" s="1" t="s">
        <v>592</v>
      </c>
      <c r="C16" s="913">
        <v>46.007457289868704</v>
      </c>
      <c r="D16" s="913">
        <v>46.007457289868704</v>
      </c>
      <c r="E16" s="913">
        <v>46.007457289868704</v>
      </c>
    </row>
    <row r="17" spans="1:6">
      <c r="A17" s="920" t="s">
        <v>847</v>
      </c>
      <c r="B17" s="1" t="s">
        <v>848</v>
      </c>
      <c r="C17" s="913">
        <v>380.31470750326275</v>
      </c>
      <c r="D17" s="913">
        <v>382.47837945626725</v>
      </c>
      <c r="E17" s="913">
        <v>385.24584325146571</v>
      </c>
    </row>
    <row r="18" spans="1:6">
      <c r="A18" s="920"/>
      <c r="B18" s="1" t="s">
        <v>849</v>
      </c>
      <c r="C18" s="913">
        <v>128.92402721978533</v>
      </c>
      <c r="D18" s="913">
        <v>121.87507135944455</v>
      </c>
      <c r="E18" s="913">
        <v>108.19952369588162</v>
      </c>
    </row>
    <row r="19" spans="1:6">
      <c r="A19" s="923" t="s">
        <v>562</v>
      </c>
      <c r="B19" s="1" t="s">
        <v>850</v>
      </c>
      <c r="C19" s="913">
        <v>818.65013475749652</v>
      </c>
      <c r="D19" s="913">
        <v>821.87326036767683</v>
      </c>
      <c r="E19" s="913">
        <v>848.07101547910929</v>
      </c>
    </row>
    <row r="20" spans="1:6">
      <c r="A20" s="920" t="s">
        <v>416</v>
      </c>
      <c r="B20" s="1" t="s">
        <v>851</v>
      </c>
      <c r="C20" s="913">
        <v>113.72281234311674</v>
      </c>
      <c r="D20" s="913">
        <v>121.45774028406743</v>
      </c>
      <c r="E20" s="913">
        <v>102.12140845082305</v>
      </c>
    </row>
    <row r="21" spans="1:6">
      <c r="A21" s="920" t="s">
        <v>419</v>
      </c>
      <c r="B21" s="1" t="s">
        <v>852</v>
      </c>
      <c r="C21" s="913">
        <v>17.138474177323033</v>
      </c>
      <c r="D21" s="913">
        <v>17.428414470759229</v>
      </c>
      <c r="E21" s="913">
        <v>14.560893068284205</v>
      </c>
    </row>
    <row r="23" spans="1:6">
      <c r="B23" s="86" t="s">
        <v>853</v>
      </c>
      <c r="C23" s="1156" t="s">
        <v>176</v>
      </c>
      <c r="D23" s="1156" t="s">
        <v>854</v>
      </c>
      <c r="E23" s="913"/>
      <c r="F23" s="786" t="s">
        <v>855</v>
      </c>
    </row>
    <row r="24" spans="1:6">
      <c r="B24" s="1157" t="s">
        <v>856</v>
      </c>
      <c r="C24" s="1158">
        <v>310267143.18000001</v>
      </c>
      <c r="D24" s="1158">
        <f>C24/'11.Enrollment'!$C$4</f>
        <v>561.69148625945911</v>
      </c>
      <c r="E24" s="913"/>
      <c r="F24" s="913"/>
    </row>
    <row r="25" spans="1:6">
      <c r="B25" s="1157" t="s">
        <v>607</v>
      </c>
      <c r="C25" s="1158">
        <v>148916573.38999999</v>
      </c>
      <c r="D25" s="1158">
        <f>C25/'11.Enrollment'!$C$4</f>
        <v>269.59081319019515</v>
      </c>
      <c r="E25" s="913"/>
      <c r="F25" s="913"/>
    </row>
    <row r="26" spans="1:6">
      <c r="B26" s="1157" t="s">
        <v>848</v>
      </c>
      <c r="C26" s="1158">
        <v>50993369.530000001</v>
      </c>
      <c r="D26" s="1158">
        <f>C26/'11.Enrollment'!$C$4</f>
        <v>92.31574193489989</v>
      </c>
      <c r="E26" s="913"/>
      <c r="F26" s="913"/>
    </row>
    <row r="27" spans="1:6">
      <c r="B27" s="1157" t="s">
        <v>611</v>
      </c>
      <c r="C27" s="1158">
        <v>39330050.810000002</v>
      </c>
      <c r="D27" s="1158">
        <f>C27/'11.Enrollment'!$C$4</f>
        <v>71.20107681306348</v>
      </c>
      <c r="E27" s="913"/>
      <c r="F27" s="913"/>
    </row>
    <row r="28" spans="1:6">
      <c r="B28" s="1157" t="s">
        <v>857</v>
      </c>
      <c r="C28" s="1158">
        <v>79580256</v>
      </c>
      <c r="D28" s="1158">
        <f>C28/'11.Enrollment'!$C$4</f>
        <v>144.06795322060901</v>
      </c>
      <c r="E28" s="913"/>
      <c r="F28" s="867"/>
    </row>
    <row r="29" spans="1:6">
      <c r="B29" s="1157"/>
      <c r="C29" s="1158">
        <v>629087392.91000009</v>
      </c>
      <c r="D29" s="1158">
        <f>C29/'11.Enrollment'!$C$4</f>
        <v>1138.8670714182267</v>
      </c>
      <c r="E29" s="913"/>
      <c r="F29" s="867"/>
    </row>
    <row r="30" spans="1:6">
      <c r="B30" s="803"/>
      <c r="C30" s="4"/>
    </row>
    <row r="31" spans="1:6">
      <c r="B31" s="1159"/>
      <c r="C31" s="793"/>
    </row>
    <row r="33" spans="2:2">
      <c r="B33" t="s">
        <v>858</v>
      </c>
    </row>
    <row r="34" spans="2:2">
      <c r="B34" t="s">
        <v>859</v>
      </c>
    </row>
  </sheetData>
  <sheetProtection algorithmName="SHA-512" hashValue="V5MtnFeypEKeMtKSVsKMpxyN5DOJ5hj0h/wsSVrU52Kb2i7f7J9HGH179HgZyCzxu6MorogcohDsiSX2tS8aMw==" saltValue="1iMgOxAzcpBqdOixpUNXMw==" spinCount="100000" sheet="1" objects="1" scenarios="1" formatColumns="0" formatRows="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9.9978637043366805E-2"/>
  </sheetPr>
  <dimension ref="A1:G25"/>
  <sheetViews>
    <sheetView workbookViewId="0"/>
  </sheetViews>
  <sheetFormatPr defaultRowHeight="15"/>
  <cols>
    <col min="1" max="1" width="10.7109375" bestFit="1" customWidth="1"/>
    <col min="2" max="2" width="33.140625" bestFit="1" customWidth="1"/>
    <col min="3" max="3" width="14" bestFit="1" customWidth="1"/>
    <col min="5" max="5" width="9.140625" style="11"/>
  </cols>
  <sheetData>
    <row r="1" spans="1:7">
      <c r="A1" s="1194" t="s">
        <v>786</v>
      </c>
      <c r="B1" s="1194" t="s">
        <v>860</v>
      </c>
      <c r="C1" s="881" t="s">
        <v>861</v>
      </c>
      <c r="G1" t="s">
        <v>862</v>
      </c>
    </row>
    <row r="2" spans="1:7">
      <c r="A2" s="1195">
        <v>36342</v>
      </c>
      <c r="B2" s="1196">
        <v>38982439.030000001</v>
      </c>
      <c r="C2">
        <v>543138</v>
      </c>
      <c r="D2" s="882">
        <f>B2/C2</f>
        <v>71.772623219145046</v>
      </c>
      <c r="G2" s="3">
        <f>AVERAGE(E:E)</f>
        <v>5.0972785334547827E-2</v>
      </c>
    </row>
    <row r="3" spans="1:7">
      <c r="A3" s="1195">
        <v>36708</v>
      </c>
      <c r="B3" s="1196">
        <v>53713191.719999999</v>
      </c>
      <c r="C3">
        <v>544273</v>
      </c>
      <c r="D3" s="882">
        <f t="shared" ref="D3:D22" si="0">B3/C3</f>
        <v>98.687959388027693</v>
      </c>
      <c r="E3" s="11">
        <f>D3/D2-1</f>
        <v>0.37500839403210073</v>
      </c>
    </row>
    <row r="4" spans="1:7">
      <c r="A4" s="1195">
        <v>37073</v>
      </c>
      <c r="B4" s="1196">
        <v>53580069.899999999</v>
      </c>
      <c r="C4">
        <v>549788</v>
      </c>
      <c r="D4" s="882">
        <f t="shared" si="0"/>
        <v>97.45587371859699</v>
      </c>
      <c r="E4" s="11">
        <f t="shared" ref="E4:E22" si="1">D4/D3-1</f>
        <v>-1.2484660510471257E-2</v>
      </c>
    </row>
    <row r="5" spans="1:7">
      <c r="A5" s="1195">
        <v>37438</v>
      </c>
      <c r="B5" s="1196">
        <v>44240898.200000003</v>
      </c>
      <c r="C5">
        <v>552188</v>
      </c>
      <c r="D5" s="882">
        <f t="shared" si="0"/>
        <v>80.11926771317016</v>
      </c>
      <c r="E5" s="11">
        <f t="shared" si="1"/>
        <v>-0.17789185345037417</v>
      </c>
    </row>
    <row r="6" spans="1:7">
      <c r="A6" s="1195">
        <v>37803</v>
      </c>
      <c r="B6" s="1196">
        <v>45813094.649999999</v>
      </c>
      <c r="C6">
        <v>549294</v>
      </c>
      <c r="D6" s="882">
        <f t="shared" si="0"/>
        <v>83.403595615462748</v>
      </c>
      <c r="E6" s="11">
        <f t="shared" si="1"/>
        <v>4.0992984534639065E-2</v>
      </c>
    </row>
    <row r="7" spans="1:7">
      <c r="A7" s="1195">
        <v>38169</v>
      </c>
      <c r="B7" s="1196">
        <v>50303368.479999997</v>
      </c>
      <c r="C7">
        <v>549472</v>
      </c>
      <c r="D7" s="882">
        <f t="shared" si="0"/>
        <v>91.548556577951189</v>
      </c>
      <c r="E7" s="11">
        <f t="shared" si="1"/>
        <v>9.7657192143624894E-2</v>
      </c>
    </row>
    <row r="8" spans="1:7">
      <c r="A8" s="1195">
        <v>38534</v>
      </c>
      <c r="B8" s="1196">
        <v>51127557.509999998</v>
      </c>
      <c r="C8">
        <v>556366</v>
      </c>
      <c r="D8" s="882">
        <f t="shared" si="0"/>
        <v>91.895546295064761</v>
      </c>
      <c r="E8" s="11">
        <f t="shared" si="1"/>
        <v>3.7902259749789113E-3</v>
      </c>
    </row>
    <row r="9" spans="1:7">
      <c r="A9" s="1195">
        <v>38899</v>
      </c>
      <c r="B9" s="1196">
        <v>53970339.799999997</v>
      </c>
      <c r="C9">
        <v>559915</v>
      </c>
      <c r="D9" s="882">
        <f t="shared" si="0"/>
        <v>96.390237446755307</v>
      </c>
      <c r="E9" s="11">
        <f t="shared" si="1"/>
        <v>4.8910870362081305E-2</v>
      </c>
    </row>
    <row r="10" spans="1:7">
      <c r="A10" s="1195">
        <v>39264</v>
      </c>
      <c r="B10" s="1196">
        <v>56139438.409999996</v>
      </c>
      <c r="C10">
        <v>563081</v>
      </c>
      <c r="D10" s="882">
        <f t="shared" si="0"/>
        <v>99.700466558097318</v>
      </c>
      <c r="E10" s="11">
        <f t="shared" si="1"/>
        <v>3.4341954113045192E-2</v>
      </c>
    </row>
    <row r="11" spans="1:7">
      <c r="A11" s="1195">
        <v>39630</v>
      </c>
      <c r="B11" s="1196">
        <v>56064981.289999999</v>
      </c>
      <c r="C11">
        <v>561094</v>
      </c>
      <c r="D11" s="882">
        <f t="shared" si="0"/>
        <v>99.920835528449771</v>
      </c>
      <c r="E11" s="11">
        <f t="shared" si="1"/>
        <v>2.2103103221091658E-3</v>
      </c>
    </row>
    <row r="12" spans="1:7">
      <c r="A12" s="1195">
        <v>39995</v>
      </c>
      <c r="B12" s="1196">
        <v>55892201.740000002</v>
      </c>
      <c r="C12">
        <v>559062</v>
      </c>
      <c r="D12" s="882">
        <f t="shared" si="0"/>
        <v>99.974961167097746</v>
      </c>
      <c r="E12" s="11">
        <f t="shared" si="1"/>
        <v>5.4168520871278325E-4</v>
      </c>
    </row>
    <row r="13" spans="1:7">
      <c r="A13" s="1195">
        <v>40360</v>
      </c>
      <c r="B13" s="1196">
        <v>57485301.280000001</v>
      </c>
      <c r="C13">
        <v>558575</v>
      </c>
      <c r="D13" s="882">
        <f t="shared" si="0"/>
        <v>102.91420360739382</v>
      </c>
      <c r="E13" s="11">
        <f t="shared" si="1"/>
        <v>2.9399785766192288E-2</v>
      </c>
    </row>
    <row r="14" spans="1:7">
      <c r="A14" s="1195">
        <v>40725</v>
      </c>
      <c r="B14" s="1196">
        <v>51926290.219999999</v>
      </c>
      <c r="C14">
        <v>558060</v>
      </c>
      <c r="D14" s="882">
        <f t="shared" si="0"/>
        <v>93.047862631258283</v>
      </c>
      <c r="E14" s="11">
        <f t="shared" si="1"/>
        <v>-9.5869575144112429E-2</v>
      </c>
    </row>
    <row r="15" spans="1:7">
      <c r="A15" s="1195">
        <v>41091</v>
      </c>
      <c r="B15" s="1196">
        <v>53358358.710000001</v>
      </c>
      <c r="C15">
        <v>560814</v>
      </c>
      <c r="D15" s="882">
        <f t="shared" si="0"/>
        <v>95.144484107030138</v>
      </c>
      <c r="E15" s="11">
        <f t="shared" si="1"/>
        <v>2.2532720435294751E-2</v>
      </c>
    </row>
    <row r="16" spans="1:7">
      <c r="A16" s="1195">
        <v>41456</v>
      </c>
      <c r="B16" s="1196">
        <v>59025386.909999996</v>
      </c>
      <c r="C16">
        <v>564243</v>
      </c>
      <c r="D16" s="882">
        <f t="shared" si="0"/>
        <v>104.60987005598651</v>
      </c>
      <c r="E16" s="11">
        <f t="shared" si="1"/>
        <v>9.9484337298088032E-2</v>
      </c>
    </row>
    <row r="17" spans="1:5">
      <c r="A17" s="1195">
        <v>41821</v>
      </c>
      <c r="B17" s="1196">
        <v>66323620.700000003</v>
      </c>
      <c r="C17">
        <v>568139</v>
      </c>
      <c r="D17" s="882">
        <f t="shared" si="0"/>
        <v>116.73836983555081</v>
      </c>
      <c r="E17" s="11">
        <f t="shared" si="1"/>
        <v>0.11594030059566296</v>
      </c>
    </row>
    <row r="18" spans="1:5">
      <c r="A18" s="1195">
        <v>42186</v>
      </c>
      <c r="B18" s="1196">
        <v>70106717.260000005</v>
      </c>
      <c r="C18">
        <v>573704</v>
      </c>
      <c r="D18" s="882">
        <f t="shared" si="0"/>
        <v>122.20015419101141</v>
      </c>
      <c r="E18" s="11">
        <f t="shared" si="1"/>
        <v>4.6786539534127591E-2</v>
      </c>
    </row>
    <row r="19" spans="1:5">
      <c r="A19" s="1195">
        <v>42552</v>
      </c>
      <c r="B19" s="1196">
        <v>72506118.730000004</v>
      </c>
      <c r="C19">
        <v>576336</v>
      </c>
      <c r="D19" s="882">
        <f t="shared" si="0"/>
        <v>125.80529193040172</v>
      </c>
      <c r="E19" s="11">
        <f t="shared" si="1"/>
        <v>2.9501908268913635E-2</v>
      </c>
    </row>
    <row r="20" spans="1:5">
      <c r="A20" s="1195">
        <v>42917</v>
      </c>
      <c r="B20" s="1196">
        <v>77563810.280000001</v>
      </c>
      <c r="C20">
        <v>578085</v>
      </c>
      <c r="D20" s="882">
        <f t="shared" si="0"/>
        <v>134.17371196277364</v>
      </c>
      <c r="E20" s="11">
        <f t="shared" si="1"/>
        <v>6.6518823683518136E-2</v>
      </c>
    </row>
    <row r="21" spans="1:5">
      <c r="A21" s="1195">
        <v>43282</v>
      </c>
      <c r="B21" s="1196">
        <v>81636287.469999999</v>
      </c>
      <c r="C21">
        <v>579024</v>
      </c>
      <c r="D21" s="882">
        <f t="shared" si="0"/>
        <v>140.98947102365361</v>
      </c>
      <c r="E21" s="11">
        <f t="shared" si="1"/>
        <v>5.0798021171024832E-2</v>
      </c>
    </row>
    <row r="22" spans="1:5">
      <c r="A22" s="1195">
        <v>43647</v>
      </c>
      <c r="B22" s="1196">
        <v>84498342.269999996</v>
      </c>
      <c r="C22">
        <v>579856</v>
      </c>
      <c r="D22" s="882">
        <f t="shared" si="0"/>
        <v>145.72297651485886</v>
      </c>
      <c r="E22" s="11">
        <f t="shared" si="1"/>
        <v>3.3573467981953931E-2</v>
      </c>
    </row>
    <row r="23" spans="1:5">
      <c r="A23" s="1195">
        <v>44013</v>
      </c>
      <c r="B23" s="1196">
        <v>82068754</v>
      </c>
      <c r="C23">
        <v>557797</v>
      </c>
      <c r="D23" s="882">
        <f>B23/C23</f>
        <v>147.13014591329821</v>
      </c>
      <c r="E23" s="11">
        <f>D23/D22-1</f>
        <v>9.65646895289618E-3</v>
      </c>
    </row>
    <row r="24" spans="1:5">
      <c r="A24" s="1195">
        <v>44378</v>
      </c>
      <c r="B24" s="1196">
        <v>93390236</v>
      </c>
      <c r="C24">
        <v>550325</v>
      </c>
      <c r="D24" s="882">
        <f>B24/C24</f>
        <v>169.70015172852405</v>
      </c>
      <c r="E24" s="11">
        <f>D24/D23-1</f>
        <v>0.15340164094261177</v>
      </c>
    </row>
    <row r="25" spans="1:5">
      <c r="A25" s="1195">
        <v>44743</v>
      </c>
      <c r="B25" s="1196">
        <v>111737121</v>
      </c>
      <c r="C25">
        <v>549811</v>
      </c>
      <c r="D25" s="882">
        <f>B25/C25</f>
        <v>203.22823843102447</v>
      </c>
      <c r="E25" s="11">
        <f>D25/D24-1</f>
        <v>0.19757252047798168</v>
      </c>
    </row>
  </sheetData>
  <sheetProtection algorithmName="SHA-512" hashValue="nHoGYqId7iPt8l8ddJHxnddcZ1D5kmtey5vkrWlZnnN78zfYiKL8Ll5w/7Ub8/a7RzwIQLScKZ5yRr//xKppCQ==" saltValue="sS/eJiw+Fn6CC3/KlAUMug=="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G30"/>
  <sheetViews>
    <sheetView topLeftCell="C1" workbookViewId="0"/>
  </sheetViews>
  <sheetFormatPr defaultColWidth="9.140625" defaultRowHeight="15" outlineLevelCol="1"/>
  <cols>
    <col min="1" max="1" width="60.140625" style="920" hidden="1" customWidth="1" outlineLevel="1"/>
    <col min="2" max="2" width="9.140625" style="920" hidden="1" customWidth="1" outlineLevel="1"/>
    <col min="3" max="3" width="48.140625" style="920" customWidth="1" collapsed="1"/>
    <col min="4" max="4" width="14.5703125" style="920" customWidth="1"/>
    <col min="5" max="5" width="50" style="920" bestFit="1" customWidth="1"/>
    <col min="6" max="16384" width="9.140625" style="920"/>
  </cols>
  <sheetData>
    <row r="1" spans="1:7">
      <c r="A1" s="927" t="s">
        <v>863</v>
      </c>
      <c r="B1" s="927" t="s">
        <v>864</v>
      </c>
      <c r="D1" s="1124" t="str">
        <f>'1.Years'!A4</f>
        <v>Base Year</v>
      </c>
      <c r="E1" s="928"/>
    </row>
    <row r="2" spans="1:7">
      <c r="A2" s="920" t="s">
        <v>865</v>
      </c>
      <c r="B2" s="920">
        <f ca="1">MATCH(D2,INDIRECT(A1&amp;B1),0)</f>
        <v>10</v>
      </c>
      <c r="D2" s="1124" t="str">
        <f>'1.Years'!A7</f>
        <v>2022-23</v>
      </c>
      <c r="E2" s="928"/>
    </row>
    <row r="3" spans="1:7">
      <c r="C3" s="926" t="s">
        <v>157</v>
      </c>
      <c r="D3" s="913"/>
    </row>
    <row r="4" spans="1:7">
      <c r="A4" s="920" t="s">
        <v>866</v>
      </c>
      <c r="C4" s="923" t="s">
        <v>867</v>
      </c>
      <c r="D4" s="4">
        <f ca="1">VLOOKUP(A4, INDIRECT($A$1 &amp; $A$2), $B$2, 0)</f>
        <v>848131096</v>
      </c>
      <c r="E4" s="925" t="s">
        <v>835</v>
      </c>
      <c r="F4" s="922"/>
      <c r="G4" s="922"/>
    </row>
    <row r="5" spans="1:7">
      <c r="A5" s="920" t="s">
        <v>868</v>
      </c>
      <c r="C5" s="923" t="s">
        <v>869</v>
      </c>
      <c r="D5" s="4">
        <f ca="1">VLOOKUP(A5, INDIRECT($A$1 &amp; $A$2), $B$2, 0)</f>
        <v>190061721.91999999</v>
      </c>
      <c r="E5" s="925" t="s">
        <v>855</v>
      </c>
      <c r="F5" s="922"/>
      <c r="G5" s="922"/>
    </row>
    <row r="6" spans="1:7">
      <c r="C6" s="926" t="s">
        <v>870</v>
      </c>
      <c r="D6" s="913"/>
      <c r="E6" s="924"/>
      <c r="F6" s="924"/>
    </row>
    <row r="7" spans="1:7">
      <c r="A7" s="920" t="s">
        <v>871</v>
      </c>
      <c r="C7" s="920" t="s">
        <v>872</v>
      </c>
      <c r="D7" s="4">
        <f ca="1">VLOOKUP(A7, INDIRECT($A$1 &amp; $A$2), $B$2, 0)</f>
        <v>2306528383</v>
      </c>
      <c r="E7" s="929" t="s">
        <v>873</v>
      </c>
      <c r="F7" s="922"/>
      <c r="G7" s="922"/>
    </row>
    <row r="8" spans="1:7">
      <c r="A8" s="920" t="s">
        <v>874</v>
      </c>
      <c r="C8" s="920" t="s">
        <v>875</v>
      </c>
      <c r="D8" s="4">
        <f ca="1">VLOOKUP(A8, INDIRECT($A$1 &amp; $A$2), $B$2, 0)</f>
        <v>156173586</v>
      </c>
      <c r="E8" s="929" t="s">
        <v>873</v>
      </c>
      <c r="F8" s="922"/>
      <c r="G8" s="922"/>
    </row>
    <row r="9" spans="1:7">
      <c r="C9" s="926" t="s">
        <v>876</v>
      </c>
      <c r="D9" s="4"/>
      <c r="E9" s="922"/>
    </row>
    <row r="10" spans="1:7">
      <c r="C10" s="920" t="s">
        <v>867</v>
      </c>
      <c r="D10" s="1061">
        <f ca="1">+D4+D7</f>
        <v>3154659479</v>
      </c>
      <c r="E10" s="922" t="s">
        <v>877</v>
      </c>
    </row>
    <row r="11" spans="1:7">
      <c r="C11" s="923" t="s">
        <v>869</v>
      </c>
      <c r="D11" s="1061">
        <f ca="1">+D5+D8</f>
        <v>346235307.91999996</v>
      </c>
      <c r="E11" s="922" t="s">
        <v>877</v>
      </c>
    </row>
    <row r="12" spans="1:7">
      <c r="A12" s="920" t="s">
        <v>159</v>
      </c>
      <c r="C12" s="926" t="s">
        <v>159</v>
      </c>
      <c r="D12" s="4">
        <f ca="1">VLOOKUP(A12, INDIRECT($A$1 &amp; $A$2), $B$2, 0)</f>
        <v>28990892</v>
      </c>
      <c r="E12" s="922"/>
    </row>
    <row r="13" spans="1:7">
      <c r="C13" s="923"/>
      <c r="D13"/>
    </row>
    <row r="14" spans="1:7">
      <c r="C14" s="930" t="s">
        <v>878</v>
      </c>
      <c r="D14" s="1050"/>
    </row>
    <row r="15" spans="1:7">
      <c r="C15" s="926" t="s">
        <v>879</v>
      </c>
      <c r="D15"/>
    </row>
    <row r="16" spans="1:7">
      <c r="A16" s="920" t="s">
        <v>880</v>
      </c>
      <c r="C16" s="920" t="s">
        <v>881</v>
      </c>
      <c r="D16" s="4">
        <f ca="1">VLOOKUP(A16, INDIRECT($A$1 &amp; $A$2), $B$2, 0)</f>
        <v>1720981.6</v>
      </c>
      <c r="E16" s="922"/>
    </row>
    <row r="17" spans="1:5">
      <c r="A17" s="920" t="s">
        <v>882</v>
      </c>
      <c r="C17" s="920" t="s">
        <v>883</v>
      </c>
      <c r="D17" s="4">
        <f ca="1">VLOOKUP(A17, INDIRECT($A$1 &amp; $A$2), $B$2, 0)</f>
        <v>3879953.9800000004</v>
      </c>
    </row>
    <row r="18" spans="1:5">
      <c r="C18" s="926" t="s">
        <v>884</v>
      </c>
      <c r="D18" s="4"/>
    </row>
    <row r="19" spans="1:5">
      <c r="A19" s="920" t="s">
        <v>885</v>
      </c>
      <c r="C19" s="920" t="s">
        <v>886</v>
      </c>
      <c r="D19" s="4">
        <f ca="1">VLOOKUP(A19, INDIRECT($A$1 &amp; $A$2), $B$2, 0)</f>
        <v>21523288.93</v>
      </c>
    </row>
    <row r="20" spans="1:5">
      <c r="A20" s="920" t="s">
        <v>887</v>
      </c>
      <c r="C20" s="920" t="s">
        <v>888</v>
      </c>
      <c r="D20" s="4">
        <f ca="1">VLOOKUP(A20, INDIRECT($A$1 &amp; $A$2), $B$2, 0)</f>
        <v>1057382905</v>
      </c>
    </row>
    <row r="21" spans="1:5">
      <c r="A21" s="931" t="s">
        <v>889</v>
      </c>
      <c r="C21" s="931" t="s">
        <v>889</v>
      </c>
      <c r="D21" s="4">
        <f ca="1">VLOOKUP(A21, INDIRECT($A$1 &amp; $A$2), $B$2, 0)</f>
        <v>9511882.2899999991</v>
      </c>
    </row>
    <row r="22" spans="1:5">
      <c r="A22" s="931" t="s">
        <v>890</v>
      </c>
      <c r="C22" s="931" t="s">
        <v>890</v>
      </c>
      <c r="D22" s="4">
        <f ca="1">VLOOKUP(A22, INDIRECT($A$1 &amp; $A$2), $B$2, 0)</f>
        <v>23758300</v>
      </c>
    </row>
    <row r="23" spans="1:5">
      <c r="C23" s="920" t="s">
        <v>891</v>
      </c>
      <c r="D23" s="4">
        <f ca="1">SUM(D16:D22)</f>
        <v>1117777311.8</v>
      </c>
      <c r="E23" s="922" t="s">
        <v>877</v>
      </c>
    </row>
    <row r="24" spans="1:5">
      <c r="D24"/>
    </row>
    <row r="25" spans="1:5">
      <c r="D25" s="1050" t="str">
        <f>+'1.Years'!A7</f>
        <v>2022-23</v>
      </c>
    </row>
    <row r="26" spans="1:5">
      <c r="C26" s="923" t="s">
        <v>816</v>
      </c>
      <c r="D26" s="4">
        <f>'7.PayrollBenefits'!D13</f>
        <v>4559962101.5699997</v>
      </c>
      <c r="E26" s="922" t="s">
        <v>892</v>
      </c>
    </row>
    <row r="27" spans="1:5">
      <c r="C27" s="923"/>
      <c r="D27" s="922"/>
    </row>
    <row r="28" spans="1:5">
      <c r="D28" s="922"/>
      <c r="E28" s="922"/>
    </row>
    <row r="29" spans="1:5">
      <c r="D29" s="922"/>
      <c r="E29" s="922"/>
    </row>
    <row r="30" spans="1:5">
      <c r="D30" s="922"/>
    </row>
  </sheetData>
  <sheetProtection algorithmName="SHA-512" hashValue="KmWK97cPzekCeKCqFonkdF2ZLz0xXChhvoo31NdxFm3d/mCroVh1R0+BRDJw6X8lTO3SSHT6ruXSR9TMZDHC5g==" saltValue="MXK3T8rnizwpbNiBc47ztQ==" spinCount="100000" sheet="1" objects="1" scenarios="1" formatColumns="0"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39997558519241921"/>
    <pageSetUpPr fitToPage="1"/>
  </sheetPr>
  <dimension ref="A1:V24"/>
  <sheetViews>
    <sheetView topLeftCell="C1" zoomScale="110" zoomScaleNormal="110" workbookViewId="0"/>
  </sheetViews>
  <sheetFormatPr defaultRowHeight="12.75" outlineLevelCol="1"/>
  <cols>
    <col min="1" max="1" width="22.28515625" style="799" hidden="1" customWidth="1" outlineLevel="1"/>
    <col min="2" max="2" width="11" style="799" hidden="1" customWidth="1" outlineLevel="1"/>
    <col min="3" max="3" width="2.85546875" style="799" customWidth="1" collapsed="1"/>
    <col min="4" max="4" width="71.7109375" style="799" customWidth="1"/>
    <col min="5" max="5" width="15.85546875" style="799" bestFit="1" customWidth="1"/>
    <col min="6" max="6" width="17.7109375" style="799" customWidth="1"/>
    <col min="7" max="7" width="14.7109375" style="799" bestFit="1" customWidth="1"/>
    <col min="8" max="8" width="12.28515625" style="799" bestFit="1" customWidth="1"/>
    <col min="9" max="9" width="13.85546875" style="799" bestFit="1" customWidth="1"/>
    <col min="10" max="10" width="40.140625" style="799" hidden="1" customWidth="1" outlineLevel="1"/>
    <col min="11" max="11" width="12" style="799" hidden="1" customWidth="1" outlineLevel="1"/>
    <col min="12" max="12" width="12" style="801" hidden="1" customWidth="1" outlineLevel="1"/>
    <col min="13" max="13" width="12" style="799" hidden="1" customWidth="1" outlineLevel="1"/>
    <col min="14" max="14" width="12" style="801" hidden="1" customWidth="1" outlineLevel="1"/>
    <col min="15" max="15" width="19.7109375" style="801" hidden="1" customWidth="1" outlineLevel="1"/>
    <col min="16" max="16" width="12" style="810" hidden="1" customWidth="1" outlineLevel="1"/>
    <col min="17" max="17" width="12" style="801" hidden="1" customWidth="1" outlineLevel="1"/>
    <col min="18" max="18" width="12" style="810" hidden="1" customWidth="1" outlineLevel="1"/>
    <col min="19" max="19" width="12" style="801" hidden="1" customWidth="1" outlineLevel="1"/>
    <col min="20" max="20" width="16.5703125" style="801" hidden="1" customWidth="1" outlineLevel="1"/>
    <col min="21" max="21" width="17.28515625" style="801" hidden="1" customWidth="1" outlineLevel="1"/>
    <col min="22" max="22" width="9.140625" style="799" collapsed="1"/>
    <col min="23" max="254" width="9.140625" style="799"/>
    <col min="255" max="255" width="21" style="799" bestFit="1" customWidth="1"/>
    <col min="256" max="256" width="9.5703125" style="799" bestFit="1" customWidth="1"/>
    <col min="257" max="257" width="2.85546875" style="799" customWidth="1"/>
    <col min="258" max="258" width="68.7109375" style="799" customWidth="1"/>
    <col min="259" max="260" width="15.7109375" style="799" customWidth="1"/>
    <col min="261" max="261" width="15.5703125" style="799" bestFit="1" customWidth="1"/>
    <col min="262" max="262" width="11.7109375" style="799" customWidth="1"/>
    <col min="263" max="263" width="13.140625" style="799" customWidth="1"/>
    <col min="264" max="264" width="17" style="799" customWidth="1"/>
    <col min="265" max="265" width="15.42578125" style="799" customWidth="1"/>
    <col min="266" max="266" width="11.140625" style="799" customWidth="1"/>
    <col min="267" max="267" width="16.7109375" style="799" customWidth="1"/>
    <col min="268" max="268" width="11.7109375" style="799" bestFit="1" customWidth="1"/>
    <col min="269" max="510" width="9.140625" style="799"/>
    <col min="511" max="511" width="21" style="799" bestFit="1" customWidth="1"/>
    <col min="512" max="512" width="9.5703125" style="799" bestFit="1" customWidth="1"/>
    <col min="513" max="513" width="2.85546875" style="799" customWidth="1"/>
    <col min="514" max="514" width="68.7109375" style="799" customWidth="1"/>
    <col min="515" max="516" width="15.7109375" style="799" customWidth="1"/>
    <col min="517" max="517" width="15.5703125" style="799" bestFit="1" customWidth="1"/>
    <col min="518" max="518" width="11.7109375" style="799" customWidth="1"/>
    <col min="519" max="519" width="13.140625" style="799" customWidth="1"/>
    <col min="520" max="520" width="17" style="799" customWidth="1"/>
    <col min="521" max="521" width="15.42578125" style="799" customWidth="1"/>
    <col min="522" max="522" width="11.140625" style="799" customWidth="1"/>
    <col min="523" max="523" width="16.7109375" style="799" customWidth="1"/>
    <col min="524" max="524" width="11.7109375" style="799" bestFit="1" customWidth="1"/>
    <col min="525" max="766" width="9.140625" style="799"/>
    <col min="767" max="767" width="21" style="799" bestFit="1" customWidth="1"/>
    <col min="768" max="768" width="9.5703125" style="799" bestFit="1" customWidth="1"/>
    <col min="769" max="769" width="2.85546875" style="799" customWidth="1"/>
    <col min="770" max="770" width="68.7109375" style="799" customWidth="1"/>
    <col min="771" max="772" width="15.7109375" style="799" customWidth="1"/>
    <col min="773" max="773" width="15.5703125" style="799" bestFit="1" customWidth="1"/>
    <col min="774" max="774" width="11.7109375" style="799" customWidth="1"/>
    <col min="775" max="775" width="13.140625" style="799" customWidth="1"/>
    <col min="776" max="776" width="17" style="799" customWidth="1"/>
    <col min="777" max="777" width="15.42578125" style="799" customWidth="1"/>
    <col min="778" max="778" width="11.140625" style="799" customWidth="1"/>
    <col min="779" max="779" width="16.7109375" style="799" customWidth="1"/>
    <col min="780" max="780" width="11.7109375" style="799" bestFit="1" customWidth="1"/>
    <col min="781" max="1022" width="9.140625" style="799"/>
    <col min="1023" max="1023" width="21" style="799" bestFit="1" customWidth="1"/>
    <col min="1024" max="1024" width="9.5703125" style="799" bestFit="1" customWidth="1"/>
    <col min="1025" max="1025" width="2.85546875" style="799" customWidth="1"/>
    <col min="1026" max="1026" width="68.7109375" style="799" customWidth="1"/>
    <col min="1027" max="1028" width="15.7109375" style="799" customWidth="1"/>
    <col min="1029" max="1029" width="15.5703125" style="799" bestFit="1" customWidth="1"/>
    <col min="1030" max="1030" width="11.7109375" style="799" customWidth="1"/>
    <col min="1031" max="1031" width="13.140625" style="799" customWidth="1"/>
    <col min="1032" max="1032" width="17" style="799" customWidth="1"/>
    <col min="1033" max="1033" width="15.42578125" style="799" customWidth="1"/>
    <col min="1034" max="1034" width="11.140625" style="799" customWidth="1"/>
    <col min="1035" max="1035" width="16.7109375" style="799" customWidth="1"/>
    <col min="1036" max="1036" width="11.7109375" style="799" bestFit="1" customWidth="1"/>
    <col min="1037" max="1278" width="9.140625" style="799"/>
    <col min="1279" max="1279" width="21" style="799" bestFit="1" customWidth="1"/>
    <col min="1280" max="1280" width="9.5703125" style="799" bestFit="1" customWidth="1"/>
    <col min="1281" max="1281" width="2.85546875" style="799" customWidth="1"/>
    <col min="1282" max="1282" width="68.7109375" style="799" customWidth="1"/>
    <col min="1283" max="1284" width="15.7109375" style="799" customWidth="1"/>
    <col min="1285" max="1285" width="15.5703125" style="799" bestFit="1" customWidth="1"/>
    <col min="1286" max="1286" width="11.7109375" style="799" customWidth="1"/>
    <col min="1287" max="1287" width="13.140625" style="799" customWidth="1"/>
    <col min="1288" max="1288" width="17" style="799" customWidth="1"/>
    <col min="1289" max="1289" width="15.42578125" style="799" customWidth="1"/>
    <col min="1290" max="1290" width="11.140625" style="799" customWidth="1"/>
    <col min="1291" max="1291" width="16.7109375" style="799" customWidth="1"/>
    <col min="1292" max="1292" width="11.7109375" style="799" bestFit="1" customWidth="1"/>
    <col min="1293" max="1534" width="9.140625" style="799"/>
    <col min="1535" max="1535" width="21" style="799" bestFit="1" customWidth="1"/>
    <col min="1536" max="1536" width="9.5703125" style="799" bestFit="1" customWidth="1"/>
    <col min="1537" max="1537" width="2.85546875" style="799" customWidth="1"/>
    <col min="1538" max="1538" width="68.7109375" style="799" customWidth="1"/>
    <col min="1539" max="1540" width="15.7109375" style="799" customWidth="1"/>
    <col min="1541" max="1541" width="15.5703125" style="799" bestFit="1" customWidth="1"/>
    <col min="1542" max="1542" width="11.7109375" style="799" customWidth="1"/>
    <col min="1543" max="1543" width="13.140625" style="799" customWidth="1"/>
    <col min="1544" max="1544" width="17" style="799" customWidth="1"/>
    <col min="1545" max="1545" width="15.42578125" style="799" customWidth="1"/>
    <col min="1546" max="1546" width="11.140625" style="799" customWidth="1"/>
    <col min="1547" max="1547" width="16.7109375" style="799" customWidth="1"/>
    <col min="1548" max="1548" width="11.7109375" style="799" bestFit="1" customWidth="1"/>
    <col min="1549" max="1790" width="9.140625" style="799"/>
    <col min="1791" max="1791" width="21" style="799" bestFit="1" customWidth="1"/>
    <col min="1792" max="1792" width="9.5703125" style="799" bestFit="1" customWidth="1"/>
    <col min="1793" max="1793" width="2.85546875" style="799" customWidth="1"/>
    <col min="1794" max="1794" width="68.7109375" style="799" customWidth="1"/>
    <col min="1795" max="1796" width="15.7109375" style="799" customWidth="1"/>
    <col min="1797" max="1797" width="15.5703125" style="799" bestFit="1" customWidth="1"/>
    <col min="1798" max="1798" width="11.7109375" style="799" customWidth="1"/>
    <col min="1799" max="1799" width="13.140625" style="799" customWidth="1"/>
    <col min="1800" max="1800" width="17" style="799" customWidth="1"/>
    <col min="1801" max="1801" width="15.42578125" style="799" customWidth="1"/>
    <col min="1802" max="1802" width="11.140625" style="799" customWidth="1"/>
    <col min="1803" max="1803" width="16.7109375" style="799" customWidth="1"/>
    <col min="1804" max="1804" width="11.7109375" style="799" bestFit="1" customWidth="1"/>
    <col min="1805" max="2046" width="9.140625" style="799"/>
    <col min="2047" max="2047" width="21" style="799" bestFit="1" customWidth="1"/>
    <col min="2048" max="2048" width="9.5703125" style="799" bestFit="1" customWidth="1"/>
    <col min="2049" max="2049" width="2.85546875" style="799" customWidth="1"/>
    <col min="2050" max="2050" width="68.7109375" style="799" customWidth="1"/>
    <col min="2051" max="2052" width="15.7109375" style="799" customWidth="1"/>
    <col min="2053" max="2053" width="15.5703125" style="799" bestFit="1" customWidth="1"/>
    <col min="2054" max="2054" width="11.7109375" style="799" customWidth="1"/>
    <col min="2055" max="2055" width="13.140625" style="799" customWidth="1"/>
    <col min="2056" max="2056" width="17" style="799" customWidth="1"/>
    <col min="2057" max="2057" width="15.42578125" style="799" customWidth="1"/>
    <col min="2058" max="2058" width="11.140625" style="799" customWidth="1"/>
    <col min="2059" max="2059" width="16.7109375" style="799" customWidth="1"/>
    <col min="2060" max="2060" width="11.7109375" style="799" bestFit="1" customWidth="1"/>
    <col min="2061" max="2302" width="9.140625" style="799"/>
    <col min="2303" max="2303" width="21" style="799" bestFit="1" customWidth="1"/>
    <col min="2304" max="2304" width="9.5703125" style="799" bestFit="1" customWidth="1"/>
    <col min="2305" max="2305" width="2.85546875" style="799" customWidth="1"/>
    <col min="2306" max="2306" width="68.7109375" style="799" customWidth="1"/>
    <col min="2307" max="2308" width="15.7109375" style="799" customWidth="1"/>
    <col min="2309" max="2309" width="15.5703125" style="799" bestFit="1" customWidth="1"/>
    <col min="2310" max="2310" width="11.7109375" style="799" customWidth="1"/>
    <col min="2311" max="2311" width="13.140625" style="799" customWidth="1"/>
    <col min="2312" max="2312" width="17" style="799" customWidth="1"/>
    <col min="2313" max="2313" width="15.42578125" style="799" customWidth="1"/>
    <col min="2314" max="2314" width="11.140625" style="799" customWidth="1"/>
    <col min="2315" max="2315" width="16.7109375" style="799" customWidth="1"/>
    <col min="2316" max="2316" width="11.7109375" style="799" bestFit="1" customWidth="1"/>
    <col min="2317" max="2558" width="9.140625" style="799"/>
    <col min="2559" max="2559" width="21" style="799" bestFit="1" customWidth="1"/>
    <col min="2560" max="2560" width="9.5703125" style="799" bestFit="1" customWidth="1"/>
    <col min="2561" max="2561" width="2.85546875" style="799" customWidth="1"/>
    <col min="2562" max="2562" width="68.7109375" style="799" customWidth="1"/>
    <col min="2563" max="2564" width="15.7109375" style="799" customWidth="1"/>
    <col min="2565" max="2565" width="15.5703125" style="799" bestFit="1" customWidth="1"/>
    <col min="2566" max="2566" width="11.7109375" style="799" customWidth="1"/>
    <col min="2567" max="2567" width="13.140625" style="799" customWidth="1"/>
    <col min="2568" max="2568" width="17" style="799" customWidth="1"/>
    <col min="2569" max="2569" width="15.42578125" style="799" customWidth="1"/>
    <col min="2570" max="2570" width="11.140625" style="799" customWidth="1"/>
    <col min="2571" max="2571" width="16.7109375" style="799" customWidth="1"/>
    <col min="2572" max="2572" width="11.7109375" style="799" bestFit="1" customWidth="1"/>
    <col min="2573" max="2814" width="9.140625" style="799"/>
    <col min="2815" max="2815" width="21" style="799" bestFit="1" customWidth="1"/>
    <col min="2816" max="2816" width="9.5703125" style="799" bestFit="1" customWidth="1"/>
    <col min="2817" max="2817" width="2.85546875" style="799" customWidth="1"/>
    <col min="2818" max="2818" width="68.7109375" style="799" customWidth="1"/>
    <col min="2819" max="2820" width="15.7109375" style="799" customWidth="1"/>
    <col min="2821" max="2821" width="15.5703125" style="799" bestFit="1" customWidth="1"/>
    <col min="2822" max="2822" width="11.7109375" style="799" customWidth="1"/>
    <col min="2823" max="2823" width="13.140625" style="799" customWidth="1"/>
    <col min="2824" max="2824" width="17" style="799" customWidth="1"/>
    <col min="2825" max="2825" width="15.42578125" style="799" customWidth="1"/>
    <col min="2826" max="2826" width="11.140625" style="799" customWidth="1"/>
    <col min="2827" max="2827" width="16.7109375" style="799" customWidth="1"/>
    <col min="2828" max="2828" width="11.7109375" style="799" bestFit="1" customWidth="1"/>
    <col min="2829" max="3070" width="9.140625" style="799"/>
    <col min="3071" max="3071" width="21" style="799" bestFit="1" customWidth="1"/>
    <col min="3072" max="3072" width="9.5703125" style="799" bestFit="1" customWidth="1"/>
    <col min="3073" max="3073" width="2.85546875" style="799" customWidth="1"/>
    <col min="3074" max="3074" width="68.7109375" style="799" customWidth="1"/>
    <col min="3075" max="3076" width="15.7109375" style="799" customWidth="1"/>
    <col min="3077" max="3077" width="15.5703125" style="799" bestFit="1" customWidth="1"/>
    <col min="3078" max="3078" width="11.7109375" style="799" customWidth="1"/>
    <col min="3079" max="3079" width="13.140625" style="799" customWidth="1"/>
    <col min="3080" max="3080" width="17" style="799" customWidth="1"/>
    <col min="3081" max="3081" width="15.42578125" style="799" customWidth="1"/>
    <col min="3082" max="3082" width="11.140625" style="799" customWidth="1"/>
    <col min="3083" max="3083" width="16.7109375" style="799" customWidth="1"/>
    <col min="3084" max="3084" width="11.7109375" style="799" bestFit="1" customWidth="1"/>
    <col min="3085" max="3326" width="9.140625" style="799"/>
    <col min="3327" max="3327" width="21" style="799" bestFit="1" customWidth="1"/>
    <col min="3328" max="3328" width="9.5703125" style="799" bestFit="1" customWidth="1"/>
    <col min="3329" max="3329" width="2.85546875" style="799" customWidth="1"/>
    <col min="3330" max="3330" width="68.7109375" style="799" customWidth="1"/>
    <col min="3331" max="3332" width="15.7109375" style="799" customWidth="1"/>
    <col min="3333" max="3333" width="15.5703125" style="799" bestFit="1" customWidth="1"/>
    <col min="3334" max="3334" width="11.7109375" style="799" customWidth="1"/>
    <col min="3335" max="3335" width="13.140625" style="799" customWidth="1"/>
    <col min="3336" max="3336" width="17" style="799" customWidth="1"/>
    <col min="3337" max="3337" width="15.42578125" style="799" customWidth="1"/>
    <col min="3338" max="3338" width="11.140625" style="799" customWidth="1"/>
    <col min="3339" max="3339" width="16.7109375" style="799" customWidth="1"/>
    <col min="3340" max="3340" width="11.7109375" style="799" bestFit="1" customWidth="1"/>
    <col min="3341" max="3582" width="9.140625" style="799"/>
    <col min="3583" max="3583" width="21" style="799" bestFit="1" customWidth="1"/>
    <col min="3584" max="3584" width="9.5703125" style="799" bestFit="1" customWidth="1"/>
    <col min="3585" max="3585" width="2.85546875" style="799" customWidth="1"/>
    <col min="3586" max="3586" width="68.7109375" style="799" customWidth="1"/>
    <col min="3587" max="3588" width="15.7109375" style="799" customWidth="1"/>
    <col min="3589" max="3589" width="15.5703125" style="799" bestFit="1" customWidth="1"/>
    <col min="3590" max="3590" width="11.7109375" style="799" customWidth="1"/>
    <col min="3591" max="3591" width="13.140625" style="799" customWidth="1"/>
    <col min="3592" max="3592" width="17" style="799" customWidth="1"/>
    <col min="3593" max="3593" width="15.42578125" style="799" customWidth="1"/>
    <col min="3594" max="3594" width="11.140625" style="799" customWidth="1"/>
    <col min="3595" max="3595" width="16.7109375" style="799" customWidth="1"/>
    <col min="3596" max="3596" width="11.7109375" style="799" bestFit="1" customWidth="1"/>
    <col min="3597" max="3838" width="9.140625" style="799"/>
    <col min="3839" max="3839" width="21" style="799" bestFit="1" customWidth="1"/>
    <col min="3840" max="3840" width="9.5703125" style="799" bestFit="1" customWidth="1"/>
    <col min="3841" max="3841" width="2.85546875" style="799" customWidth="1"/>
    <col min="3842" max="3842" width="68.7109375" style="799" customWidth="1"/>
    <col min="3843" max="3844" width="15.7109375" style="799" customWidth="1"/>
    <col min="3845" max="3845" width="15.5703125" style="799" bestFit="1" customWidth="1"/>
    <col min="3846" max="3846" width="11.7109375" style="799" customWidth="1"/>
    <col min="3847" max="3847" width="13.140625" style="799" customWidth="1"/>
    <col min="3848" max="3848" width="17" style="799" customWidth="1"/>
    <col min="3849" max="3849" width="15.42578125" style="799" customWidth="1"/>
    <col min="3850" max="3850" width="11.140625" style="799" customWidth="1"/>
    <col min="3851" max="3851" width="16.7109375" style="799" customWidth="1"/>
    <col min="3852" max="3852" width="11.7109375" style="799" bestFit="1" customWidth="1"/>
    <col min="3853" max="4094" width="9.140625" style="799"/>
    <col min="4095" max="4095" width="21" style="799" bestFit="1" customWidth="1"/>
    <col min="4096" max="4096" width="9.5703125" style="799" bestFit="1" customWidth="1"/>
    <col min="4097" max="4097" width="2.85546875" style="799" customWidth="1"/>
    <col min="4098" max="4098" width="68.7109375" style="799" customWidth="1"/>
    <col min="4099" max="4100" width="15.7109375" style="799" customWidth="1"/>
    <col min="4101" max="4101" width="15.5703125" style="799" bestFit="1" customWidth="1"/>
    <col min="4102" max="4102" width="11.7109375" style="799" customWidth="1"/>
    <col min="4103" max="4103" width="13.140625" style="799" customWidth="1"/>
    <col min="4104" max="4104" width="17" style="799" customWidth="1"/>
    <col min="4105" max="4105" width="15.42578125" style="799" customWidth="1"/>
    <col min="4106" max="4106" width="11.140625" style="799" customWidth="1"/>
    <col min="4107" max="4107" width="16.7109375" style="799" customWidth="1"/>
    <col min="4108" max="4108" width="11.7109375" style="799" bestFit="1" customWidth="1"/>
    <col min="4109" max="4350" width="9.140625" style="799"/>
    <col min="4351" max="4351" width="21" style="799" bestFit="1" customWidth="1"/>
    <col min="4352" max="4352" width="9.5703125" style="799" bestFit="1" customWidth="1"/>
    <col min="4353" max="4353" width="2.85546875" style="799" customWidth="1"/>
    <col min="4354" max="4354" width="68.7109375" style="799" customWidth="1"/>
    <col min="4355" max="4356" width="15.7109375" style="799" customWidth="1"/>
    <col min="4357" max="4357" width="15.5703125" style="799" bestFit="1" customWidth="1"/>
    <col min="4358" max="4358" width="11.7109375" style="799" customWidth="1"/>
    <col min="4359" max="4359" width="13.140625" style="799" customWidth="1"/>
    <col min="4360" max="4360" width="17" style="799" customWidth="1"/>
    <col min="4361" max="4361" width="15.42578125" style="799" customWidth="1"/>
    <col min="4362" max="4362" width="11.140625" style="799" customWidth="1"/>
    <col min="4363" max="4363" width="16.7109375" style="799" customWidth="1"/>
    <col min="4364" max="4364" width="11.7109375" style="799" bestFit="1" customWidth="1"/>
    <col min="4365" max="4606" width="9.140625" style="799"/>
    <col min="4607" max="4607" width="21" style="799" bestFit="1" customWidth="1"/>
    <col min="4608" max="4608" width="9.5703125" style="799" bestFit="1" customWidth="1"/>
    <col min="4609" max="4609" width="2.85546875" style="799" customWidth="1"/>
    <col min="4610" max="4610" width="68.7109375" style="799" customWidth="1"/>
    <col min="4611" max="4612" width="15.7109375" style="799" customWidth="1"/>
    <col min="4613" max="4613" width="15.5703125" style="799" bestFit="1" customWidth="1"/>
    <col min="4614" max="4614" width="11.7109375" style="799" customWidth="1"/>
    <col min="4615" max="4615" width="13.140625" style="799" customWidth="1"/>
    <col min="4616" max="4616" width="17" style="799" customWidth="1"/>
    <col min="4617" max="4617" width="15.42578125" style="799" customWidth="1"/>
    <col min="4618" max="4618" width="11.140625" style="799" customWidth="1"/>
    <col min="4619" max="4619" width="16.7109375" style="799" customWidth="1"/>
    <col min="4620" max="4620" width="11.7109375" style="799" bestFit="1" customWidth="1"/>
    <col min="4621" max="4862" width="9.140625" style="799"/>
    <col min="4863" max="4863" width="21" style="799" bestFit="1" customWidth="1"/>
    <col min="4864" max="4864" width="9.5703125" style="799" bestFit="1" customWidth="1"/>
    <col min="4865" max="4865" width="2.85546875" style="799" customWidth="1"/>
    <col min="4866" max="4866" width="68.7109375" style="799" customWidth="1"/>
    <col min="4867" max="4868" width="15.7109375" style="799" customWidth="1"/>
    <col min="4869" max="4869" width="15.5703125" style="799" bestFit="1" customWidth="1"/>
    <col min="4870" max="4870" width="11.7109375" style="799" customWidth="1"/>
    <col min="4871" max="4871" width="13.140625" style="799" customWidth="1"/>
    <col min="4872" max="4872" width="17" style="799" customWidth="1"/>
    <col min="4873" max="4873" width="15.42578125" style="799" customWidth="1"/>
    <col min="4874" max="4874" width="11.140625" style="799" customWidth="1"/>
    <col min="4875" max="4875" width="16.7109375" style="799" customWidth="1"/>
    <col min="4876" max="4876" width="11.7109375" style="799" bestFit="1" customWidth="1"/>
    <col min="4877" max="5118" width="9.140625" style="799"/>
    <col min="5119" max="5119" width="21" style="799" bestFit="1" customWidth="1"/>
    <col min="5120" max="5120" width="9.5703125" style="799" bestFit="1" customWidth="1"/>
    <col min="5121" max="5121" width="2.85546875" style="799" customWidth="1"/>
    <col min="5122" max="5122" width="68.7109375" style="799" customWidth="1"/>
    <col min="5123" max="5124" width="15.7109375" style="799" customWidth="1"/>
    <col min="5125" max="5125" width="15.5703125" style="799" bestFit="1" customWidth="1"/>
    <col min="5126" max="5126" width="11.7109375" style="799" customWidth="1"/>
    <col min="5127" max="5127" width="13.140625" style="799" customWidth="1"/>
    <col min="5128" max="5128" width="17" style="799" customWidth="1"/>
    <col min="5129" max="5129" width="15.42578125" style="799" customWidth="1"/>
    <col min="5130" max="5130" width="11.140625" style="799" customWidth="1"/>
    <col min="5131" max="5131" width="16.7109375" style="799" customWidth="1"/>
    <col min="5132" max="5132" width="11.7109375" style="799" bestFit="1" customWidth="1"/>
    <col min="5133" max="5374" width="9.140625" style="799"/>
    <col min="5375" max="5375" width="21" style="799" bestFit="1" customWidth="1"/>
    <col min="5376" max="5376" width="9.5703125" style="799" bestFit="1" customWidth="1"/>
    <col min="5377" max="5377" width="2.85546875" style="799" customWidth="1"/>
    <col min="5378" max="5378" width="68.7109375" style="799" customWidth="1"/>
    <col min="5379" max="5380" width="15.7109375" style="799" customWidth="1"/>
    <col min="5381" max="5381" width="15.5703125" style="799" bestFit="1" customWidth="1"/>
    <col min="5382" max="5382" width="11.7109375" style="799" customWidth="1"/>
    <col min="5383" max="5383" width="13.140625" style="799" customWidth="1"/>
    <col min="5384" max="5384" width="17" style="799" customWidth="1"/>
    <col min="5385" max="5385" width="15.42578125" style="799" customWidth="1"/>
    <col min="5386" max="5386" width="11.140625" style="799" customWidth="1"/>
    <col min="5387" max="5387" width="16.7109375" style="799" customWidth="1"/>
    <col min="5388" max="5388" width="11.7109375" style="799" bestFit="1" customWidth="1"/>
    <col min="5389" max="5630" width="9.140625" style="799"/>
    <col min="5631" max="5631" width="21" style="799" bestFit="1" customWidth="1"/>
    <col min="5632" max="5632" width="9.5703125" style="799" bestFit="1" customWidth="1"/>
    <col min="5633" max="5633" width="2.85546875" style="799" customWidth="1"/>
    <col min="5634" max="5634" width="68.7109375" style="799" customWidth="1"/>
    <col min="5635" max="5636" width="15.7109375" style="799" customWidth="1"/>
    <col min="5637" max="5637" width="15.5703125" style="799" bestFit="1" customWidth="1"/>
    <col min="5638" max="5638" width="11.7109375" style="799" customWidth="1"/>
    <col min="5639" max="5639" width="13.140625" style="799" customWidth="1"/>
    <col min="5640" max="5640" width="17" style="799" customWidth="1"/>
    <col min="5641" max="5641" width="15.42578125" style="799" customWidth="1"/>
    <col min="5642" max="5642" width="11.140625" style="799" customWidth="1"/>
    <col min="5643" max="5643" width="16.7109375" style="799" customWidth="1"/>
    <col min="5644" max="5644" width="11.7109375" style="799" bestFit="1" customWidth="1"/>
    <col min="5645" max="5886" width="9.140625" style="799"/>
    <col min="5887" max="5887" width="21" style="799" bestFit="1" customWidth="1"/>
    <col min="5888" max="5888" width="9.5703125" style="799" bestFit="1" customWidth="1"/>
    <col min="5889" max="5889" width="2.85546875" style="799" customWidth="1"/>
    <col min="5890" max="5890" width="68.7109375" style="799" customWidth="1"/>
    <col min="5891" max="5892" width="15.7109375" style="799" customWidth="1"/>
    <col min="5893" max="5893" width="15.5703125" style="799" bestFit="1" customWidth="1"/>
    <col min="5894" max="5894" width="11.7109375" style="799" customWidth="1"/>
    <col min="5895" max="5895" width="13.140625" style="799" customWidth="1"/>
    <col min="5896" max="5896" width="17" style="799" customWidth="1"/>
    <col min="5897" max="5897" width="15.42578125" style="799" customWidth="1"/>
    <col min="5898" max="5898" width="11.140625" style="799" customWidth="1"/>
    <col min="5899" max="5899" width="16.7109375" style="799" customWidth="1"/>
    <col min="5900" max="5900" width="11.7109375" style="799" bestFit="1" customWidth="1"/>
    <col min="5901" max="6142" width="9.140625" style="799"/>
    <col min="6143" max="6143" width="21" style="799" bestFit="1" customWidth="1"/>
    <col min="6144" max="6144" width="9.5703125" style="799" bestFit="1" customWidth="1"/>
    <col min="6145" max="6145" width="2.85546875" style="799" customWidth="1"/>
    <col min="6146" max="6146" width="68.7109375" style="799" customWidth="1"/>
    <col min="6147" max="6148" width="15.7109375" style="799" customWidth="1"/>
    <col min="6149" max="6149" width="15.5703125" style="799" bestFit="1" customWidth="1"/>
    <col min="6150" max="6150" width="11.7109375" style="799" customWidth="1"/>
    <col min="6151" max="6151" width="13.140625" style="799" customWidth="1"/>
    <col min="6152" max="6152" width="17" style="799" customWidth="1"/>
    <col min="6153" max="6153" width="15.42578125" style="799" customWidth="1"/>
    <col min="6154" max="6154" width="11.140625" style="799" customWidth="1"/>
    <col min="6155" max="6155" width="16.7109375" style="799" customWidth="1"/>
    <col min="6156" max="6156" width="11.7109375" style="799" bestFit="1" customWidth="1"/>
    <col min="6157" max="6398" width="9.140625" style="799"/>
    <col min="6399" max="6399" width="21" style="799" bestFit="1" customWidth="1"/>
    <col min="6400" max="6400" width="9.5703125" style="799" bestFit="1" customWidth="1"/>
    <col min="6401" max="6401" width="2.85546875" style="799" customWidth="1"/>
    <col min="6402" max="6402" width="68.7109375" style="799" customWidth="1"/>
    <col min="6403" max="6404" width="15.7109375" style="799" customWidth="1"/>
    <col min="6405" max="6405" width="15.5703125" style="799" bestFit="1" customWidth="1"/>
    <col min="6406" max="6406" width="11.7109375" style="799" customWidth="1"/>
    <col min="6407" max="6407" width="13.140625" style="799" customWidth="1"/>
    <col min="6408" max="6408" width="17" style="799" customWidth="1"/>
    <col min="6409" max="6409" width="15.42578125" style="799" customWidth="1"/>
    <col min="6410" max="6410" width="11.140625" style="799" customWidth="1"/>
    <col min="6411" max="6411" width="16.7109375" style="799" customWidth="1"/>
    <col min="6412" max="6412" width="11.7109375" style="799" bestFit="1" customWidth="1"/>
    <col min="6413" max="6654" width="9.140625" style="799"/>
    <col min="6655" max="6655" width="21" style="799" bestFit="1" customWidth="1"/>
    <col min="6656" max="6656" width="9.5703125" style="799" bestFit="1" customWidth="1"/>
    <col min="6657" max="6657" width="2.85546875" style="799" customWidth="1"/>
    <col min="6658" max="6658" width="68.7109375" style="799" customWidth="1"/>
    <col min="6659" max="6660" width="15.7109375" style="799" customWidth="1"/>
    <col min="6661" max="6661" width="15.5703125" style="799" bestFit="1" customWidth="1"/>
    <col min="6662" max="6662" width="11.7109375" style="799" customWidth="1"/>
    <col min="6663" max="6663" width="13.140625" style="799" customWidth="1"/>
    <col min="6664" max="6664" width="17" style="799" customWidth="1"/>
    <col min="6665" max="6665" width="15.42578125" style="799" customWidth="1"/>
    <col min="6666" max="6666" width="11.140625" style="799" customWidth="1"/>
    <col min="6667" max="6667" width="16.7109375" style="799" customWidth="1"/>
    <col min="6668" max="6668" width="11.7109375" style="799" bestFit="1" customWidth="1"/>
    <col min="6669" max="6910" width="9.140625" style="799"/>
    <col min="6911" max="6911" width="21" style="799" bestFit="1" customWidth="1"/>
    <col min="6912" max="6912" width="9.5703125" style="799" bestFit="1" customWidth="1"/>
    <col min="6913" max="6913" width="2.85546875" style="799" customWidth="1"/>
    <col min="6914" max="6914" width="68.7109375" style="799" customWidth="1"/>
    <col min="6915" max="6916" width="15.7109375" style="799" customWidth="1"/>
    <col min="6917" max="6917" width="15.5703125" style="799" bestFit="1" customWidth="1"/>
    <col min="6918" max="6918" width="11.7109375" style="799" customWidth="1"/>
    <col min="6919" max="6919" width="13.140625" style="799" customWidth="1"/>
    <col min="6920" max="6920" width="17" style="799" customWidth="1"/>
    <col min="6921" max="6921" width="15.42578125" style="799" customWidth="1"/>
    <col min="6922" max="6922" width="11.140625" style="799" customWidth="1"/>
    <col min="6923" max="6923" width="16.7109375" style="799" customWidth="1"/>
    <col min="6924" max="6924" width="11.7109375" style="799" bestFit="1" customWidth="1"/>
    <col min="6925" max="7166" width="9.140625" style="799"/>
    <col min="7167" max="7167" width="21" style="799" bestFit="1" customWidth="1"/>
    <col min="7168" max="7168" width="9.5703125" style="799" bestFit="1" customWidth="1"/>
    <col min="7169" max="7169" width="2.85546875" style="799" customWidth="1"/>
    <col min="7170" max="7170" width="68.7109375" style="799" customWidth="1"/>
    <col min="7171" max="7172" width="15.7109375" style="799" customWidth="1"/>
    <col min="7173" max="7173" width="15.5703125" style="799" bestFit="1" customWidth="1"/>
    <col min="7174" max="7174" width="11.7109375" style="799" customWidth="1"/>
    <col min="7175" max="7175" width="13.140625" style="799" customWidth="1"/>
    <col min="7176" max="7176" width="17" style="799" customWidth="1"/>
    <col min="7177" max="7177" width="15.42578125" style="799" customWidth="1"/>
    <col min="7178" max="7178" width="11.140625" style="799" customWidth="1"/>
    <col min="7179" max="7179" width="16.7109375" style="799" customWidth="1"/>
    <col min="7180" max="7180" width="11.7109375" style="799" bestFit="1" customWidth="1"/>
    <col min="7181" max="7422" width="9.140625" style="799"/>
    <col min="7423" max="7423" width="21" style="799" bestFit="1" customWidth="1"/>
    <col min="7424" max="7424" width="9.5703125" style="799" bestFit="1" customWidth="1"/>
    <col min="7425" max="7425" width="2.85546875" style="799" customWidth="1"/>
    <col min="7426" max="7426" width="68.7109375" style="799" customWidth="1"/>
    <col min="7427" max="7428" width="15.7109375" style="799" customWidth="1"/>
    <col min="7429" max="7429" width="15.5703125" style="799" bestFit="1" customWidth="1"/>
    <col min="7430" max="7430" width="11.7109375" style="799" customWidth="1"/>
    <col min="7431" max="7431" width="13.140625" style="799" customWidth="1"/>
    <col min="7432" max="7432" width="17" style="799" customWidth="1"/>
    <col min="7433" max="7433" width="15.42578125" style="799" customWidth="1"/>
    <col min="7434" max="7434" width="11.140625" style="799" customWidth="1"/>
    <col min="7435" max="7435" width="16.7109375" style="799" customWidth="1"/>
    <col min="7436" max="7436" width="11.7109375" style="799" bestFit="1" customWidth="1"/>
    <col min="7437" max="7678" width="9.140625" style="799"/>
    <col min="7679" max="7679" width="21" style="799" bestFit="1" customWidth="1"/>
    <col min="7680" max="7680" width="9.5703125" style="799" bestFit="1" customWidth="1"/>
    <col min="7681" max="7681" width="2.85546875" style="799" customWidth="1"/>
    <col min="7682" max="7682" width="68.7109375" style="799" customWidth="1"/>
    <col min="7683" max="7684" width="15.7109375" style="799" customWidth="1"/>
    <col min="7685" max="7685" width="15.5703125" style="799" bestFit="1" customWidth="1"/>
    <col min="7686" max="7686" width="11.7109375" style="799" customWidth="1"/>
    <col min="7687" max="7687" width="13.140625" style="799" customWidth="1"/>
    <col min="7688" max="7688" width="17" style="799" customWidth="1"/>
    <col min="7689" max="7689" width="15.42578125" style="799" customWidth="1"/>
    <col min="7690" max="7690" width="11.140625" style="799" customWidth="1"/>
    <col min="7691" max="7691" width="16.7109375" style="799" customWidth="1"/>
    <col min="7692" max="7692" width="11.7109375" style="799" bestFit="1" customWidth="1"/>
    <col min="7693" max="7934" width="9.140625" style="799"/>
    <col min="7935" max="7935" width="21" style="799" bestFit="1" customWidth="1"/>
    <col min="7936" max="7936" width="9.5703125" style="799" bestFit="1" customWidth="1"/>
    <col min="7937" max="7937" width="2.85546875" style="799" customWidth="1"/>
    <col min="7938" max="7938" width="68.7109375" style="799" customWidth="1"/>
    <col min="7939" max="7940" width="15.7109375" style="799" customWidth="1"/>
    <col min="7941" max="7941" width="15.5703125" style="799" bestFit="1" customWidth="1"/>
    <col min="7942" max="7942" width="11.7109375" style="799" customWidth="1"/>
    <col min="7943" max="7943" width="13.140625" style="799" customWidth="1"/>
    <col min="7944" max="7944" width="17" style="799" customWidth="1"/>
    <col min="7945" max="7945" width="15.42578125" style="799" customWidth="1"/>
    <col min="7946" max="7946" width="11.140625" style="799" customWidth="1"/>
    <col min="7947" max="7947" width="16.7109375" style="799" customWidth="1"/>
    <col min="7948" max="7948" width="11.7109375" style="799" bestFit="1" customWidth="1"/>
    <col min="7949" max="8190" width="9.140625" style="799"/>
    <col min="8191" max="8191" width="21" style="799" bestFit="1" customWidth="1"/>
    <col min="8192" max="8192" width="9.5703125" style="799" bestFit="1" customWidth="1"/>
    <col min="8193" max="8193" width="2.85546875" style="799" customWidth="1"/>
    <col min="8194" max="8194" width="68.7109375" style="799" customWidth="1"/>
    <col min="8195" max="8196" width="15.7109375" style="799" customWidth="1"/>
    <col min="8197" max="8197" width="15.5703125" style="799" bestFit="1" customWidth="1"/>
    <col min="8198" max="8198" width="11.7109375" style="799" customWidth="1"/>
    <col min="8199" max="8199" width="13.140625" style="799" customWidth="1"/>
    <col min="8200" max="8200" width="17" style="799" customWidth="1"/>
    <col min="8201" max="8201" width="15.42578125" style="799" customWidth="1"/>
    <col min="8202" max="8202" width="11.140625" style="799" customWidth="1"/>
    <col min="8203" max="8203" width="16.7109375" style="799" customWidth="1"/>
    <col min="8204" max="8204" width="11.7109375" style="799" bestFit="1" customWidth="1"/>
    <col min="8205" max="8446" width="9.140625" style="799"/>
    <col min="8447" max="8447" width="21" style="799" bestFit="1" customWidth="1"/>
    <col min="8448" max="8448" width="9.5703125" style="799" bestFit="1" customWidth="1"/>
    <col min="8449" max="8449" width="2.85546875" style="799" customWidth="1"/>
    <col min="8450" max="8450" width="68.7109375" style="799" customWidth="1"/>
    <col min="8451" max="8452" width="15.7109375" style="799" customWidth="1"/>
    <col min="8453" max="8453" width="15.5703125" style="799" bestFit="1" customWidth="1"/>
    <col min="8454" max="8454" width="11.7109375" style="799" customWidth="1"/>
    <col min="8455" max="8455" width="13.140625" style="799" customWidth="1"/>
    <col min="8456" max="8456" width="17" style="799" customWidth="1"/>
    <col min="8457" max="8457" width="15.42578125" style="799" customWidth="1"/>
    <col min="8458" max="8458" width="11.140625" style="799" customWidth="1"/>
    <col min="8459" max="8459" width="16.7109375" style="799" customWidth="1"/>
    <col min="8460" max="8460" width="11.7109375" style="799" bestFit="1" customWidth="1"/>
    <col min="8461" max="8702" width="9.140625" style="799"/>
    <col min="8703" max="8703" width="21" style="799" bestFit="1" customWidth="1"/>
    <col min="8704" max="8704" width="9.5703125" style="799" bestFit="1" customWidth="1"/>
    <col min="8705" max="8705" width="2.85546875" style="799" customWidth="1"/>
    <col min="8706" max="8706" width="68.7109375" style="799" customWidth="1"/>
    <col min="8707" max="8708" width="15.7109375" style="799" customWidth="1"/>
    <col min="8709" max="8709" width="15.5703125" style="799" bestFit="1" customWidth="1"/>
    <col min="8710" max="8710" width="11.7109375" style="799" customWidth="1"/>
    <col min="8711" max="8711" width="13.140625" style="799" customWidth="1"/>
    <col min="8712" max="8712" width="17" style="799" customWidth="1"/>
    <col min="8713" max="8713" width="15.42578125" style="799" customWidth="1"/>
    <col min="8714" max="8714" width="11.140625" style="799" customWidth="1"/>
    <col min="8715" max="8715" width="16.7109375" style="799" customWidth="1"/>
    <col min="8716" max="8716" width="11.7109375" style="799" bestFit="1" customWidth="1"/>
    <col min="8717" max="8958" width="9.140625" style="799"/>
    <col min="8959" max="8959" width="21" style="799" bestFit="1" customWidth="1"/>
    <col min="8960" max="8960" width="9.5703125" style="799" bestFit="1" customWidth="1"/>
    <col min="8961" max="8961" width="2.85546875" style="799" customWidth="1"/>
    <col min="8962" max="8962" width="68.7109375" style="799" customWidth="1"/>
    <col min="8963" max="8964" width="15.7109375" style="799" customWidth="1"/>
    <col min="8965" max="8965" width="15.5703125" style="799" bestFit="1" customWidth="1"/>
    <col min="8966" max="8966" width="11.7109375" style="799" customWidth="1"/>
    <col min="8967" max="8967" width="13.140625" style="799" customWidth="1"/>
    <col min="8968" max="8968" width="17" style="799" customWidth="1"/>
    <col min="8969" max="8969" width="15.42578125" style="799" customWidth="1"/>
    <col min="8970" max="8970" width="11.140625" style="799" customWidth="1"/>
    <col min="8971" max="8971" width="16.7109375" style="799" customWidth="1"/>
    <col min="8972" max="8972" width="11.7109375" style="799" bestFit="1" customWidth="1"/>
    <col min="8973" max="9214" width="9.140625" style="799"/>
    <col min="9215" max="9215" width="21" style="799" bestFit="1" customWidth="1"/>
    <col min="9216" max="9216" width="9.5703125" style="799" bestFit="1" customWidth="1"/>
    <col min="9217" max="9217" width="2.85546875" style="799" customWidth="1"/>
    <col min="9218" max="9218" width="68.7109375" style="799" customWidth="1"/>
    <col min="9219" max="9220" width="15.7109375" style="799" customWidth="1"/>
    <col min="9221" max="9221" width="15.5703125" style="799" bestFit="1" customWidth="1"/>
    <col min="9222" max="9222" width="11.7109375" style="799" customWidth="1"/>
    <col min="9223" max="9223" width="13.140625" style="799" customWidth="1"/>
    <col min="9224" max="9224" width="17" style="799" customWidth="1"/>
    <col min="9225" max="9225" width="15.42578125" style="799" customWidth="1"/>
    <col min="9226" max="9226" width="11.140625" style="799" customWidth="1"/>
    <col min="9227" max="9227" width="16.7109375" style="799" customWidth="1"/>
    <col min="9228" max="9228" width="11.7109375" style="799" bestFit="1" customWidth="1"/>
    <col min="9229" max="9470" width="9.140625" style="799"/>
    <col min="9471" max="9471" width="21" style="799" bestFit="1" customWidth="1"/>
    <col min="9472" max="9472" width="9.5703125" style="799" bestFit="1" customWidth="1"/>
    <col min="9473" max="9473" width="2.85546875" style="799" customWidth="1"/>
    <col min="9474" max="9474" width="68.7109375" style="799" customWidth="1"/>
    <col min="9475" max="9476" width="15.7109375" style="799" customWidth="1"/>
    <col min="9477" max="9477" width="15.5703125" style="799" bestFit="1" customWidth="1"/>
    <col min="9478" max="9478" width="11.7109375" style="799" customWidth="1"/>
    <col min="9479" max="9479" width="13.140625" style="799" customWidth="1"/>
    <col min="9480" max="9480" width="17" style="799" customWidth="1"/>
    <col min="9481" max="9481" width="15.42578125" style="799" customWidth="1"/>
    <col min="9482" max="9482" width="11.140625" style="799" customWidth="1"/>
    <col min="9483" max="9483" width="16.7109375" style="799" customWidth="1"/>
    <col min="9484" max="9484" width="11.7109375" style="799" bestFit="1" customWidth="1"/>
    <col min="9485" max="9726" width="9.140625" style="799"/>
    <col min="9727" max="9727" width="21" style="799" bestFit="1" customWidth="1"/>
    <col min="9728" max="9728" width="9.5703125" style="799" bestFit="1" customWidth="1"/>
    <col min="9729" max="9729" width="2.85546875" style="799" customWidth="1"/>
    <col min="9730" max="9730" width="68.7109375" style="799" customWidth="1"/>
    <col min="9731" max="9732" width="15.7109375" style="799" customWidth="1"/>
    <col min="9733" max="9733" width="15.5703125" style="799" bestFit="1" customWidth="1"/>
    <col min="9734" max="9734" width="11.7109375" style="799" customWidth="1"/>
    <col min="9735" max="9735" width="13.140625" style="799" customWidth="1"/>
    <col min="9736" max="9736" width="17" style="799" customWidth="1"/>
    <col min="9737" max="9737" width="15.42578125" style="799" customWidth="1"/>
    <col min="9738" max="9738" width="11.140625" style="799" customWidth="1"/>
    <col min="9739" max="9739" width="16.7109375" style="799" customWidth="1"/>
    <col min="9740" max="9740" width="11.7109375" style="799" bestFit="1" customWidth="1"/>
    <col min="9741" max="9982" width="9.140625" style="799"/>
    <col min="9983" max="9983" width="21" style="799" bestFit="1" customWidth="1"/>
    <col min="9984" max="9984" width="9.5703125" style="799" bestFit="1" customWidth="1"/>
    <col min="9985" max="9985" width="2.85546875" style="799" customWidth="1"/>
    <col min="9986" max="9986" width="68.7109375" style="799" customWidth="1"/>
    <col min="9987" max="9988" width="15.7109375" style="799" customWidth="1"/>
    <col min="9989" max="9989" width="15.5703125" style="799" bestFit="1" customWidth="1"/>
    <col min="9990" max="9990" width="11.7109375" style="799" customWidth="1"/>
    <col min="9991" max="9991" width="13.140625" style="799" customWidth="1"/>
    <col min="9992" max="9992" width="17" style="799" customWidth="1"/>
    <col min="9993" max="9993" width="15.42578125" style="799" customWidth="1"/>
    <col min="9994" max="9994" width="11.140625" style="799" customWidth="1"/>
    <col min="9995" max="9995" width="16.7109375" style="799" customWidth="1"/>
    <col min="9996" max="9996" width="11.7109375" style="799" bestFit="1" customWidth="1"/>
    <col min="9997" max="10238" width="9.140625" style="799"/>
    <col min="10239" max="10239" width="21" style="799" bestFit="1" customWidth="1"/>
    <col min="10240" max="10240" width="9.5703125" style="799" bestFit="1" customWidth="1"/>
    <col min="10241" max="10241" width="2.85546875" style="799" customWidth="1"/>
    <col min="10242" max="10242" width="68.7109375" style="799" customWidth="1"/>
    <col min="10243" max="10244" width="15.7109375" style="799" customWidth="1"/>
    <col min="10245" max="10245" width="15.5703125" style="799" bestFit="1" customWidth="1"/>
    <col min="10246" max="10246" width="11.7109375" style="799" customWidth="1"/>
    <col min="10247" max="10247" width="13.140625" style="799" customWidth="1"/>
    <col min="10248" max="10248" width="17" style="799" customWidth="1"/>
    <col min="10249" max="10249" width="15.42578125" style="799" customWidth="1"/>
    <col min="10250" max="10250" width="11.140625" style="799" customWidth="1"/>
    <col min="10251" max="10251" width="16.7109375" style="799" customWidth="1"/>
    <col min="10252" max="10252" width="11.7109375" style="799" bestFit="1" customWidth="1"/>
    <col min="10253" max="10494" width="9.140625" style="799"/>
    <col min="10495" max="10495" width="21" style="799" bestFit="1" customWidth="1"/>
    <col min="10496" max="10496" width="9.5703125" style="799" bestFit="1" customWidth="1"/>
    <col min="10497" max="10497" width="2.85546875" style="799" customWidth="1"/>
    <col min="10498" max="10498" width="68.7109375" style="799" customWidth="1"/>
    <col min="10499" max="10500" width="15.7109375" style="799" customWidth="1"/>
    <col min="10501" max="10501" width="15.5703125" style="799" bestFit="1" customWidth="1"/>
    <col min="10502" max="10502" width="11.7109375" style="799" customWidth="1"/>
    <col min="10503" max="10503" width="13.140625" style="799" customWidth="1"/>
    <col min="10504" max="10504" width="17" style="799" customWidth="1"/>
    <col min="10505" max="10505" width="15.42578125" style="799" customWidth="1"/>
    <col min="10506" max="10506" width="11.140625" style="799" customWidth="1"/>
    <col min="10507" max="10507" width="16.7109375" style="799" customWidth="1"/>
    <col min="10508" max="10508" width="11.7109375" style="799" bestFit="1" customWidth="1"/>
    <col min="10509" max="10750" width="9.140625" style="799"/>
    <col min="10751" max="10751" width="21" style="799" bestFit="1" customWidth="1"/>
    <col min="10752" max="10752" width="9.5703125" style="799" bestFit="1" customWidth="1"/>
    <col min="10753" max="10753" width="2.85546875" style="799" customWidth="1"/>
    <col min="10754" max="10754" width="68.7109375" style="799" customWidth="1"/>
    <col min="10755" max="10756" width="15.7109375" style="799" customWidth="1"/>
    <col min="10757" max="10757" width="15.5703125" style="799" bestFit="1" customWidth="1"/>
    <col min="10758" max="10758" width="11.7109375" style="799" customWidth="1"/>
    <col min="10759" max="10759" width="13.140625" style="799" customWidth="1"/>
    <col min="10760" max="10760" width="17" style="799" customWidth="1"/>
    <col min="10761" max="10761" width="15.42578125" style="799" customWidth="1"/>
    <col min="10762" max="10762" width="11.140625" style="799" customWidth="1"/>
    <col min="10763" max="10763" width="16.7109375" style="799" customWidth="1"/>
    <col min="10764" max="10764" width="11.7109375" style="799" bestFit="1" customWidth="1"/>
    <col min="10765" max="11006" width="9.140625" style="799"/>
    <col min="11007" max="11007" width="21" style="799" bestFit="1" customWidth="1"/>
    <col min="11008" max="11008" width="9.5703125" style="799" bestFit="1" customWidth="1"/>
    <col min="11009" max="11009" width="2.85546875" style="799" customWidth="1"/>
    <col min="11010" max="11010" width="68.7109375" style="799" customWidth="1"/>
    <col min="11011" max="11012" width="15.7109375" style="799" customWidth="1"/>
    <col min="11013" max="11013" width="15.5703125" style="799" bestFit="1" customWidth="1"/>
    <col min="11014" max="11014" width="11.7109375" style="799" customWidth="1"/>
    <col min="11015" max="11015" width="13.140625" style="799" customWidth="1"/>
    <col min="11016" max="11016" width="17" style="799" customWidth="1"/>
    <col min="11017" max="11017" width="15.42578125" style="799" customWidth="1"/>
    <col min="11018" max="11018" width="11.140625" style="799" customWidth="1"/>
    <col min="11019" max="11019" width="16.7109375" style="799" customWidth="1"/>
    <col min="11020" max="11020" width="11.7109375" style="799" bestFit="1" customWidth="1"/>
    <col min="11021" max="11262" width="9.140625" style="799"/>
    <col min="11263" max="11263" width="21" style="799" bestFit="1" customWidth="1"/>
    <col min="11264" max="11264" width="9.5703125" style="799" bestFit="1" customWidth="1"/>
    <col min="11265" max="11265" width="2.85546875" style="799" customWidth="1"/>
    <col min="11266" max="11266" width="68.7109375" style="799" customWidth="1"/>
    <col min="11267" max="11268" width="15.7109375" style="799" customWidth="1"/>
    <col min="11269" max="11269" width="15.5703125" style="799" bestFit="1" customWidth="1"/>
    <col min="11270" max="11270" width="11.7109375" style="799" customWidth="1"/>
    <col min="11271" max="11271" width="13.140625" style="799" customWidth="1"/>
    <col min="11272" max="11272" width="17" style="799" customWidth="1"/>
    <col min="11273" max="11273" width="15.42578125" style="799" customWidth="1"/>
    <col min="11274" max="11274" width="11.140625" style="799" customWidth="1"/>
    <col min="11275" max="11275" width="16.7109375" style="799" customWidth="1"/>
    <col min="11276" max="11276" width="11.7109375" style="799" bestFit="1" customWidth="1"/>
    <col min="11277" max="11518" width="9.140625" style="799"/>
    <col min="11519" max="11519" width="21" style="799" bestFit="1" customWidth="1"/>
    <col min="11520" max="11520" width="9.5703125" style="799" bestFit="1" customWidth="1"/>
    <col min="11521" max="11521" width="2.85546875" style="799" customWidth="1"/>
    <col min="11522" max="11522" width="68.7109375" style="799" customWidth="1"/>
    <col min="11523" max="11524" width="15.7109375" style="799" customWidth="1"/>
    <col min="11525" max="11525" width="15.5703125" style="799" bestFit="1" customWidth="1"/>
    <col min="11526" max="11526" width="11.7109375" style="799" customWidth="1"/>
    <col min="11527" max="11527" width="13.140625" style="799" customWidth="1"/>
    <col min="11528" max="11528" width="17" style="799" customWidth="1"/>
    <col min="11529" max="11529" width="15.42578125" style="799" customWidth="1"/>
    <col min="11530" max="11530" width="11.140625" style="799" customWidth="1"/>
    <col min="11531" max="11531" width="16.7109375" style="799" customWidth="1"/>
    <col min="11532" max="11532" width="11.7109375" style="799" bestFit="1" customWidth="1"/>
    <col min="11533" max="11774" width="9.140625" style="799"/>
    <col min="11775" max="11775" width="21" style="799" bestFit="1" customWidth="1"/>
    <col min="11776" max="11776" width="9.5703125" style="799" bestFit="1" customWidth="1"/>
    <col min="11777" max="11777" width="2.85546875" style="799" customWidth="1"/>
    <col min="11778" max="11778" width="68.7109375" style="799" customWidth="1"/>
    <col min="11779" max="11780" width="15.7109375" style="799" customWidth="1"/>
    <col min="11781" max="11781" width="15.5703125" style="799" bestFit="1" customWidth="1"/>
    <col min="11782" max="11782" width="11.7109375" style="799" customWidth="1"/>
    <col min="11783" max="11783" width="13.140625" style="799" customWidth="1"/>
    <col min="11784" max="11784" width="17" style="799" customWidth="1"/>
    <col min="11785" max="11785" width="15.42578125" style="799" customWidth="1"/>
    <col min="11786" max="11786" width="11.140625" style="799" customWidth="1"/>
    <col min="11787" max="11787" width="16.7109375" style="799" customWidth="1"/>
    <col min="11788" max="11788" width="11.7109375" style="799" bestFit="1" customWidth="1"/>
    <col min="11789" max="12030" width="9.140625" style="799"/>
    <col min="12031" max="12031" width="21" style="799" bestFit="1" customWidth="1"/>
    <col min="12032" max="12032" width="9.5703125" style="799" bestFit="1" customWidth="1"/>
    <col min="12033" max="12033" width="2.85546875" style="799" customWidth="1"/>
    <col min="12034" max="12034" width="68.7109375" style="799" customWidth="1"/>
    <col min="12035" max="12036" width="15.7109375" style="799" customWidth="1"/>
    <col min="12037" max="12037" width="15.5703125" style="799" bestFit="1" customWidth="1"/>
    <col min="12038" max="12038" width="11.7109375" style="799" customWidth="1"/>
    <col min="12039" max="12039" width="13.140625" style="799" customWidth="1"/>
    <col min="12040" max="12040" width="17" style="799" customWidth="1"/>
    <col min="12041" max="12041" width="15.42578125" style="799" customWidth="1"/>
    <col min="12042" max="12042" width="11.140625" style="799" customWidth="1"/>
    <col min="12043" max="12043" width="16.7109375" style="799" customWidth="1"/>
    <col min="12044" max="12044" width="11.7109375" style="799" bestFit="1" customWidth="1"/>
    <col min="12045" max="12286" width="9.140625" style="799"/>
    <col min="12287" max="12287" width="21" style="799" bestFit="1" customWidth="1"/>
    <col min="12288" max="12288" width="9.5703125" style="799" bestFit="1" customWidth="1"/>
    <col min="12289" max="12289" width="2.85546875" style="799" customWidth="1"/>
    <col min="12290" max="12290" width="68.7109375" style="799" customWidth="1"/>
    <col min="12291" max="12292" width="15.7109375" style="799" customWidth="1"/>
    <col min="12293" max="12293" width="15.5703125" style="799" bestFit="1" customWidth="1"/>
    <col min="12294" max="12294" width="11.7109375" style="799" customWidth="1"/>
    <col min="12295" max="12295" width="13.140625" style="799" customWidth="1"/>
    <col min="12296" max="12296" width="17" style="799" customWidth="1"/>
    <col min="12297" max="12297" width="15.42578125" style="799" customWidth="1"/>
    <col min="12298" max="12298" width="11.140625" style="799" customWidth="1"/>
    <col min="12299" max="12299" width="16.7109375" style="799" customWidth="1"/>
    <col min="12300" max="12300" width="11.7109375" style="799" bestFit="1" customWidth="1"/>
    <col min="12301" max="12542" width="9.140625" style="799"/>
    <col min="12543" max="12543" width="21" style="799" bestFit="1" customWidth="1"/>
    <col min="12544" max="12544" width="9.5703125" style="799" bestFit="1" customWidth="1"/>
    <col min="12545" max="12545" width="2.85546875" style="799" customWidth="1"/>
    <col min="12546" max="12546" width="68.7109375" style="799" customWidth="1"/>
    <col min="12547" max="12548" width="15.7109375" style="799" customWidth="1"/>
    <col min="12549" max="12549" width="15.5703125" style="799" bestFit="1" customWidth="1"/>
    <col min="12550" max="12550" width="11.7109375" style="799" customWidth="1"/>
    <col min="12551" max="12551" width="13.140625" style="799" customWidth="1"/>
    <col min="12552" max="12552" width="17" style="799" customWidth="1"/>
    <col min="12553" max="12553" width="15.42578125" style="799" customWidth="1"/>
    <col min="12554" max="12554" width="11.140625" style="799" customWidth="1"/>
    <col min="12555" max="12555" width="16.7109375" style="799" customWidth="1"/>
    <col min="12556" max="12556" width="11.7109375" style="799" bestFit="1" customWidth="1"/>
    <col min="12557" max="12798" width="9.140625" style="799"/>
    <col min="12799" max="12799" width="21" style="799" bestFit="1" customWidth="1"/>
    <col min="12800" max="12800" width="9.5703125" style="799" bestFit="1" customWidth="1"/>
    <col min="12801" max="12801" width="2.85546875" style="799" customWidth="1"/>
    <col min="12802" max="12802" width="68.7109375" style="799" customWidth="1"/>
    <col min="12803" max="12804" width="15.7109375" style="799" customWidth="1"/>
    <col min="12805" max="12805" width="15.5703125" style="799" bestFit="1" customWidth="1"/>
    <col min="12806" max="12806" width="11.7109375" style="799" customWidth="1"/>
    <col min="12807" max="12807" width="13.140625" style="799" customWidth="1"/>
    <col min="12808" max="12808" width="17" style="799" customWidth="1"/>
    <col min="12809" max="12809" width="15.42578125" style="799" customWidth="1"/>
    <col min="12810" max="12810" width="11.140625" style="799" customWidth="1"/>
    <col min="12811" max="12811" width="16.7109375" style="799" customWidth="1"/>
    <col min="12812" max="12812" width="11.7109375" style="799" bestFit="1" customWidth="1"/>
    <col min="12813" max="13054" width="9.140625" style="799"/>
    <col min="13055" max="13055" width="21" style="799" bestFit="1" customWidth="1"/>
    <col min="13056" max="13056" width="9.5703125" style="799" bestFit="1" customWidth="1"/>
    <col min="13057" max="13057" width="2.85546875" style="799" customWidth="1"/>
    <col min="13058" max="13058" width="68.7109375" style="799" customWidth="1"/>
    <col min="13059" max="13060" width="15.7109375" style="799" customWidth="1"/>
    <col min="13061" max="13061" width="15.5703125" style="799" bestFit="1" customWidth="1"/>
    <col min="13062" max="13062" width="11.7109375" style="799" customWidth="1"/>
    <col min="13063" max="13063" width="13.140625" style="799" customWidth="1"/>
    <col min="13064" max="13064" width="17" style="799" customWidth="1"/>
    <col min="13065" max="13065" width="15.42578125" style="799" customWidth="1"/>
    <col min="13066" max="13066" width="11.140625" style="799" customWidth="1"/>
    <col min="13067" max="13067" width="16.7109375" style="799" customWidth="1"/>
    <col min="13068" max="13068" width="11.7109375" style="799" bestFit="1" customWidth="1"/>
    <col min="13069" max="13310" width="9.140625" style="799"/>
    <col min="13311" max="13311" width="21" style="799" bestFit="1" customWidth="1"/>
    <col min="13312" max="13312" width="9.5703125" style="799" bestFit="1" customWidth="1"/>
    <col min="13313" max="13313" width="2.85546875" style="799" customWidth="1"/>
    <col min="13314" max="13314" width="68.7109375" style="799" customWidth="1"/>
    <col min="13315" max="13316" width="15.7109375" style="799" customWidth="1"/>
    <col min="13317" max="13317" width="15.5703125" style="799" bestFit="1" customWidth="1"/>
    <col min="13318" max="13318" width="11.7109375" style="799" customWidth="1"/>
    <col min="13319" max="13319" width="13.140625" style="799" customWidth="1"/>
    <col min="13320" max="13320" width="17" style="799" customWidth="1"/>
    <col min="13321" max="13321" width="15.42578125" style="799" customWidth="1"/>
    <col min="13322" max="13322" width="11.140625" style="799" customWidth="1"/>
    <col min="13323" max="13323" width="16.7109375" style="799" customWidth="1"/>
    <col min="13324" max="13324" width="11.7109375" style="799" bestFit="1" customWidth="1"/>
    <col min="13325" max="13566" width="9.140625" style="799"/>
    <col min="13567" max="13567" width="21" style="799" bestFit="1" customWidth="1"/>
    <col min="13568" max="13568" width="9.5703125" style="799" bestFit="1" customWidth="1"/>
    <col min="13569" max="13569" width="2.85546875" style="799" customWidth="1"/>
    <col min="13570" max="13570" width="68.7109375" style="799" customWidth="1"/>
    <col min="13571" max="13572" width="15.7109375" style="799" customWidth="1"/>
    <col min="13573" max="13573" width="15.5703125" style="799" bestFit="1" customWidth="1"/>
    <col min="13574" max="13574" width="11.7109375" style="799" customWidth="1"/>
    <col min="13575" max="13575" width="13.140625" style="799" customWidth="1"/>
    <col min="13576" max="13576" width="17" style="799" customWidth="1"/>
    <col min="13577" max="13577" width="15.42578125" style="799" customWidth="1"/>
    <col min="13578" max="13578" width="11.140625" style="799" customWidth="1"/>
    <col min="13579" max="13579" width="16.7109375" style="799" customWidth="1"/>
    <col min="13580" max="13580" width="11.7109375" style="799" bestFit="1" customWidth="1"/>
    <col min="13581" max="13822" width="9.140625" style="799"/>
    <col min="13823" max="13823" width="21" style="799" bestFit="1" customWidth="1"/>
    <col min="13824" max="13824" width="9.5703125" style="799" bestFit="1" customWidth="1"/>
    <col min="13825" max="13825" width="2.85546875" style="799" customWidth="1"/>
    <col min="13826" max="13826" width="68.7109375" style="799" customWidth="1"/>
    <col min="13827" max="13828" width="15.7109375" style="799" customWidth="1"/>
    <col min="13829" max="13829" width="15.5703125" style="799" bestFit="1" customWidth="1"/>
    <col min="13830" max="13830" width="11.7109375" style="799" customWidth="1"/>
    <col min="13831" max="13831" width="13.140625" style="799" customWidth="1"/>
    <col min="13832" max="13832" width="17" style="799" customWidth="1"/>
    <col min="13833" max="13833" width="15.42578125" style="799" customWidth="1"/>
    <col min="13834" max="13834" width="11.140625" style="799" customWidth="1"/>
    <col min="13835" max="13835" width="16.7109375" style="799" customWidth="1"/>
    <col min="13836" max="13836" width="11.7109375" style="799" bestFit="1" customWidth="1"/>
    <col min="13837" max="14078" width="9.140625" style="799"/>
    <col min="14079" max="14079" width="21" style="799" bestFit="1" customWidth="1"/>
    <col min="14080" max="14080" width="9.5703125" style="799" bestFit="1" customWidth="1"/>
    <col min="14081" max="14081" width="2.85546875" style="799" customWidth="1"/>
    <col min="14082" max="14082" width="68.7109375" style="799" customWidth="1"/>
    <col min="14083" max="14084" width="15.7109375" style="799" customWidth="1"/>
    <col min="14085" max="14085" width="15.5703125" style="799" bestFit="1" customWidth="1"/>
    <col min="14086" max="14086" width="11.7109375" style="799" customWidth="1"/>
    <col min="14087" max="14087" width="13.140625" style="799" customWidth="1"/>
    <col min="14088" max="14088" width="17" style="799" customWidth="1"/>
    <col min="14089" max="14089" width="15.42578125" style="799" customWidth="1"/>
    <col min="14090" max="14090" width="11.140625" style="799" customWidth="1"/>
    <col min="14091" max="14091" width="16.7109375" style="799" customWidth="1"/>
    <col min="14092" max="14092" width="11.7109375" style="799" bestFit="1" customWidth="1"/>
    <col min="14093" max="14334" width="9.140625" style="799"/>
    <col min="14335" max="14335" width="21" style="799" bestFit="1" customWidth="1"/>
    <col min="14336" max="14336" width="9.5703125" style="799" bestFit="1" customWidth="1"/>
    <col min="14337" max="14337" width="2.85546875" style="799" customWidth="1"/>
    <col min="14338" max="14338" width="68.7109375" style="799" customWidth="1"/>
    <col min="14339" max="14340" width="15.7109375" style="799" customWidth="1"/>
    <col min="14341" max="14341" width="15.5703125" style="799" bestFit="1" customWidth="1"/>
    <col min="14342" max="14342" width="11.7109375" style="799" customWidth="1"/>
    <col min="14343" max="14343" width="13.140625" style="799" customWidth="1"/>
    <col min="14344" max="14344" width="17" style="799" customWidth="1"/>
    <col min="14345" max="14345" width="15.42578125" style="799" customWidth="1"/>
    <col min="14346" max="14346" width="11.140625" style="799" customWidth="1"/>
    <col min="14347" max="14347" width="16.7109375" style="799" customWidth="1"/>
    <col min="14348" max="14348" width="11.7109375" style="799" bestFit="1" customWidth="1"/>
    <col min="14349" max="14590" width="9.140625" style="799"/>
    <col min="14591" max="14591" width="21" style="799" bestFit="1" customWidth="1"/>
    <col min="14592" max="14592" width="9.5703125" style="799" bestFit="1" customWidth="1"/>
    <col min="14593" max="14593" width="2.85546875" style="799" customWidth="1"/>
    <col min="14594" max="14594" width="68.7109375" style="799" customWidth="1"/>
    <col min="14595" max="14596" width="15.7109375" style="799" customWidth="1"/>
    <col min="14597" max="14597" width="15.5703125" style="799" bestFit="1" customWidth="1"/>
    <col min="14598" max="14598" width="11.7109375" style="799" customWidth="1"/>
    <col min="14599" max="14599" width="13.140625" style="799" customWidth="1"/>
    <col min="14600" max="14600" width="17" style="799" customWidth="1"/>
    <col min="14601" max="14601" width="15.42578125" style="799" customWidth="1"/>
    <col min="14602" max="14602" width="11.140625" style="799" customWidth="1"/>
    <col min="14603" max="14603" width="16.7109375" style="799" customWidth="1"/>
    <col min="14604" max="14604" width="11.7109375" style="799" bestFit="1" customWidth="1"/>
    <col min="14605" max="14846" width="9.140625" style="799"/>
    <col min="14847" max="14847" width="21" style="799" bestFit="1" customWidth="1"/>
    <col min="14848" max="14848" width="9.5703125" style="799" bestFit="1" customWidth="1"/>
    <col min="14849" max="14849" width="2.85546875" style="799" customWidth="1"/>
    <col min="14850" max="14850" width="68.7109375" style="799" customWidth="1"/>
    <col min="14851" max="14852" width="15.7109375" style="799" customWidth="1"/>
    <col min="14853" max="14853" width="15.5703125" style="799" bestFit="1" customWidth="1"/>
    <col min="14854" max="14854" width="11.7109375" style="799" customWidth="1"/>
    <col min="14855" max="14855" width="13.140625" style="799" customWidth="1"/>
    <col min="14856" max="14856" width="17" style="799" customWidth="1"/>
    <col min="14857" max="14857" width="15.42578125" style="799" customWidth="1"/>
    <col min="14858" max="14858" width="11.140625" style="799" customWidth="1"/>
    <col min="14859" max="14859" width="16.7109375" style="799" customWidth="1"/>
    <col min="14860" max="14860" width="11.7109375" style="799" bestFit="1" customWidth="1"/>
    <col min="14861" max="15102" width="9.140625" style="799"/>
    <col min="15103" max="15103" width="21" style="799" bestFit="1" customWidth="1"/>
    <col min="15104" max="15104" width="9.5703125" style="799" bestFit="1" customWidth="1"/>
    <col min="15105" max="15105" width="2.85546875" style="799" customWidth="1"/>
    <col min="15106" max="15106" width="68.7109375" style="799" customWidth="1"/>
    <col min="15107" max="15108" width="15.7109375" style="799" customWidth="1"/>
    <col min="15109" max="15109" width="15.5703125" style="799" bestFit="1" customWidth="1"/>
    <col min="15110" max="15110" width="11.7109375" style="799" customWidth="1"/>
    <col min="15111" max="15111" width="13.140625" style="799" customWidth="1"/>
    <col min="15112" max="15112" width="17" style="799" customWidth="1"/>
    <col min="15113" max="15113" width="15.42578125" style="799" customWidth="1"/>
    <col min="15114" max="15114" width="11.140625" style="799" customWidth="1"/>
    <col min="15115" max="15115" width="16.7109375" style="799" customWidth="1"/>
    <col min="15116" max="15116" width="11.7109375" style="799" bestFit="1" customWidth="1"/>
    <col min="15117" max="15358" width="9.140625" style="799"/>
    <col min="15359" max="15359" width="21" style="799" bestFit="1" customWidth="1"/>
    <col min="15360" max="15360" width="9.5703125" style="799" bestFit="1" customWidth="1"/>
    <col min="15361" max="15361" width="2.85546875" style="799" customWidth="1"/>
    <col min="15362" max="15362" width="68.7109375" style="799" customWidth="1"/>
    <col min="15363" max="15364" width="15.7109375" style="799" customWidth="1"/>
    <col min="15365" max="15365" width="15.5703125" style="799" bestFit="1" customWidth="1"/>
    <col min="15366" max="15366" width="11.7109375" style="799" customWidth="1"/>
    <col min="15367" max="15367" width="13.140625" style="799" customWidth="1"/>
    <col min="15368" max="15368" width="17" style="799" customWidth="1"/>
    <col min="15369" max="15369" width="15.42578125" style="799" customWidth="1"/>
    <col min="15370" max="15370" width="11.140625" style="799" customWidth="1"/>
    <col min="15371" max="15371" width="16.7109375" style="799" customWidth="1"/>
    <col min="15372" max="15372" width="11.7109375" style="799" bestFit="1" customWidth="1"/>
    <col min="15373" max="15614" width="9.140625" style="799"/>
    <col min="15615" max="15615" width="21" style="799" bestFit="1" customWidth="1"/>
    <col min="15616" max="15616" width="9.5703125" style="799" bestFit="1" customWidth="1"/>
    <col min="15617" max="15617" width="2.85546875" style="799" customWidth="1"/>
    <col min="15618" max="15618" width="68.7109375" style="799" customWidth="1"/>
    <col min="15619" max="15620" width="15.7109375" style="799" customWidth="1"/>
    <col min="15621" max="15621" width="15.5703125" style="799" bestFit="1" customWidth="1"/>
    <col min="15622" max="15622" width="11.7109375" style="799" customWidth="1"/>
    <col min="15623" max="15623" width="13.140625" style="799" customWidth="1"/>
    <col min="15624" max="15624" width="17" style="799" customWidth="1"/>
    <col min="15625" max="15625" width="15.42578125" style="799" customWidth="1"/>
    <col min="15626" max="15626" width="11.140625" style="799" customWidth="1"/>
    <col min="15627" max="15627" width="16.7109375" style="799" customWidth="1"/>
    <col min="15628" max="15628" width="11.7109375" style="799" bestFit="1" customWidth="1"/>
    <col min="15629" max="15870" width="9.140625" style="799"/>
    <col min="15871" max="15871" width="21" style="799" bestFit="1" customWidth="1"/>
    <col min="15872" max="15872" width="9.5703125" style="799" bestFit="1" customWidth="1"/>
    <col min="15873" max="15873" width="2.85546875" style="799" customWidth="1"/>
    <col min="15874" max="15874" width="68.7109375" style="799" customWidth="1"/>
    <col min="15875" max="15876" width="15.7109375" style="799" customWidth="1"/>
    <col min="15877" max="15877" width="15.5703125" style="799" bestFit="1" customWidth="1"/>
    <col min="15878" max="15878" width="11.7109375" style="799" customWidth="1"/>
    <col min="15879" max="15879" width="13.140625" style="799" customWidth="1"/>
    <col min="15880" max="15880" width="17" style="799" customWidth="1"/>
    <col min="15881" max="15881" width="15.42578125" style="799" customWidth="1"/>
    <col min="15882" max="15882" width="11.140625" style="799" customWidth="1"/>
    <col min="15883" max="15883" width="16.7109375" style="799" customWidth="1"/>
    <col min="15884" max="15884" width="11.7109375" style="799" bestFit="1" customWidth="1"/>
    <col min="15885" max="16126" width="9.140625" style="799"/>
    <col min="16127" max="16127" width="21" style="799" bestFit="1" customWidth="1"/>
    <col min="16128" max="16128" width="9.5703125" style="799" bestFit="1" customWidth="1"/>
    <col min="16129" max="16129" width="2.85546875" style="799" customWidth="1"/>
    <col min="16130" max="16130" width="68.7109375" style="799" customWidth="1"/>
    <col min="16131" max="16132" width="15.7109375" style="799" customWidth="1"/>
    <col min="16133" max="16133" width="15.5703125" style="799" bestFit="1" customWidth="1"/>
    <col min="16134" max="16134" width="11.7109375" style="799" customWidth="1"/>
    <col min="16135" max="16135" width="13.140625" style="799" customWidth="1"/>
    <col min="16136" max="16136" width="17" style="799" customWidth="1"/>
    <col min="16137" max="16137" width="15.42578125" style="799" customWidth="1"/>
    <col min="16138" max="16138" width="11.140625" style="799" customWidth="1"/>
    <col min="16139" max="16139" width="16.7109375" style="799" customWidth="1"/>
    <col min="16140" max="16140" width="11.7109375" style="799" bestFit="1" customWidth="1"/>
    <col min="16141" max="16384" width="9.140625" style="799"/>
  </cols>
  <sheetData>
    <row r="1" spans="1:21" ht="24.75" thickBot="1">
      <c r="A1" s="800" t="s">
        <v>78</v>
      </c>
      <c r="D1" s="817" t="str">
        <f>"Quality Education Model Impact Analysis for the " &amp; LEFT(A6,4) &amp; "-" &amp; LEFT(A7, 2) &amp; RIGHT(A7, 2) &amp; " Biennium"</f>
        <v>Quality Education Model Impact Analysis for the 2025-2027 Biennium</v>
      </c>
      <c r="E1" s="818"/>
      <c r="F1" s="818"/>
      <c r="G1" s="818"/>
      <c r="H1" s="819"/>
    </row>
    <row r="2" spans="1:21" ht="18.75" thickBot="1">
      <c r="A2" s="820" t="s">
        <v>79</v>
      </c>
      <c r="D2" s="821" t="s">
        <v>80</v>
      </c>
      <c r="E2" s="822"/>
      <c r="F2" s="818"/>
      <c r="G2" s="818"/>
      <c r="H2" s="819"/>
      <c r="J2" s="800" t="s">
        <v>81</v>
      </c>
      <c r="K2" s="1093"/>
      <c r="L2" s="1094"/>
      <c r="M2" s="1095"/>
      <c r="N2" s="1094"/>
      <c r="O2" s="1096" t="s">
        <v>82</v>
      </c>
      <c r="P2" s="1097"/>
      <c r="Q2" s="1094"/>
      <c r="R2" s="1095"/>
      <c r="S2" s="1094"/>
      <c r="T2" s="1094" t="s">
        <v>83</v>
      </c>
      <c r="U2" s="1096" t="s">
        <v>84</v>
      </c>
    </row>
    <row r="3" spans="1:21">
      <c r="A3" s="820" t="s">
        <v>85</v>
      </c>
      <c r="D3" s="823"/>
      <c r="E3" s="824" t="s">
        <v>86</v>
      </c>
      <c r="F3" s="809" t="s">
        <v>87</v>
      </c>
      <c r="H3" s="825" t="s">
        <v>88</v>
      </c>
      <c r="K3" s="1098"/>
      <c r="L3" s="1099" t="s">
        <v>89</v>
      </c>
      <c r="M3" s="1100"/>
      <c r="N3" s="1099"/>
      <c r="O3" s="1101"/>
      <c r="P3" s="1102"/>
      <c r="Q3" s="1099" t="s">
        <v>89</v>
      </c>
      <c r="R3" s="1103"/>
      <c r="S3" s="1099"/>
      <c r="T3" s="1101"/>
      <c r="U3" s="1104"/>
    </row>
    <row r="4" spans="1:21">
      <c r="D4" s="823"/>
      <c r="E4" s="824" t="s">
        <v>90</v>
      </c>
      <c r="F4" s="809" t="s">
        <v>91</v>
      </c>
      <c r="G4" s="809" t="s">
        <v>92</v>
      </c>
      <c r="H4" s="825" t="s">
        <v>92</v>
      </c>
      <c r="K4" s="1098"/>
      <c r="L4" s="1099" t="s">
        <v>93</v>
      </c>
      <c r="M4" s="1100"/>
      <c r="N4" s="1099" t="s">
        <v>89</v>
      </c>
      <c r="O4" s="1101"/>
      <c r="P4" s="1102"/>
      <c r="Q4" s="1099" t="s">
        <v>93</v>
      </c>
      <c r="R4" s="1103"/>
      <c r="S4" s="1099" t="s">
        <v>89</v>
      </c>
      <c r="T4" s="1101"/>
      <c r="U4" s="1104"/>
    </row>
    <row r="5" spans="1:21">
      <c r="D5" s="823"/>
      <c r="H5" s="826"/>
      <c r="K5" s="1105" t="s">
        <v>94</v>
      </c>
      <c r="L5" s="1099" t="s">
        <v>94</v>
      </c>
      <c r="M5" s="1100" t="s">
        <v>95</v>
      </c>
      <c r="N5" s="1099" t="s">
        <v>93</v>
      </c>
      <c r="O5" s="1101"/>
      <c r="P5" s="1102" t="s">
        <v>94</v>
      </c>
      <c r="Q5" s="1099" t="s">
        <v>94</v>
      </c>
      <c r="R5" s="1103" t="s">
        <v>95</v>
      </c>
      <c r="S5" s="1099" t="s">
        <v>93</v>
      </c>
      <c r="T5" s="1101"/>
      <c r="U5" s="1104"/>
    </row>
    <row r="6" spans="1:21">
      <c r="A6" s="799" t="str">
        <f>'Scale-Up'!I47</f>
        <v>2025-26</v>
      </c>
      <c r="B6" s="800" t="s">
        <v>96</v>
      </c>
      <c r="D6" s="827" t="str">
        <f xml:space="preserve"> "Estimated Prototype School Operating Expenditures for " &amp; A6</f>
        <v>Estimated Prototype School Operating Expenditures for 2025-26</v>
      </c>
      <c r="E6" s="801">
        <v>10485087485.752491</v>
      </c>
      <c r="F6" s="801">
        <f ca="1">INDEX(INDIRECT(A1), MATCH(B6, INDIRECT(A3),0), MATCH(A6,INDIRECT(A2),0))</f>
        <v>11568333705.964108</v>
      </c>
      <c r="G6" s="801">
        <f ca="1">+F6-E6</f>
        <v>1083246220.2116165</v>
      </c>
      <c r="H6" s="826">
        <f ca="1">+F6/E6-1</f>
        <v>0.10331303593637831</v>
      </c>
      <c r="K6" s="1105" t="s">
        <v>97</v>
      </c>
      <c r="L6" s="1099" t="s">
        <v>97</v>
      </c>
      <c r="M6" s="1100" t="s">
        <v>98</v>
      </c>
      <c r="N6" s="1099" t="s">
        <v>95</v>
      </c>
      <c r="O6" s="1101" t="s">
        <v>89</v>
      </c>
      <c r="P6" s="1102" t="s">
        <v>97</v>
      </c>
      <c r="Q6" s="1099" t="s">
        <v>97</v>
      </c>
      <c r="R6" s="1103" t="s">
        <v>98</v>
      </c>
      <c r="S6" s="1099" t="s">
        <v>95</v>
      </c>
      <c r="T6" s="1101" t="s">
        <v>89</v>
      </c>
      <c r="U6" s="1104"/>
    </row>
    <row r="7" spans="1:21">
      <c r="A7" s="799" t="str">
        <f>'Scale-Up'!N47</f>
        <v>2026-27</v>
      </c>
      <c r="B7" s="800" t="s">
        <v>96</v>
      </c>
      <c r="D7" s="828" t="str">
        <f xml:space="preserve"> "Estimated Prototype School Operating Expenditures for " &amp; A7</f>
        <v>Estimated Prototype School Operating Expenditures for 2026-27</v>
      </c>
      <c r="E7" s="883">
        <v>10791344901.482607</v>
      </c>
      <c r="F7" s="883">
        <f ca="1">INDEX(INDIRECT(A1), MATCH(B7, INDIRECT(A3),0), MATCH(A7,INDIRECT(A2),0))</f>
        <v>11902892152.646046</v>
      </c>
      <c r="G7" s="1163">
        <f ca="1">+F7-E7</f>
        <v>1111547251.1634388</v>
      </c>
      <c r="H7" s="829">
        <f ca="1">+F7/E7-1</f>
        <v>0.10300358864544545</v>
      </c>
      <c r="J7" s="799" t="s">
        <v>99</v>
      </c>
      <c r="K7" s="1106"/>
      <c r="M7" s="810">
        <v>237243.80184872847</v>
      </c>
      <c r="N7" s="801">
        <v>19981.458533443529</v>
      </c>
      <c r="O7" s="1107">
        <v>4740477188.9568615</v>
      </c>
      <c r="P7" s="1108"/>
      <c r="R7" s="810">
        <v>237023.92807500399</v>
      </c>
      <c r="S7" s="801">
        <v>20589.274158507727</v>
      </c>
      <c r="T7" s="1107">
        <v>4880150637.2626743</v>
      </c>
      <c r="U7" s="1109"/>
    </row>
    <row r="8" spans="1:21">
      <c r="B8" s="800"/>
      <c r="D8" s="830" t="str">
        <f xml:space="preserve"> LEFT(A6,4) &amp; "-" &amp; RIGHT(A7, 2) &amp; " Biennium Total for Prototype Schools"</f>
        <v>2025-27 Biennium Total for Prototype Schools</v>
      </c>
      <c r="E8" s="831">
        <v>21276432387.2351</v>
      </c>
      <c r="F8" s="831">
        <f ca="1">+F7+F6</f>
        <v>23471225858.610153</v>
      </c>
      <c r="G8" s="831">
        <f ca="1">+F8-E8</f>
        <v>2194793471.3750534</v>
      </c>
      <c r="H8" s="832">
        <f ca="1">+F8/E8-1</f>
        <v>0.10315608516641306</v>
      </c>
      <c r="J8" s="799" t="s">
        <v>100</v>
      </c>
      <c r="K8" s="1106"/>
      <c r="M8" s="810">
        <v>126252.92303325603</v>
      </c>
      <c r="N8" s="801">
        <v>19522.01145003505</v>
      </c>
      <c r="O8" s="1107">
        <v>2464711009.0556178</v>
      </c>
      <c r="P8" s="1108"/>
      <c r="R8" s="810">
        <v>126135.91383674699</v>
      </c>
      <c r="S8" s="801">
        <v>20110.019898746166</v>
      </c>
      <c r="T8" s="1107">
        <v>2536595737.2035136</v>
      </c>
      <c r="U8" s="1109"/>
    </row>
    <row r="9" spans="1:21">
      <c r="D9" s="823"/>
      <c r="E9" s="801"/>
      <c r="F9" s="801"/>
      <c r="G9" s="801"/>
      <c r="H9" s="826"/>
      <c r="J9" s="799" t="s">
        <v>101</v>
      </c>
      <c r="K9" s="1106"/>
      <c r="M9" s="810">
        <v>176003.27511801547</v>
      </c>
      <c r="N9" s="801">
        <v>18635.444627611272</v>
      </c>
      <c r="O9" s="1107">
        <v>3279899287.7400103</v>
      </c>
      <c r="P9" s="1108"/>
      <c r="R9" s="810">
        <v>175840.15808824901</v>
      </c>
      <c r="S9" s="801">
        <v>19191.284651386672</v>
      </c>
      <c r="T9" s="1107">
        <v>3374598527.0164189</v>
      </c>
      <c r="U9" s="1109"/>
    </row>
    <row r="10" spans="1:21">
      <c r="A10" s="800" t="s">
        <v>84</v>
      </c>
      <c r="B10" s="800" t="s">
        <v>102</v>
      </c>
      <c r="D10" s="827" t="s">
        <v>103</v>
      </c>
      <c r="E10" s="801">
        <v>1462283627.9841037</v>
      </c>
      <c r="F10" s="801">
        <f ca="1">INDEX(INDIRECT(A1), MATCH(B10, INDIRECT(A3),0), MATCH(A10,INDIRECT(A2),0))</f>
        <v>1462283627.9841018</v>
      </c>
      <c r="G10" s="801">
        <f ca="1">+F10-E10</f>
        <v>-1.9073486328125E-6</v>
      </c>
      <c r="H10" s="826">
        <f ca="1">+F10/E10-1</f>
        <v>-1.3322676295501878E-15</v>
      </c>
      <c r="K10" s="1106"/>
      <c r="M10" s="810"/>
      <c r="O10" s="1107"/>
      <c r="P10" s="1108"/>
      <c r="T10" s="1107"/>
      <c r="U10" s="1109"/>
    </row>
    <row r="11" spans="1:21">
      <c r="A11" s="800" t="s">
        <v>84</v>
      </c>
      <c r="B11" s="800" t="s">
        <v>104</v>
      </c>
      <c r="D11" s="828" t="s">
        <v>105</v>
      </c>
      <c r="E11" s="883">
        <v>110000000</v>
      </c>
      <c r="F11" s="883">
        <f ca="1">INDEX(INDIRECT(A1), MATCH(B11, INDIRECT(A3),0), MATCH(A11,INDIRECT(A2),0))</f>
        <v>110000000</v>
      </c>
      <c r="G11" s="883">
        <f ca="1">+F11-E11</f>
        <v>0</v>
      </c>
      <c r="H11" s="833">
        <f ca="1">IF(E11=0,"na",F11/E11-1)</f>
        <v>0</v>
      </c>
      <c r="J11" s="799" t="s">
        <v>106</v>
      </c>
      <c r="K11" s="1108">
        <v>666500</v>
      </c>
      <c r="L11" s="801">
        <v>15731.564119658651</v>
      </c>
      <c r="M11" s="810">
        <v>539500</v>
      </c>
      <c r="N11" s="801">
        <v>19434.82388462</v>
      </c>
      <c r="O11" s="1107">
        <v>10485087485.752491</v>
      </c>
      <c r="P11" s="1108">
        <v>665000</v>
      </c>
      <c r="Q11" s="801">
        <v>16227.586318018957</v>
      </c>
      <c r="R11" s="810">
        <v>539000</v>
      </c>
      <c r="S11" s="801">
        <v>20021.048054698713</v>
      </c>
      <c r="T11" s="1107">
        <v>10791344901.482607</v>
      </c>
      <c r="U11" s="1109">
        <v>21276432387.2351</v>
      </c>
    </row>
    <row r="12" spans="1:21">
      <c r="A12" s="800"/>
      <c r="B12" s="800"/>
      <c r="D12" s="830" t="str">
        <f xml:space="preserve"> "Equals: Total " &amp; LEFT(A6,4) &amp; "-" &amp; RIGHT(A7, 2) &amp; " School Funding Requirement"</f>
        <v>Equals: Total 2025-27 School Funding Requirement</v>
      </c>
      <c r="E12" s="831">
        <v>22848716015.219204</v>
      </c>
      <c r="F12" s="831">
        <f ca="1">+F8+F10+F11</f>
        <v>25043509486.594254</v>
      </c>
      <c r="G12" s="831">
        <f ca="1">+F12-E12</f>
        <v>2194793471.3750496</v>
      </c>
      <c r="H12" s="834">
        <f ca="1">IF(E12=0,"na",F12/E12-1)</f>
        <v>9.6057628354833113E-2</v>
      </c>
      <c r="J12" s="799" t="s">
        <v>107</v>
      </c>
      <c r="K12" s="1106"/>
      <c r="M12" s="810"/>
      <c r="O12" s="1107">
        <v>716066890.0632149</v>
      </c>
      <c r="P12" s="1108"/>
      <c r="T12" s="1107">
        <v>746216737.92088866</v>
      </c>
      <c r="U12" s="1109">
        <v>1462283627.9841037</v>
      </c>
    </row>
    <row r="13" spans="1:21">
      <c r="D13" s="827"/>
      <c r="E13" s="801"/>
      <c r="F13" s="801"/>
      <c r="G13" s="801"/>
      <c r="H13" s="835"/>
      <c r="J13" s="799" t="s">
        <v>108</v>
      </c>
      <c r="K13" s="1106"/>
      <c r="M13" s="810"/>
      <c r="O13" s="1107">
        <v>11201154375.815706</v>
      </c>
      <c r="P13" s="1108"/>
      <c r="T13" s="1107">
        <v>11537561639.403496</v>
      </c>
      <c r="U13" s="1109">
        <v>22738716015.219204</v>
      </c>
    </row>
    <row r="14" spans="1:21">
      <c r="A14" s="800" t="s">
        <v>84</v>
      </c>
      <c r="B14" s="800" t="s">
        <v>109</v>
      </c>
      <c r="D14" s="827" t="s">
        <v>110</v>
      </c>
      <c r="E14" s="801">
        <v>2642047256.0737152</v>
      </c>
      <c r="F14" s="801">
        <f ca="1">INDEX(INDIRECT(A1), MATCH(B14, INDIRECT(A3),0), MATCH(A14,INDIRECT(A2),0))</f>
        <v>2642047256.0737152</v>
      </c>
      <c r="G14" s="801">
        <f ca="1">+F14-E14</f>
        <v>0</v>
      </c>
      <c r="H14" s="826">
        <f ca="1">+F14/E14-1</f>
        <v>0</v>
      </c>
      <c r="J14" s="799" t="s">
        <v>111</v>
      </c>
      <c r="K14" s="1106"/>
      <c r="M14" s="810"/>
      <c r="O14" s="1107">
        <v>1277564608.6363163</v>
      </c>
      <c r="P14" s="1108"/>
      <c r="T14" s="1107">
        <v>1364482647.4373989</v>
      </c>
      <c r="U14" s="1109">
        <v>2642047256.0737152</v>
      </c>
    </row>
    <row r="15" spans="1:21">
      <c r="A15" s="800" t="s">
        <v>84</v>
      </c>
      <c r="B15" s="800" t="s">
        <v>112</v>
      </c>
      <c r="D15" s="823" t="s">
        <v>113</v>
      </c>
      <c r="E15" s="801">
        <v>3381013989.8757763</v>
      </c>
      <c r="F15" s="801">
        <f ca="1">INDEX(INDIRECT(A1), MATCH(B15, INDIRECT(A3),0), MATCH(A15,INDIRECT(A2),0))</f>
        <v>3381013989.8757763</v>
      </c>
      <c r="G15" s="801">
        <f ca="1">+F15-E15</f>
        <v>0</v>
      </c>
      <c r="H15" s="835">
        <f ca="1">IF(E15=0,"na",F15/E15-1)</f>
        <v>0</v>
      </c>
      <c r="I15" s="801"/>
      <c r="J15" s="799" t="s">
        <v>114</v>
      </c>
      <c r="K15" s="1106"/>
      <c r="M15" s="810"/>
      <c r="O15" s="1107">
        <v>1573749597.9923267</v>
      </c>
      <c r="P15" s="1108"/>
      <c r="T15" s="1107">
        <v>1807264391.8834498</v>
      </c>
      <c r="U15" s="1109">
        <v>3381013989.8757763</v>
      </c>
    </row>
    <row r="16" spans="1:21">
      <c r="A16" s="800" t="s">
        <v>84</v>
      </c>
      <c r="B16" s="800" t="s">
        <v>115</v>
      </c>
      <c r="D16" s="823" t="s">
        <v>116</v>
      </c>
      <c r="E16" s="801">
        <v>65783904.657963879</v>
      </c>
      <c r="F16" s="801">
        <f ca="1">INDEX(INDIRECT(A1), MATCH(B16, INDIRECT(A3),0), MATCH(A16,INDIRECT(A2),0))</f>
        <v>65783904.657963879</v>
      </c>
      <c r="G16" s="801">
        <f ca="1">+F16-E16</f>
        <v>0</v>
      </c>
      <c r="H16" s="835">
        <f ca="1">IF(E16=0,"na",F16/E16-1)</f>
        <v>0</v>
      </c>
      <c r="J16" s="799" t="s">
        <v>116</v>
      </c>
      <c r="K16" s="1106"/>
      <c r="M16" s="810"/>
      <c r="O16" s="1107">
        <v>32299566.082358748</v>
      </c>
      <c r="P16" s="1108"/>
      <c r="T16" s="1107">
        <v>33484338.575605132</v>
      </c>
      <c r="U16" s="1109">
        <v>65783904.657963879</v>
      </c>
    </row>
    <row r="17" spans="1:21">
      <c r="A17" s="800" t="s">
        <v>84</v>
      </c>
      <c r="B17" s="800" t="s">
        <v>117</v>
      </c>
      <c r="D17" s="828" t="s">
        <v>118</v>
      </c>
      <c r="E17" s="883">
        <v>-190918604.26750368</v>
      </c>
      <c r="F17" s="883">
        <f ca="1">INDEX(INDIRECT(A1), MATCH(B17, INDIRECT(A3),0), MATCH(A17,INDIRECT(A2),0))</f>
        <v>-190918604.26750368</v>
      </c>
      <c r="G17" s="883">
        <f ca="1">+F17-E17</f>
        <v>0</v>
      </c>
      <c r="H17" s="833">
        <f ca="1">IF(E17=0,"na",F17/E17-1)</f>
        <v>0</v>
      </c>
      <c r="J17" s="799" t="s">
        <v>119</v>
      </c>
      <c r="K17" s="1106"/>
      <c r="M17" s="810"/>
      <c r="O17" s="1107">
        <v>-97292248.81893748</v>
      </c>
      <c r="P17" s="1108"/>
      <c r="T17" s="1107">
        <v>-93626355.448566198</v>
      </c>
      <c r="U17" s="1109">
        <v>-190918604.26750368</v>
      </c>
    </row>
    <row r="18" spans="1:21">
      <c r="D18" s="830" t="s">
        <v>120</v>
      </c>
      <c r="E18" s="831">
        <v>16950789468.879251</v>
      </c>
      <c r="F18" s="831">
        <f ca="1">+F12-F14-F15-F16-F17</f>
        <v>19145582940.254299</v>
      </c>
      <c r="G18" s="831">
        <f ca="1">+F18-E18</f>
        <v>2194793471.3750477</v>
      </c>
      <c r="H18" s="832">
        <f ca="1">+F18/E18-1</f>
        <v>0.12948030977581149</v>
      </c>
      <c r="J18" s="799" t="s">
        <v>121</v>
      </c>
      <c r="K18" s="1106"/>
      <c r="M18" s="810"/>
      <c r="O18" s="1107">
        <v>8414832851.9236422</v>
      </c>
      <c r="P18" s="1108"/>
      <c r="T18" s="1107">
        <v>8425956616.9556084</v>
      </c>
      <c r="U18" s="1109">
        <v>16840789468.879251</v>
      </c>
    </row>
    <row r="19" spans="1:21">
      <c r="D19" s="830"/>
      <c r="E19" s="831"/>
      <c r="F19" s="831"/>
      <c r="G19" s="831"/>
      <c r="H19" s="832"/>
      <c r="I19" s="801"/>
      <c r="J19" s="799" t="s">
        <v>122</v>
      </c>
      <c r="K19" s="1106"/>
      <c r="M19" s="810"/>
      <c r="O19" s="1107">
        <v>8015128291.4572697</v>
      </c>
      <c r="P19" s="1108"/>
      <c r="T19" s="1107">
        <v>8025723677.6502171</v>
      </c>
      <c r="U19" s="1109">
        <v>16040851969.107487</v>
      </c>
    </row>
    <row r="20" spans="1:21" ht="13.5" thickBot="1">
      <c r="A20" s="800" t="s">
        <v>84</v>
      </c>
      <c r="B20" s="800" t="s">
        <v>123</v>
      </c>
      <c r="D20" s="836" t="s">
        <v>124</v>
      </c>
      <c r="E20" s="808">
        <v>5618650490</v>
      </c>
      <c r="F20" s="808">
        <f ca="1">INDEX(INDIRECT(A1), MATCH(B20, INDIRECT(A3),0), MATCH(A20,INDIRECT(A2),0))</f>
        <v>5618650490</v>
      </c>
      <c r="G20" s="808">
        <f ca="1">+F20-E20</f>
        <v>0</v>
      </c>
      <c r="H20" s="837">
        <f ca="1">+F20/E20-1</f>
        <v>0</v>
      </c>
      <c r="J20" s="799" t="s">
        <v>125</v>
      </c>
      <c r="K20" s="1106"/>
      <c r="M20" s="810"/>
      <c r="O20" s="1107">
        <v>399704560.46637249</v>
      </c>
      <c r="P20" s="1108"/>
      <c r="T20" s="1107">
        <v>400232939.30539131</v>
      </c>
      <c r="U20" s="1109">
        <v>799937499.7717638</v>
      </c>
    </row>
    <row r="21" spans="1:21" ht="14.25" thickTop="1" thickBot="1">
      <c r="D21" s="838" t="str">
        <f>"Equals: " &amp; LEFT(A6,4) &amp; "-" &amp; RIGHT(A7, 2) &amp; " State Funding Requirement (SSF + SSA Transfer to SSF)"</f>
        <v>Equals: 2025-27 State Funding Requirement (SSF + SSA Transfer to SSF)</v>
      </c>
      <c r="E21" s="839">
        <v>11332138978.879251</v>
      </c>
      <c r="F21" s="839">
        <f ca="1">+F18-F20</f>
        <v>13526932450.254299</v>
      </c>
      <c r="G21" s="839">
        <f ca="1">+F21-E21</f>
        <v>2194793471.3750477</v>
      </c>
      <c r="H21" s="840">
        <f ca="1">+F21/E21-1</f>
        <v>0.19367865814791774</v>
      </c>
      <c r="I21" s="893"/>
      <c r="J21" s="799" t="s">
        <v>126</v>
      </c>
      <c r="K21" s="1106"/>
      <c r="M21" s="810"/>
      <c r="O21" s="1107">
        <v>2754358493</v>
      </c>
      <c r="P21" s="1108"/>
      <c r="T21" s="1107">
        <v>2864291997</v>
      </c>
      <c r="U21" s="1109">
        <v>5618650490</v>
      </c>
    </row>
    <row r="22" spans="1:21" ht="13.5" thickBot="1">
      <c r="O22" s="801">
        <v>55000000</v>
      </c>
      <c r="T22" s="801">
        <v>55000000</v>
      </c>
      <c r="U22" s="801">
        <v>110000000</v>
      </c>
    </row>
    <row r="23" spans="1:21" ht="13.5" thickBot="1">
      <c r="D23" s="914" t="s">
        <v>127</v>
      </c>
      <c r="E23" s="915">
        <v>822032000</v>
      </c>
      <c r="F23" s="915">
        <v>822032000</v>
      </c>
      <c r="G23" s="915">
        <f>+F23-E23</f>
        <v>0</v>
      </c>
      <c r="H23" s="916">
        <f>+F23/E23-1</f>
        <v>0</v>
      </c>
      <c r="U23" s="801">
        <v>0</v>
      </c>
    </row>
    <row r="24" spans="1:21" ht="14.25" thickTop="1" thickBot="1">
      <c r="D24" s="917" t="str">
        <f>"Equals: Non-SSA " &amp; LEFT(A6,4) &amp; "-" &amp; RIGHT(A7, 2) &amp; " State Funding Requirement (SSF)"</f>
        <v>Equals: Non-SSA 2025-27 State Funding Requirement (SSF)</v>
      </c>
      <c r="E24" s="839">
        <v>10510106978.879251</v>
      </c>
      <c r="F24" s="839">
        <f ca="1">F21-F23</f>
        <v>12704900450.254299</v>
      </c>
      <c r="G24" s="839">
        <f ca="1">+F24-E24</f>
        <v>2194793471.3750477</v>
      </c>
      <c r="H24" s="840">
        <f ca="1">G24/E24</f>
        <v>0.20882693922960335</v>
      </c>
      <c r="O24" s="801">
        <v>5715474358.9236422</v>
      </c>
      <c r="T24" s="801">
        <v>5616664619.9556084</v>
      </c>
      <c r="U24" s="801">
        <v>11332138978.879251</v>
      </c>
    </row>
  </sheetData>
  <sheetProtection algorithmName="SHA-512" hashValue="QmtQQnNvWtNGvEBHVPwTBdYt5p0IMp5vR3Bktliuxuof+C3nbIAfFxXVXkZ8rWJ8pAPLH7RIBU7tSJwCtp45uQ==" saltValue="y0pW9HRDU4/EYobq4VUXJg==" spinCount="100000" sheet="1" objects="1" scenarios="1" formatColumns="0" formatRows="0"/>
  <printOptions horizontalCentered="1"/>
  <pageMargins left="0.56000000000000005" right="0.47" top="1.38" bottom="0.65" header="0.5" footer="0.5"/>
  <pageSetup scale="9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A1:L25"/>
  <sheetViews>
    <sheetView workbookViewId="0"/>
  </sheetViews>
  <sheetFormatPr defaultRowHeight="15"/>
  <cols>
    <col min="1" max="1" width="8.85546875" bestFit="1" customWidth="1"/>
    <col min="2" max="4" width="13.85546875" bestFit="1" customWidth="1"/>
    <col min="5" max="5" width="14.85546875" bestFit="1" customWidth="1"/>
    <col min="6" max="6" width="19.7109375" bestFit="1" customWidth="1"/>
    <col min="7" max="7" width="14.85546875" bestFit="1" customWidth="1"/>
    <col min="10" max="10" width="9.140625" style="11"/>
  </cols>
  <sheetData>
    <row r="1" spans="1:12">
      <c r="B1" s="880" t="s">
        <v>893</v>
      </c>
      <c r="C1" s="880" t="s">
        <v>894</v>
      </c>
      <c r="D1" s="880" t="s">
        <v>895</v>
      </c>
      <c r="E1" s="881" t="s">
        <v>896</v>
      </c>
      <c r="F1" s="878" t="s">
        <v>897</v>
      </c>
      <c r="G1" s="881" t="s">
        <v>898</v>
      </c>
      <c r="H1" s="881" t="s">
        <v>861</v>
      </c>
      <c r="L1" t="s">
        <v>862</v>
      </c>
    </row>
    <row r="2" spans="1:12">
      <c r="A2" s="879">
        <v>36342</v>
      </c>
      <c r="B2" s="4">
        <v>20615708.649999999</v>
      </c>
      <c r="C2" s="4">
        <v>9765757.3399999999</v>
      </c>
      <c r="D2" s="4">
        <v>13732278.08</v>
      </c>
      <c r="E2" s="4">
        <f>SUM(B2:D2)</f>
        <v>44113744.07</v>
      </c>
      <c r="F2" s="4">
        <v>80824507.980000004</v>
      </c>
      <c r="G2" s="4">
        <f>SUM(E2:F2)</f>
        <v>124938252.05000001</v>
      </c>
      <c r="H2">
        <v>543138</v>
      </c>
      <c r="I2" s="882">
        <f>G2/H2</f>
        <v>230.03040120558683</v>
      </c>
      <c r="L2" s="3">
        <f>AVERAGE(J:J)</f>
        <v>3.6680755717442282E-2</v>
      </c>
    </row>
    <row r="3" spans="1:12">
      <c r="A3" s="879">
        <v>36708</v>
      </c>
      <c r="B3" s="4">
        <v>22100108.530000001</v>
      </c>
      <c r="C3" s="4">
        <v>10431291.630000001</v>
      </c>
      <c r="D3" s="4">
        <v>13735157.369999999</v>
      </c>
      <c r="E3" s="4">
        <f t="shared" ref="E3:E25" si="0">SUM(B3:D3)</f>
        <v>46266557.530000001</v>
      </c>
      <c r="F3" s="4">
        <v>85056095.769999996</v>
      </c>
      <c r="G3" s="4">
        <f t="shared" ref="G3:G25" si="1">SUM(E3:F3)</f>
        <v>131322653.3</v>
      </c>
      <c r="H3">
        <v>544273</v>
      </c>
      <c r="I3" s="882">
        <f t="shared" ref="I3:I22" si="2">G3/H3</f>
        <v>241.28085225612881</v>
      </c>
      <c r="J3" s="11">
        <f>I3/I2-1</f>
        <v>4.8908539878113944E-2</v>
      </c>
    </row>
    <row r="4" spans="1:12">
      <c r="A4" s="879">
        <v>37073</v>
      </c>
      <c r="B4" s="4">
        <v>22877396.23</v>
      </c>
      <c r="C4" s="4">
        <v>10129589.09</v>
      </c>
      <c r="D4" s="4">
        <v>13495183.039999999</v>
      </c>
      <c r="E4" s="4">
        <f t="shared" si="0"/>
        <v>46502168.359999999</v>
      </c>
      <c r="F4" s="4">
        <v>92986164.530000001</v>
      </c>
      <c r="G4" s="4">
        <f t="shared" si="1"/>
        <v>139488332.88999999</v>
      </c>
      <c r="H4">
        <v>549788</v>
      </c>
      <c r="I4" s="882">
        <f t="shared" si="2"/>
        <v>253.71294551718114</v>
      </c>
      <c r="J4" s="11">
        <f t="shared" ref="J4:J22" si="3">I4/I3-1</f>
        <v>5.1525403465730424E-2</v>
      </c>
    </row>
    <row r="5" spans="1:12">
      <c r="A5" s="879">
        <v>37438</v>
      </c>
      <c r="B5" s="4">
        <v>22813497.559999999</v>
      </c>
      <c r="C5" s="4">
        <v>9792812.9900000002</v>
      </c>
      <c r="D5" s="4">
        <v>14422062.960000001</v>
      </c>
      <c r="E5" s="4">
        <f t="shared" si="0"/>
        <v>47028373.509999998</v>
      </c>
      <c r="F5" s="4">
        <v>92606719.219999999</v>
      </c>
      <c r="G5" s="4">
        <f t="shared" si="1"/>
        <v>139635092.72999999</v>
      </c>
      <c r="H5">
        <v>552188</v>
      </c>
      <c r="I5" s="882">
        <f t="shared" si="2"/>
        <v>252.87600007606102</v>
      </c>
      <c r="J5" s="11">
        <f t="shared" si="3"/>
        <v>-3.2987888710764857E-3</v>
      </c>
    </row>
    <row r="6" spans="1:12">
      <c r="A6" s="879">
        <v>37803</v>
      </c>
      <c r="B6" s="4">
        <v>24109398.850000001</v>
      </c>
      <c r="C6" s="4">
        <v>10445843.609999999</v>
      </c>
      <c r="D6" s="4">
        <v>14190158.880000001</v>
      </c>
      <c r="E6" s="4">
        <f t="shared" si="0"/>
        <v>48745401.340000004</v>
      </c>
      <c r="F6" s="4">
        <v>99006441.030000001</v>
      </c>
      <c r="G6" s="4">
        <f t="shared" si="1"/>
        <v>147751842.37</v>
      </c>
      <c r="H6">
        <v>549294</v>
      </c>
      <c r="I6" s="882">
        <f t="shared" si="2"/>
        <v>268.98499231741107</v>
      </c>
      <c r="J6" s="11">
        <f t="shared" si="3"/>
        <v>6.3703128159670053E-2</v>
      </c>
    </row>
    <row r="7" spans="1:12">
      <c r="A7" s="879">
        <v>38169</v>
      </c>
      <c r="B7" s="4">
        <v>24619759.379999999</v>
      </c>
      <c r="C7" s="4">
        <v>11040722.32</v>
      </c>
      <c r="D7" s="4">
        <v>14642452.93</v>
      </c>
      <c r="E7" s="4">
        <f t="shared" si="0"/>
        <v>50302934.630000003</v>
      </c>
      <c r="F7" s="4">
        <v>108983934.36</v>
      </c>
      <c r="G7" s="4">
        <f t="shared" si="1"/>
        <v>159286868.99000001</v>
      </c>
      <c r="H7">
        <v>549472</v>
      </c>
      <c r="I7" s="882">
        <f t="shared" si="2"/>
        <v>289.89078422558384</v>
      </c>
      <c r="J7" s="11">
        <f t="shared" si="3"/>
        <v>7.772103464978164E-2</v>
      </c>
    </row>
    <row r="8" spans="1:12">
      <c r="A8" s="879">
        <v>38534</v>
      </c>
      <c r="B8" s="4">
        <v>24824040.129999999</v>
      </c>
      <c r="C8" s="4">
        <v>10620475.970000001</v>
      </c>
      <c r="D8" s="4">
        <v>15041518.109999999</v>
      </c>
      <c r="E8" s="4">
        <f t="shared" si="0"/>
        <v>50486034.210000001</v>
      </c>
      <c r="F8" s="4">
        <v>117752464.62</v>
      </c>
      <c r="G8" s="4">
        <f t="shared" si="1"/>
        <v>168238498.83000001</v>
      </c>
      <c r="H8">
        <v>556366</v>
      </c>
      <c r="I8" s="882">
        <f t="shared" si="2"/>
        <v>302.3881740257313</v>
      </c>
      <c r="J8" s="11">
        <f t="shared" si="3"/>
        <v>4.3110683333839273E-2</v>
      </c>
    </row>
    <row r="9" spans="1:12">
      <c r="A9" s="879">
        <v>38899</v>
      </c>
      <c r="B9" s="4">
        <v>27348826.289999999</v>
      </c>
      <c r="C9" s="4">
        <v>11108059.57</v>
      </c>
      <c r="D9" s="4">
        <v>14016569.17</v>
      </c>
      <c r="E9" s="4">
        <f t="shared" si="0"/>
        <v>52473455.030000001</v>
      </c>
      <c r="F9" s="4">
        <v>124452240.37</v>
      </c>
      <c r="G9" s="4">
        <f t="shared" si="1"/>
        <v>176925695.40000001</v>
      </c>
      <c r="H9">
        <v>559915</v>
      </c>
      <c r="I9" s="882">
        <f t="shared" si="2"/>
        <v>315.98670405329381</v>
      </c>
      <c r="J9" s="11">
        <f t="shared" si="3"/>
        <v>4.4970442615276829E-2</v>
      </c>
    </row>
    <row r="10" spans="1:12">
      <c r="A10" s="879">
        <v>39264</v>
      </c>
      <c r="B10" s="4">
        <v>30548463.48</v>
      </c>
      <c r="C10" s="4">
        <v>12628409.869999999</v>
      </c>
      <c r="D10" s="4">
        <v>16206171.24</v>
      </c>
      <c r="E10" s="4">
        <f t="shared" si="0"/>
        <v>59383044.590000004</v>
      </c>
      <c r="F10" s="4">
        <v>126737941.05</v>
      </c>
      <c r="G10" s="4">
        <f t="shared" si="1"/>
        <v>186120985.63999999</v>
      </c>
      <c r="H10">
        <v>563081</v>
      </c>
      <c r="I10" s="882">
        <f t="shared" si="2"/>
        <v>330.54034080354336</v>
      </c>
      <c r="J10" s="11">
        <f t="shared" si="3"/>
        <v>4.6057750416596432E-2</v>
      </c>
    </row>
    <row r="11" spans="1:12">
      <c r="A11" s="879">
        <v>39630</v>
      </c>
      <c r="B11" s="4">
        <v>31388382.059999999</v>
      </c>
      <c r="C11" s="4">
        <v>12523253.58</v>
      </c>
      <c r="D11" s="4">
        <v>15623810.140000001</v>
      </c>
      <c r="E11" s="4">
        <f t="shared" si="0"/>
        <v>59535445.780000001</v>
      </c>
      <c r="F11" s="4">
        <v>128654813.18000001</v>
      </c>
      <c r="G11" s="4">
        <f t="shared" si="1"/>
        <v>188190258.96000001</v>
      </c>
      <c r="H11">
        <v>561094</v>
      </c>
      <c r="I11" s="882">
        <f t="shared" si="2"/>
        <v>335.39880832801634</v>
      </c>
      <c r="J11" s="11">
        <f t="shared" si="3"/>
        <v>1.4698561490745998E-2</v>
      </c>
    </row>
    <row r="12" spans="1:12">
      <c r="A12" s="879">
        <v>39995</v>
      </c>
      <c r="B12" s="4">
        <v>31511627.010000002</v>
      </c>
      <c r="C12" s="4">
        <v>12198457.539999999</v>
      </c>
      <c r="D12" s="4">
        <v>15875154.310000001</v>
      </c>
      <c r="E12" s="4">
        <f t="shared" si="0"/>
        <v>59585238.859999999</v>
      </c>
      <c r="F12" s="4">
        <v>132178302.91</v>
      </c>
      <c r="G12" s="4">
        <f t="shared" si="1"/>
        <v>191763541.76999998</v>
      </c>
      <c r="H12">
        <v>559062</v>
      </c>
      <c r="I12" s="882">
        <f t="shared" si="2"/>
        <v>343.00943682453823</v>
      </c>
      <c r="J12" s="11">
        <f t="shared" si="3"/>
        <v>2.2691280671095271E-2</v>
      </c>
    </row>
    <row r="13" spans="1:12">
      <c r="A13" s="879">
        <v>40360</v>
      </c>
      <c r="B13" s="4">
        <v>30806310.059999999</v>
      </c>
      <c r="C13" s="4">
        <v>12116286.42</v>
      </c>
      <c r="D13" s="4">
        <v>16625258.57</v>
      </c>
      <c r="E13" s="4">
        <f t="shared" si="0"/>
        <v>59547855.049999997</v>
      </c>
      <c r="F13" s="4">
        <v>135816418.15000001</v>
      </c>
      <c r="G13" s="4">
        <f t="shared" si="1"/>
        <v>195364273.19999999</v>
      </c>
      <c r="H13">
        <v>558575</v>
      </c>
      <c r="I13" s="882">
        <f t="shared" si="2"/>
        <v>349.75477456026493</v>
      </c>
      <c r="J13" s="11">
        <f t="shared" si="3"/>
        <v>1.9665166644313725E-2</v>
      </c>
    </row>
    <row r="14" spans="1:12">
      <c r="A14" s="879">
        <v>40725</v>
      </c>
      <c r="B14" s="4">
        <v>31883123.190000001</v>
      </c>
      <c r="C14" s="4">
        <v>12500509.83</v>
      </c>
      <c r="D14" s="4">
        <v>18846053.379999999</v>
      </c>
      <c r="E14" s="4">
        <f t="shared" si="0"/>
        <v>63229686.400000006</v>
      </c>
      <c r="F14" s="4">
        <v>138353979.27000001</v>
      </c>
      <c r="G14" s="4">
        <f t="shared" si="1"/>
        <v>201583665.67000002</v>
      </c>
      <c r="H14">
        <v>558060</v>
      </c>
      <c r="I14" s="882">
        <f t="shared" si="2"/>
        <v>361.22220849012655</v>
      </c>
      <c r="J14" s="11">
        <f t="shared" si="3"/>
        <v>3.2787069009363012E-2</v>
      </c>
    </row>
    <row r="15" spans="1:12">
      <c r="A15" s="879">
        <v>41091</v>
      </c>
      <c r="B15" s="4">
        <v>31621474.289999999</v>
      </c>
      <c r="C15" s="4">
        <v>12390237.85</v>
      </c>
      <c r="D15" s="4">
        <v>17040665.260000002</v>
      </c>
      <c r="E15" s="4">
        <f t="shared" si="0"/>
        <v>61052377.400000006</v>
      </c>
      <c r="F15" s="4">
        <v>139675342.63</v>
      </c>
      <c r="G15" s="4">
        <f t="shared" si="1"/>
        <v>200727720.03</v>
      </c>
      <c r="H15">
        <v>560814</v>
      </c>
      <c r="I15" s="882">
        <f t="shared" si="2"/>
        <v>357.92209187003175</v>
      </c>
      <c r="J15" s="11">
        <f t="shared" si="3"/>
        <v>-9.1359737649824302E-3</v>
      </c>
    </row>
    <row r="16" spans="1:12">
      <c r="A16" s="879">
        <v>41456</v>
      </c>
      <c r="B16" s="4">
        <v>32889984.940000001</v>
      </c>
      <c r="C16" s="4">
        <v>12626311.689999999</v>
      </c>
      <c r="D16" s="4">
        <v>17175229.449999999</v>
      </c>
      <c r="E16" s="4">
        <f t="shared" si="0"/>
        <v>62691526.079999998</v>
      </c>
      <c r="F16" s="4">
        <v>150663284.55000001</v>
      </c>
      <c r="G16" s="4">
        <f t="shared" si="1"/>
        <v>213354810.63</v>
      </c>
      <c r="H16">
        <v>564243</v>
      </c>
      <c r="I16" s="882">
        <f t="shared" si="2"/>
        <v>378.12575544579198</v>
      </c>
      <c r="J16" s="11">
        <f t="shared" si="3"/>
        <v>5.6447098501806181E-2</v>
      </c>
    </row>
    <row r="17" spans="1:10">
      <c r="A17" s="879">
        <v>41821</v>
      </c>
      <c r="B17" s="4">
        <v>35243755.280000001</v>
      </c>
      <c r="C17" s="4">
        <v>12593396.550000001</v>
      </c>
      <c r="D17" s="4">
        <v>17926476.5</v>
      </c>
      <c r="E17" s="4">
        <f t="shared" si="0"/>
        <v>65763628.329999998</v>
      </c>
      <c r="F17" s="4">
        <v>150365531.63</v>
      </c>
      <c r="G17" s="4">
        <f t="shared" si="1"/>
        <v>216129159.95999998</v>
      </c>
      <c r="H17">
        <v>568139</v>
      </c>
      <c r="I17" s="882">
        <f t="shared" si="2"/>
        <v>380.41598967858215</v>
      </c>
      <c r="J17" s="11">
        <f t="shared" si="3"/>
        <v>6.0568057049965596E-3</v>
      </c>
    </row>
    <row r="18" spans="1:10">
      <c r="A18" s="879">
        <v>42186</v>
      </c>
      <c r="B18" s="4">
        <v>35130365.030000001</v>
      </c>
      <c r="C18" s="4">
        <v>12647196.16</v>
      </c>
      <c r="D18" s="4">
        <v>17604872.59</v>
      </c>
      <c r="E18" s="4">
        <f t="shared" si="0"/>
        <v>65382433.780000001</v>
      </c>
      <c r="F18" s="4">
        <v>156870560.69</v>
      </c>
      <c r="G18" s="4">
        <f t="shared" si="1"/>
        <v>222252994.47</v>
      </c>
      <c r="H18">
        <v>573704</v>
      </c>
      <c r="I18" s="882">
        <f t="shared" si="2"/>
        <v>387.40011307224631</v>
      </c>
      <c r="J18" s="11">
        <f t="shared" si="3"/>
        <v>1.8359174122951849E-2</v>
      </c>
    </row>
    <row r="19" spans="1:10">
      <c r="A19" s="879">
        <v>42552</v>
      </c>
      <c r="B19" s="4">
        <v>36861755.759999998</v>
      </c>
      <c r="C19" s="4">
        <v>12986683.279999999</v>
      </c>
      <c r="D19" s="4">
        <v>17846179.690000001</v>
      </c>
      <c r="E19" s="4">
        <f t="shared" si="0"/>
        <v>67694618.730000004</v>
      </c>
      <c r="F19" s="4">
        <v>157580135.71000001</v>
      </c>
      <c r="G19" s="4">
        <f t="shared" si="1"/>
        <v>225274754.44</v>
      </c>
      <c r="H19">
        <v>576336</v>
      </c>
      <c r="I19" s="882">
        <f t="shared" si="2"/>
        <v>390.87399440604094</v>
      </c>
      <c r="J19" s="11">
        <f t="shared" si="3"/>
        <v>8.9671665458361804E-3</v>
      </c>
    </row>
    <row r="20" spans="1:10">
      <c r="A20" s="879">
        <v>42917</v>
      </c>
      <c r="B20" s="4">
        <v>38788386.939999998</v>
      </c>
      <c r="C20" s="4">
        <v>13925037.029999999</v>
      </c>
      <c r="D20" s="4">
        <v>19165727.289999999</v>
      </c>
      <c r="E20" s="4">
        <f t="shared" si="0"/>
        <v>71879151.25999999</v>
      </c>
      <c r="F20" s="4">
        <v>161505901.41</v>
      </c>
      <c r="G20" s="4">
        <f t="shared" si="1"/>
        <v>233385052.66999999</v>
      </c>
      <c r="H20">
        <v>578085</v>
      </c>
      <c r="I20" s="882">
        <f t="shared" si="2"/>
        <v>403.72099720629319</v>
      </c>
      <c r="J20" s="11">
        <f t="shared" si="3"/>
        <v>3.2867376658746839E-2</v>
      </c>
    </row>
    <row r="21" spans="1:10">
      <c r="A21" s="879">
        <v>43282</v>
      </c>
      <c r="B21" s="4">
        <v>44120580.340000004</v>
      </c>
      <c r="C21" s="4">
        <v>14777983.109999999</v>
      </c>
      <c r="D21" s="4">
        <v>19894445.350000001</v>
      </c>
      <c r="E21" s="4">
        <f t="shared" si="0"/>
        <v>78793008.800000012</v>
      </c>
      <c r="F21" s="4">
        <v>159295476.78</v>
      </c>
      <c r="G21" s="4">
        <f t="shared" si="1"/>
        <v>238088485.58000001</v>
      </c>
      <c r="H21">
        <v>579024</v>
      </c>
      <c r="I21" s="882">
        <f t="shared" si="2"/>
        <v>411.18932130619805</v>
      </c>
      <c r="J21" s="11">
        <f t="shared" si="3"/>
        <v>1.8498725980528263E-2</v>
      </c>
    </row>
    <row r="22" spans="1:10">
      <c r="A22" s="879">
        <v>43647</v>
      </c>
      <c r="B22" s="4">
        <v>45101824.009999998</v>
      </c>
      <c r="C22" s="4">
        <v>14459839.039999999</v>
      </c>
      <c r="D22" s="4">
        <v>20143499.690000001</v>
      </c>
      <c r="E22" s="4">
        <f t="shared" si="0"/>
        <v>79705162.739999995</v>
      </c>
      <c r="F22" s="4">
        <v>149111259.11000001</v>
      </c>
      <c r="G22" s="4">
        <f t="shared" si="1"/>
        <v>228816421.85000002</v>
      </c>
      <c r="H22">
        <v>579856</v>
      </c>
      <c r="I22" s="882">
        <f t="shared" si="2"/>
        <v>394.60904405576559</v>
      </c>
      <c r="J22" s="11">
        <f t="shared" si="3"/>
        <v>-4.0322733085000784E-2</v>
      </c>
    </row>
    <row r="23" spans="1:10">
      <c r="A23" s="879">
        <v>44013</v>
      </c>
      <c r="B23" s="4">
        <v>35221012.420000002</v>
      </c>
      <c r="C23" s="4">
        <v>11661790.68</v>
      </c>
      <c r="D23" s="4">
        <v>17285463.68</v>
      </c>
      <c r="E23" s="4">
        <f t="shared" si="0"/>
        <v>64168266.780000001</v>
      </c>
      <c r="F23" s="4">
        <v>136706931.96000001</v>
      </c>
      <c r="G23" s="4">
        <f t="shared" si="1"/>
        <v>200875198.74000001</v>
      </c>
      <c r="H23">
        <v>557797</v>
      </c>
      <c r="I23" s="882">
        <f>G23/H23</f>
        <v>360.12240786522699</v>
      </c>
      <c r="J23" s="11">
        <f>I23/I22-1</f>
        <v>-8.7394439407894042E-2</v>
      </c>
    </row>
    <row r="24" spans="1:10">
      <c r="A24" s="879">
        <v>44378</v>
      </c>
      <c r="B24" s="4">
        <v>48094179.140000001</v>
      </c>
      <c r="C24" s="4">
        <v>15960825.59</v>
      </c>
      <c r="D24" s="4">
        <v>21314681.73</v>
      </c>
      <c r="E24" s="4">
        <f t="shared" si="0"/>
        <v>85369686.460000008</v>
      </c>
      <c r="F24" s="4">
        <v>167662174.53999999</v>
      </c>
      <c r="G24" s="4">
        <f t="shared" si="1"/>
        <v>253031861</v>
      </c>
      <c r="H24">
        <v>550325</v>
      </c>
      <c r="I24" s="882">
        <f>G24/H24</f>
        <v>459.78623722345884</v>
      </c>
      <c r="J24" s="11">
        <f>I24/I23-1</f>
        <v>0.27674986943753366</v>
      </c>
    </row>
    <row r="25" spans="1:10">
      <c r="A25" s="879">
        <v>44743</v>
      </c>
      <c r="B25" s="4">
        <v>51698732</v>
      </c>
      <c r="C25" s="4">
        <v>16406760</v>
      </c>
      <c r="D25" s="4">
        <v>23214278</v>
      </c>
      <c r="E25" s="4">
        <f t="shared" si="0"/>
        <v>91319770</v>
      </c>
      <c r="F25" s="4">
        <v>186761391</v>
      </c>
      <c r="G25" s="4">
        <f t="shared" si="1"/>
        <v>278081161</v>
      </c>
      <c r="H25">
        <v>549811</v>
      </c>
      <c r="I25" s="882">
        <f>G25/H25</f>
        <v>505.77591390496008</v>
      </c>
      <c r="J25" s="11">
        <f>I25/I24-1</f>
        <v>0.10002403934320014</v>
      </c>
    </row>
  </sheetData>
  <sheetProtection algorithmName="SHA-512" hashValue="x1JHAhHrSw5LrccRmbqDFr+zHOa3t7cnLK16etKGy+jn+VTORpyfRXx3FHEiLPvlz3V7719r37b32VMQau8RVg==" saltValue="JD/Wozep6Qkz3LhmWHYwPQ==" spinCount="100000" sheet="1" objects="1" scenarios="1"/>
  <pageMargins left="0.7" right="0.7" top="0.75" bottom="0.75" header="0.3" footer="0.3"/>
  <pageSetup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J22"/>
  <sheetViews>
    <sheetView workbookViewId="0"/>
  </sheetViews>
  <sheetFormatPr defaultColWidth="9.140625" defaultRowHeight="15"/>
  <cols>
    <col min="1" max="1" width="40.140625" bestFit="1" customWidth="1"/>
    <col min="2" max="6" width="13.85546875" bestFit="1" customWidth="1"/>
    <col min="7" max="8" width="14.85546875" customWidth="1"/>
  </cols>
  <sheetData>
    <row r="1" spans="1:10">
      <c r="B1" s="948" t="str">
        <f>'1.Years'!A4</f>
        <v>Base Year</v>
      </c>
      <c r="C1" s="948" t="str">
        <f>'1.Years'!B4</f>
        <v>Base+1</v>
      </c>
      <c r="D1" s="948" t="str">
        <f>'1.Years'!C4</f>
        <v>Base+2</v>
      </c>
      <c r="E1" s="948" t="str">
        <f>'1.Years'!D4</f>
        <v>Base+3</v>
      </c>
      <c r="F1" s="948" t="str">
        <f>'1.Years'!E4</f>
        <v>Base+4</v>
      </c>
      <c r="G1" s="948" t="str">
        <f>'1.Years'!F4</f>
        <v>Base+5</v>
      </c>
      <c r="H1" s="948" t="str">
        <f>'1.Years'!G4</f>
        <v>Base+6</v>
      </c>
      <c r="J1" s="951" t="s">
        <v>669</v>
      </c>
    </row>
    <row r="2" spans="1:10" ht="15.75" thickBot="1">
      <c r="A2" s="1197" t="s">
        <v>870</v>
      </c>
      <c r="B2" s="949" t="str">
        <f>'1.Years'!A7</f>
        <v>2022-23</v>
      </c>
      <c r="C2" s="949" t="str">
        <f>'1.Years'!B7</f>
        <v>2023-24</v>
      </c>
      <c r="D2" s="949" t="str">
        <f>'1.Years'!C7</f>
        <v>2024-25</v>
      </c>
      <c r="E2" s="949" t="str">
        <f>'1.Years'!D7</f>
        <v>2025-26</v>
      </c>
      <c r="F2" s="949" t="str">
        <f>'1.Years'!E7</f>
        <v>2026-27</v>
      </c>
      <c r="G2" s="949" t="str">
        <f>'1.Years'!F7</f>
        <v>2027-28</v>
      </c>
      <c r="H2" s="949" t="str">
        <f>'1.Years'!G7</f>
        <v>2028-29</v>
      </c>
      <c r="J2" s="951"/>
    </row>
    <row r="3" spans="1:10">
      <c r="A3" s="799" t="s">
        <v>872</v>
      </c>
      <c r="B3" s="801">
        <f ca="1">'5.LocalAndFedRevenues'!D7</f>
        <v>2306528383</v>
      </c>
      <c r="C3" s="801">
        <v>2380869917</v>
      </c>
      <c r="D3" s="801">
        <v>2481406093</v>
      </c>
      <c r="E3" s="801">
        <v>2579641703</v>
      </c>
      <c r="F3" s="801">
        <v>2682443364</v>
      </c>
      <c r="G3" s="801">
        <f ca="1">F3*(1+G6)</f>
        <v>2785648631.5903687</v>
      </c>
      <c r="H3" s="801">
        <f ca="1">G3*(1+H6)</f>
        <v>2897172655.4789839</v>
      </c>
      <c r="J3" t="s">
        <v>899</v>
      </c>
    </row>
    <row r="4" spans="1:10" ht="15.75" thickBot="1">
      <c r="A4" s="984" t="s">
        <v>875</v>
      </c>
      <c r="B4" s="808">
        <f ca="1">'5.LocalAndFedRevenues'!D8</f>
        <v>156173586</v>
      </c>
      <c r="C4" s="808">
        <v>160644112</v>
      </c>
      <c r="D4" s="808">
        <v>167694946</v>
      </c>
      <c r="E4" s="808">
        <v>174716790</v>
      </c>
      <c r="F4" s="808">
        <v>181848633</v>
      </c>
      <c r="G4" s="808">
        <f ca="1">F4*(1+G7)</f>
        <v>188904748.99570969</v>
      </c>
      <c r="H4" s="808">
        <f ca="1">G4*(1+H7)</f>
        <v>196715267.60838205</v>
      </c>
      <c r="J4" t="s">
        <v>900</v>
      </c>
    </row>
    <row r="5" spans="1:10" ht="15.75" thickTop="1">
      <c r="A5" s="985" t="s">
        <v>163</v>
      </c>
      <c r="B5" s="801">
        <f t="shared" ref="B5:H5" ca="1" si="0">SUM(B3:B4)</f>
        <v>2462701969</v>
      </c>
      <c r="C5" s="801">
        <f t="shared" si="0"/>
        <v>2541514029</v>
      </c>
      <c r="D5" s="801">
        <f t="shared" si="0"/>
        <v>2649101039</v>
      </c>
      <c r="E5" s="801">
        <f t="shared" si="0"/>
        <v>2754358493</v>
      </c>
      <c r="F5" s="801">
        <f t="shared" si="0"/>
        <v>2864291997</v>
      </c>
      <c r="G5" s="801">
        <f t="shared" ca="1" si="0"/>
        <v>2974553380.5860786</v>
      </c>
      <c r="H5" s="801">
        <f t="shared" ca="1" si="0"/>
        <v>3093887923.0873661</v>
      </c>
      <c r="J5" t="s">
        <v>901</v>
      </c>
    </row>
    <row r="6" spans="1:10">
      <c r="A6" s="799" t="s">
        <v>902</v>
      </c>
      <c r="B6" s="986"/>
      <c r="C6" s="986">
        <f t="shared" ref="C6:F7" ca="1" si="1">C3/B3-1</f>
        <v>3.2230920958062237E-2</v>
      </c>
      <c r="D6" s="986">
        <f t="shared" si="1"/>
        <v>4.2226656434333876E-2</v>
      </c>
      <c r="E6" s="986">
        <f t="shared" si="1"/>
        <v>3.958868734832266E-2</v>
      </c>
      <c r="F6" s="986">
        <f t="shared" si="1"/>
        <v>3.9851139358014986E-2</v>
      </c>
      <c r="G6" s="986">
        <f ca="1">AVERAGE(C6:F6)</f>
        <v>3.847435102468344E-2</v>
      </c>
      <c r="H6" s="986">
        <f ca="1">AVERAGE(D6:G6)</f>
        <v>4.003520854133874E-2</v>
      </c>
      <c r="J6" t="s">
        <v>903</v>
      </c>
    </row>
    <row r="7" spans="1:10">
      <c r="A7" s="799" t="s">
        <v>904</v>
      </c>
      <c r="B7" s="986"/>
      <c r="C7" s="986">
        <f t="shared" ca="1" si="1"/>
        <v>2.8625365623608179E-2</v>
      </c>
      <c r="D7" s="986">
        <f t="shared" si="1"/>
        <v>4.3891020419098759E-2</v>
      </c>
      <c r="E7" s="986">
        <f t="shared" si="1"/>
        <v>4.1872722866674872E-2</v>
      </c>
      <c r="F7" s="986">
        <f t="shared" si="1"/>
        <v>4.0819448434234573E-2</v>
      </c>
      <c r="G7" s="986">
        <f ca="1">AVERAGE(C7:F7)</f>
        <v>3.8802139335904096E-2</v>
      </c>
      <c r="H7" s="986">
        <f ca="1">AVERAGE(D7:G7)</f>
        <v>4.1346332763978075E-2</v>
      </c>
    </row>
    <row r="8" spans="1:10">
      <c r="A8" s="799"/>
      <c r="B8" s="986"/>
      <c r="C8" s="986"/>
      <c r="D8" s="986"/>
      <c r="E8" s="986"/>
      <c r="F8" s="986"/>
    </row>
    <row r="9" spans="1:10">
      <c r="A9" s="987" t="s">
        <v>157</v>
      </c>
      <c r="B9" s="801">
        <f ca="1">+'5.LocalAndFedRevenues'!D4+'5.LocalAndFedRevenues'!D5</f>
        <v>1038192817.92</v>
      </c>
      <c r="C9" s="801">
        <f t="shared" ref="C9:H9" ca="1" si="2">B9*(1+C10)</f>
        <v>1111371241.6895525</v>
      </c>
      <c r="D9" s="801">
        <f t="shared" ca="1" si="2"/>
        <v>1193757354.8921523</v>
      </c>
      <c r="E9" s="801">
        <f t="shared" ca="1" si="2"/>
        <v>1277564608.6363163</v>
      </c>
      <c r="F9" s="801">
        <f t="shared" ca="1" si="2"/>
        <v>1364482647.4373989</v>
      </c>
      <c r="G9" s="801">
        <f t="shared" ca="1" si="2"/>
        <v>1457608332.7009881</v>
      </c>
      <c r="H9" s="801">
        <f t="shared" ca="1" si="2"/>
        <v>1568152394.7883666</v>
      </c>
    </row>
    <row r="10" spans="1:10">
      <c r="A10" s="800" t="s">
        <v>905</v>
      </c>
      <c r="B10" s="986"/>
      <c r="C10" s="986">
        <f>'Raw Data'!K23</f>
        <v>7.0486351385250501E-2</v>
      </c>
      <c r="D10" s="986">
        <f>'Raw Data'!L23</f>
        <v>7.4130146716189005E-2</v>
      </c>
      <c r="E10" s="986">
        <f>'Raw Data'!M23</f>
        <v>7.0204596772294181E-2</v>
      </c>
      <c r="F10" s="986">
        <f>'Raw Data'!N23</f>
        <v>6.8034162979717872E-2</v>
      </c>
      <c r="G10" s="986">
        <f>'Raw Data'!O23</f>
        <v>6.8249812805231569E-2</v>
      </c>
      <c r="H10" s="986">
        <f>'Raw Data'!P23</f>
        <v>7.5839345596040442E-2</v>
      </c>
    </row>
    <row r="11" spans="1:10">
      <c r="A11" s="800"/>
      <c r="B11" s="986"/>
      <c r="C11" s="986"/>
      <c r="D11" s="986"/>
      <c r="E11" s="986"/>
      <c r="F11" s="986"/>
    </row>
    <row r="12" spans="1:10">
      <c r="A12" s="987" t="s">
        <v>159</v>
      </c>
      <c r="B12" s="801">
        <f ca="1">'5.LocalAndFedRevenues'!D12</f>
        <v>28990892</v>
      </c>
      <c r="C12" s="801">
        <f t="shared" ref="C12:H12" ca="1" si="3">B12*(1+C13)</f>
        <v>30054299.827482749</v>
      </c>
      <c r="D12" s="801">
        <f t="shared" ca="1" si="3"/>
        <v>31156714.257713411</v>
      </c>
      <c r="E12" s="801">
        <f t="shared" ca="1" si="3"/>
        <v>32299566.082358748</v>
      </c>
      <c r="F12" s="801">
        <f t="shared" ca="1" si="3"/>
        <v>33484338.575605132</v>
      </c>
      <c r="G12" s="801">
        <f t="shared" ca="1" si="3"/>
        <v>34712569.41925703</v>
      </c>
      <c r="H12" s="801">
        <f t="shared" ca="1" si="3"/>
        <v>35985852.698449552</v>
      </c>
    </row>
    <row r="13" spans="1:10">
      <c r="A13" s="800" t="s">
        <v>906</v>
      </c>
      <c r="B13" s="986"/>
      <c r="C13" s="986">
        <f>'6.GrowthFactors'!D19</f>
        <v>3.6680755717442282E-2</v>
      </c>
      <c r="D13" s="986">
        <f>'6.GrowthFactors'!E19</f>
        <v>3.6680755717442282E-2</v>
      </c>
      <c r="E13" s="986">
        <f>'6.GrowthFactors'!F19</f>
        <v>3.6680755717442282E-2</v>
      </c>
      <c r="F13" s="986">
        <f>'6.GrowthFactors'!G19</f>
        <v>3.6680755717442282E-2</v>
      </c>
      <c r="G13" s="986">
        <f>'6.GrowthFactors'!H19</f>
        <v>3.6680755717442282E-2</v>
      </c>
      <c r="H13" s="986">
        <f>'6.GrowthFactors'!I19</f>
        <v>3.6680755717442282E-2</v>
      </c>
    </row>
    <row r="14" spans="1:10">
      <c r="A14" s="800" t="s">
        <v>162</v>
      </c>
      <c r="B14" s="986">
        <v>0.95250000000000001</v>
      </c>
      <c r="C14" s="986">
        <v>0.95250000000000001</v>
      </c>
      <c r="D14" s="986">
        <v>0.95250000000000001</v>
      </c>
      <c r="E14" s="986">
        <v>0.95250000000000001</v>
      </c>
      <c r="F14" s="986">
        <v>0.95250000000000001</v>
      </c>
      <c r="G14" s="986">
        <v>0.95250000000000001</v>
      </c>
      <c r="H14" s="986">
        <v>0.95250000000000001</v>
      </c>
    </row>
    <row r="15" spans="1:10">
      <c r="A15" s="799" t="s">
        <v>907</v>
      </c>
      <c r="B15" s="986">
        <v>4.7499999999999987E-2</v>
      </c>
      <c r="C15" s="986">
        <v>4.7499999999999987E-2</v>
      </c>
      <c r="D15" s="986">
        <v>4.7499999999999987E-2</v>
      </c>
      <c r="E15" s="986">
        <v>4.7499999999999987E-2</v>
      </c>
      <c r="F15" s="986">
        <v>4.7499999999999987E-2</v>
      </c>
      <c r="G15" s="986">
        <v>4.7499999999999987E-2</v>
      </c>
      <c r="H15" s="986">
        <v>4.7499999999999987E-2</v>
      </c>
    </row>
    <row r="16" spans="1:10">
      <c r="A16" s="799"/>
      <c r="B16" s="986"/>
      <c r="C16" s="986"/>
      <c r="D16" s="986"/>
      <c r="E16" s="986"/>
      <c r="F16" s="986"/>
    </row>
    <row r="17" spans="1:8">
      <c r="A17" s="799" t="s">
        <v>158</v>
      </c>
      <c r="B17" s="801">
        <f ca="1">'5.LocalAndFedRevenues'!D23</f>
        <v>1117777311.8</v>
      </c>
      <c r="C17" s="801">
        <f t="shared" ref="C17:H17" ca="1" si="4">B17*(1+C18)</f>
        <v>1237068995.4663041</v>
      </c>
      <c r="D17" s="801">
        <f t="shared" ca="1" si="4"/>
        <v>1385691278.7770898</v>
      </c>
      <c r="E17" s="801">
        <f t="shared" ca="1" si="4"/>
        <v>1573749597.9923267</v>
      </c>
      <c r="F17" s="801">
        <f t="shared" ca="1" si="4"/>
        <v>1807264391.8834498</v>
      </c>
      <c r="G17" s="801">
        <f t="shared" ca="1" si="4"/>
        <v>2108134821.8651187</v>
      </c>
      <c r="H17" s="801">
        <f t="shared" ca="1" si="4"/>
        <v>2501563327.1035676</v>
      </c>
    </row>
    <row r="18" spans="1:8">
      <c r="A18" s="799" t="s">
        <v>908</v>
      </c>
      <c r="B18" s="986"/>
      <c r="C18" s="986">
        <f>'Raw Data'!K47</f>
        <v>0.10672222669666122</v>
      </c>
      <c r="D18" s="986">
        <f>'Raw Data'!L47</f>
        <v>0.12014065816495852</v>
      </c>
      <c r="E18" s="986">
        <f>'Raw Data'!M47</f>
        <v>0.13571444238373473</v>
      </c>
      <c r="F18" s="986">
        <f>'Raw Data'!N47</f>
        <v>0.14838116190086661</v>
      </c>
      <c r="G18" s="986">
        <f>'Raw Data'!O47</f>
        <v>0.1664783699235701</v>
      </c>
      <c r="H18" s="986">
        <f>'Raw Data'!P47</f>
        <v>0.18662397734617997</v>
      </c>
    </row>
    <row r="20" spans="1:8">
      <c r="C20" s="3"/>
      <c r="D20" s="3"/>
      <c r="E20" s="3"/>
      <c r="F20" s="3"/>
      <c r="G20" s="3"/>
      <c r="H20" s="3"/>
    </row>
    <row r="21" spans="1:8">
      <c r="F21" s="941"/>
    </row>
    <row r="22" spans="1:8" ht="18.75">
      <c r="A22" s="988"/>
    </row>
  </sheetData>
  <sheetProtection algorithmName="SHA-512" hashValue="QjtTLnC7xAEaMHI+yjsA+66pgRHJ8K3tAnMzdwqjb6OuBlt40jSrVB9KeBE9cuDFa+SxYoGh9vhqSkso7gBAUA==" saltValue="WHkEp/g5jjjTkWA/zN63qw==" spinCount="100000" sheet="1" objects="1" scenarios="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M22"/>
  <sheetViews>
    <sheetView workbookViewId="0"/>
  </sheetViews>
  <sheetFormatPr defaultRowHeight="15"/>
  <cols>
    <col min="1" max="1" width="48.28515625" bestFit="1" customWidth="1"/>
    <col min="2" max="2" width="6.28515625" style="938" bestFit="1" customWidth="1"/>
    <col min="3" max="3" width="9.42578125" bestFit="1" customWidth="1"/>
    <col min="4" max="4" width="7.7109375" bestFit="1" customWidth="1"/>
    <col min="5" max="9" width="7.85546875" bestFit="1" customWidth="1"/>
    <col min="10" max="10" width="30.5703125" bestFit="1" customWidth="1"/>
  </cols>
  <sheetData>
    <row r="1" spans="1:13">
      <c r="B1">
        <f>C1-1</f>
        <v>2021</v>
      </c>
      <c r="C1">
        <v>2022</v>
      </c>
      <c r="D1">
        <v>2023</v>
      </c>
      <c r="E1">
        <f>D1+1</f>
        <v>2024</v>
      </c>
      <c r="F1">
        <f>E1+1</f>
        <v>2025</v>
      </c>
      <c r="G1">
        <f>F1+1</f>
        <v>2026</v>
      </c>
      <c r="H1">
        <f>G1+1</f>
        <v>2027</v>
      </c>
      <c r="I1">
        <f>H1+1</f>
        <v>2028</v>
      </c>
    </row>
    <row r="2" spans="1:13">
      <c r="A2" s="932" t="s">
        <v>909</v>
      </c>
      <c r="B2" s="933"/>
      <c r="C2" s="928" t="str">
        <f>'1.Years'!A4</f>
        <v>Base Year</v>
      </c>
      <c r="D2" s="928" t="str">
        <f>'1.Years'!B4</f>
        <v>Base+1</v>
      </c>
      <c r="E2" s="928" t="str">
        <f>'1.Years'!C4</f>
        <v>Base+2</v>
      </c>
      <c r="F2" s="928" t="str">
        <f>'1.Years'!D4</f>
        <v>Base+3</v>
      </c>
      <c r="G2" s="928" t="str">
        <f>'1.Years'!E4</f>
        <v>Base+4</v>
      </c>
      <c r="H2" s="928" t="str">
        <f>'1.Years'!F4</f>
        <v>Base+5</v>
      </c>
      <c r="I2" s="928" t="str">
        <f>'1.Years'!G4</f>
        <v>Base+6</v>
      </c>
    </row>
    <row r="3" spans="1:13" ht="15.75" thickBot="1">
      <c r="A3" s="934"/>
      <c r="B3" s="935"/>
      <c r="C3" s="936" t="str">
        <f>'1.Years'!A7</f>
        <v>2022-23</v>
      </c>
      <c r="D3" s="936" t="str">
        <f>'1.Years'!B7</f>
        <v>2023-24</v>
      </c>
      <c r="E3" s="936" t="str">
        <f>'1.Years'!C7</f>
        <v>2024-25</v>
      </c>
      <c r="F3" s="936" t="str">
        <f>'1.Years'!D7</f>
        <v>2025-26</v>
      </c>
      <c r="G3" s="936" t="str">
        <f>'1.Years'!E7</f>
        <v>2026-27</v>
      </c>
      <c r="H3" s="936" t="str">
        <f>'1.Years'!F7</f>
        <v>2027-28</v>
      </c>
      <c r="I3" s="936" t="str">
        <f>'1.Years'!G7</f>
        <v>2028-29</v>
      </c>
      <c r="J3" s="937" t="s">
        <v>802</v>
      </c>
    </row>
    <row r="4" spans="1:13">
      <c r="A4" t="s">
        <v>910</v>
      </c>
      <c r="B4" s="938">
        <v>287.5</v>
      </c>
      <c r="C4" s="938">
        <v>310.5</v>
      </c>
      <c r="D4" s="938">
        <v>323.8</v>
      </c>
      <c r="E4" s="938">
        <v>332.7</v>
      </c>
      <c r="F4" s="938">
        <v>339.9</v>
      </c>
      <c r="G4" s="938">
        <v>348.1</v>
      </c>
      <c r="H4" s="938">
        <v>356.8</v>
      </c>
      <c r="I4" s="938">
        <v>365.2</v>
      </c>
      <c r="J4" t="s">
        <v>911</v>
      </c>
      <c r="K4" t="s">
        <v>912</v>
      </c>
    </row>
    <row r="5" spans="1:13">
      <c r="A5" t="s">
        <v>913</v>
      </c>
      <c r="B5" s="939">
        <v>110.2195</v>
      </c>
      <c r="C5" s="939">
        <v>117.99525</v>
      </c>
      <c r="D5" s="939">
        <v>122.276725</v>
      </c>
      <c r="E5" s="939">
        <v>124.70055000000001</v>
      </c>
      <c r="F5" s="939">
        <v>127.40475000000001</v>
      </c>
      <c r="G5" s="939">
        <v>130.24574999999999</v>
      </c>
      <c r="H5" s="939">
        <v>133.21680000000001</v>
      </c>
      <c r="I5" s="939">
        <v>136.296425</v>
      </c>
      <c r="J5" t="s">
        <v>911</v>
      </c>
      <c r="K5" t="s">
        <v>912</v>
      </c>
    </row>
    <row r="6" spans="1:13">
      <c r="A6" s="1" t="s">
        <v>914</v>
      </c>
      <c r="B6" s="940"/>
      <c r="C6" s="3">
        <v>0</v>
      </c>
      <c r="D6" s="3">
        <v>0</v>
      </c>
      <c r="E6" s="3">
        <v>0</v>
      </c>
      <c r="F6" s="3">
        <v>0</v>
      </c>
      <c r="G6" s="3">
        <v>0</v>
      </c>
      <c r="H6" s="3">
        <v>0</v>
      </c>
      <c r="I6" s="3">
        <v>0</v>
      </c>
    </row>
    <row r="7" spans="1:13">
      <c r="A7" s="1"/>
      <c r="B7" s="940"/>
      <c r="C7" s="3"/>
      <c r="D7" s="3"/>
      <c r="E7" s="941"/>
      <c r="F7" s="3"/>
      <c r="G7" s="3"/>
      <c r="H7" s="3"/>
      <c r="I7" s="3"/>
    </row>
    <row r="8" spans="1:13">
      <c r="A8" t="s">
        <v>781</v>
      </c>
      <c r="C8" s="3">
        <f>(C4/B4)-1</f>
        <v>8.0000000000000071E-2</v>
      </c>
      <c r="D8" s="3">
        <f t="shared" ref="D8:I8" si="0">+D4/C4-1</f>
        <v>4.2834138486312456E-2</v>
      </c>
      <c r="E8" s="3">
        <f t="shared" si="0"/>
        <v>2.7486102532427337E-2</v>
      </c>
      <c r="F8" s="3">
        <f t="shared" si="0"/>
        <v>2.1641118124436476E-2</v>
      </c>
      <c r="G8" s="3">
        <f t="shared" si="0"/>
        <v>2.4124742571344671E-2</v>
      </c>
      <c r="H8" s="3">
        <f t="shared" si="0"/>
        <v>2.4992818155702423E-2</v>
      </c>
      <c r="I8" s="3">
        <f t="shared" si="0"/>
        <v>2.3542600896860888E-2</v>
      </c>
    </row>
    <row r="9" spans="1:13">
      <c r="A9" t="s">
        <v>915</v>
      </c>
      <c r="C9" s="3">
        <f>(C5/B5)-1</f>
        <v>7.0547861313106974E-2</v>
      </c>
      <c r="D9" s="3">
        <f t="shared" ref="D9:I9" si="1">+D5/C5-1</f>
        <v>3.6285147071598134E-2</v>
      </c>
      <c r="E9" s="3">
        <f t="shared" si="1"/>
        <v>1.9822455990704757E-2</v>
      </c>
      <c r="F9" s="3">
        <f t="shared" si="1"/>
        <v>2.1685549903348367E-2</v>
      </c>
      <c r="G9" s="3">
        <f t="shared" si="1"/>
        <v>2.2299011614558939E-2</v>
      </c>
      <c r="H9" s="3">
        <f t="shared" si="1"/>
        <v>2.2811108999718055E-2</v>
      </c>
      <c r="I9" s="3">
        <f t="shared" si="1"/>
        <v>2.3117392100695966E-2</v>
      </c>
    </row>
    <row r="10" spans="1:13">
      <c r="A10" t="s">
        <v>916</v>
      </c>
      <c r="C10" s="942">
        <v>2.7267384336109979E-2</v>
      </c>
      <c r="D10" s="942">
        <v>1.0688509227341658E-2</v>
      </c>
      <c r="E10" s="942">
        <v>2.8549843972383471E-2</v>
      </c>
      <c r="F10" s="942">
        <v>4.3654894069708572E-2</v>
      </c>
      <c r="G10" s="942">
        <v>2.9989955315792516E-2</v>
      </c>
      <c r="H10" s="942">
        <v>3.0513663848862338E-2</v>
      </c>
      <c r="I10" s="942">
        <v>3.0840902943962467E-2</v>
      </c>
    </row>
    <row r="11" spans="1:13">
      <c r="A11" s="1" t="s">
        <v>432</v>
      </c>
      <c r="B11" s="940"/>
      <c r="C11" s="3">
        <f>+C9</f>
        <v>7.0547861313106974E-2</v>
      </c>
      <c r="D11" s="3">
        <f t="shared" ref="D11:I11" si="2">+D9</f>
        <v>3.6285147071598134E-2</v>
      </c>
      <c r="E11" s="3">
        <f t="shared" si="2"/>
        <v>1.9822455990704757E-2</v>
      </c>
      <c r="F11" s="3">
        <f t="shared" si="2"/>
        <v>2.1685549903348367E-2</v>
      </c>
      <c r="G11" s="3">
        <f t="shared" si="2"/>
        <v>2.2299011614558939E-2</v>
      </c>
      <c r="H11" s="3">
        <f t="shared" si="2"/>
        <v>2.2811108999718055E-2</v>
      </c>
      <c r="I11" s="3">
        <f t="shared" si="2"/>
        <v>2.3117392100695966E-2</v>
      </c>
    </row>
    <row r="13" spans="1:13">
      <c r="A13" s="943" t="s">
        <v>917</v>
      </c>
      <c r="B13" s="944">
        <f>VLOOKUP(B1, 'computer cost growth'!$A$5:$R$17, 18, 0)</f>
        <v>3.6979364339235765E-2</v>
      </c>
      <c r="C13" s="944">
        <f>VLOOKUP(C1, 'computer cost growth'!$A$5:$R$17, 18, 0)</f>
        <v>-4.726171504101262E-2</v>
      </c>
      <c r="D13" s="944">
        <f>VLOOKUP(D1, 'computer cost growth'!$A$5:$R$17, 18, 0)</f>
        <v>-3.6891831376715589E-2</v>
      </c>
      <c r="E13" s="944">
        <f>D13</f>
        <v>-3.6891831376715589E-2</v>
      </c>
      <c r="F13" s="944">
        <f>E13</f>
        <v>-3.6891831376715589E-2</v>
      </c>
      <c r="G13" s="944">
        <f>F13</f>
        <v>-3.6891831376715589E-2</v>
      </c>
      <c r="H13" s="944">
        <f>G13</f>
        <v>-3.6891831376715589E-2</v>
      </c>
      <c r="I13" s="944">
        <f>H13</f>
        <v>-3.6891831376715589E-2</v>
      </c>
      <c r="J13" s="919" t="s">
        <v>918</v>
      </c>
      <c r="L13" s="110"/>
      <c r="M13" s="110"/>
    </row>
    <row r="14" spans="1:13">
      <c r="A14" s="110" t="s">
        <v>506</v>
      </c>
      <c r="B14" s="945"/>
      <c r="C14" s="944">
        <f>C13</f>
        <v>-4.726171504101262E-2</v>
      </c>
      <c r="D14" s="944">
        <f t="shared" ref="D14:I14" si="3">(1+C14)*(1+D13)-1</f>
        <v>-8.2409975195860796E-2</v>
      </c>
      <c r="E14" s="944">
        <f t="shared" si="3"/>
        <v>-0.1162615516638914</v>
      </c>
      <c r="F14" s="944">
        <f t="shared" si="3"/>
        <v>-0.14886428148102737</v>
      </c>
      <c r="G14" s="944">
        <f t="shared" si="3"/>
        <v>-0.18026423688732895</v>
      </c>
      <c r="H14" s="944">
        <f t="shared" si="3"/>
        <v>-0.21050579043354489</v>
      </c>
      <c r="I14" s="944">
        <f t="shared" si="3"/>
        <v>-0.23963167768576388</v>
      </c>
      <c r="J14" s="110"/>
      <c r="K14" s="110"/>
      <c r="L14" s="110"/>
      <c r="M14" s="110"/>
    </row>
    <row r="15" spans="1:13">
      <c r="A15" s="943" t="s">
        <v>849</v>
      </c>
      <c r="B15" s="944">
        <f>VLOOKUP(B1, 'textbook cost growth'!$A$5:$R$17, 18, 0)</f>
        <v>1.6956106180826547E-2</v>
      </c>
      <c r="C15" s="944">
        <f>VLOOKUP(C1, 'textbook cost growth'!$A$5:$R$17, 18, 0)</f>
        <v>2.4143495093307266E-2</v>
      </c>
      <c r="D15" s="944">
        <f>VLOOKUP(D1, 'textbook cost growth'!$A$5:$R$17, 18, 0)</f>
        <v>-2.7905510692836311E-2</v>
      </c>
      <c r="E15" s="944">
        <f>D15</f>
        <v>-2.7905510692836311E-2</v>
      </c>
      <c r="F15" s="944">
        <f>E15</f>
        <v>-2.7905510692836311E-2</v>
      </c>
      <c r="G15" s="944">
        <f>F15</f>
        <v>-2.7905510692836311E-2</v>
      </c>
      <c r="H15" s="944">
        <f>G15</f>
        <v>-2.7905510692836311E-2</v>
      </c>
      <c r="I15" s="944">
        <f>H15</f>
        <v>-2.7905510692836311E-2</v>
      </c>
      <c r="J15" s="919" t="s">
        <v>919</v>
      </c>
    </row>
    <row r="16" spans="1:13">
      <c r="A16" s="110" t="s">
        <v>515</v>
      </c>
      <c r="B16" s="945"/>
      <c r="C16" s="944">
        <f>C15</f>
        <v>2.4143495093307266E-2</v>
      </c>
      <c r="D16" s="944">
        <f t="shared" ref="D16:I16" si="4">(1+C16)*(1+D15)-1</f>
        <v>-4.4357521600177918E-3</v>
      </c>
      <c r="E16" s="944">
        <f t="shared" si="4"/>
        <v>-3.2217480923521946E-2</v>
      </c>
      <c r="F16" s="944">
        <f t="shared" si="4"/>
        <v>-5.9223946357950696E-2</v>
      </c>
      <c r="G16" s="944">
        <f t="shared" si="4"/>
        <v>-8.5476782582423305E-2</v>
      </c>
      <c r="H16" s="944">
        <f t="shared" si="4"/>
        <v>-0.11099702000491651</v>
      </c>
      <c r="I16" s="944">
        <f t="shared" si="4"/>
        <v>-0.13580510216913266</v>
      </c>
    </row>
    <row r="17" spans="1:10">
      <c r="A17" s="943" t="s">
        <v>837</v>
      </c>
      <c r="B17" s="946"/>
      <c r="C17" s="944">
        <f>'centralized sped expenditures'!G2</f>
        <v>5.0972785334547827E-2</v>
      </c>
      <c r="D17" s="944">
        <f t="shared" ref="D17:I17" si="5">C17</f>
        <v>5.0972785334547827E-2</v>
      </c>
      <c r="E17" s="944">
        <f t="shared" si="5"/>
        <v>5.0972785334547827E-2</v>
      </c>
      <c r="F17" s="944">
        <f t="shared" si="5"/>
        <v>5.0972785334547827E-2</v>
      </c>
      <c r="G17" s="944">
        <f t="shared" si="5"/>
        <v>5.0972785334547827E-2</v>
      </c>
      <c r="H17" s="944">
        <f t="shared" si="5"/>
        <v>5.0972785334547827E-2</v>
      </c>
      <c r="I17" s="944">
        <f t="shared" si="5"/>
        <v>5.0972785334547827E-2</v>
      </c>
      <c r="J17" t="s">
        <v>920</v>
      </c>
    </row>
    <row r="18" spans="1:10">
      <c r="A18" s="110" t="s">
        <v>554</v>
      </c>
      <c r="B18" s="945"/>
      <c r="C18" s="944">
        <f>C17</f>
        <v>5.0972785334547827E-2</v>
      </c>
      <c r="D18" s="944">
        <f t="shared" ref="D18:I18" si="6">(1+C18)*(1+D17)-1</f>
        <v>0.10454379551385751</v>
      </c>
      <c r="E18" s="944">
        <f t="shared" si="6"/>
        <v>0.16084546929519217</v>
      </c>
      <c r="F18" s="944">
        <f t="shared" si="6"/>
        <v>0.2200169962081584</v>
      </c>
      <c r="G18" s="944">
        <f t="shared" si="6"/>
        <v>0.28220466066037675</v>
      </c>
      <c r="H18" s="944">
        <f t="shared" si="6"/>
        <v>0.34756220358317491</v>
      </c>
      <c r="I18" s="944">
        <f t="shared" si="6"/>
        <v>0.41625120251137027</v>
      </c>
    </row>
    <row r="19" spans="1:10">
      <c r="A19" s="943" t="s">
        <v>921</v>
      </c>
      <c r="B19" s="946"/>
      <c r="C19" s="944">
        <f>'Food service'!L2</f>
        <v>3.6680755717442282E-2</v>
      </c>
      <c r="D19" s="944">
        <f t="shared" ref="D19:I19" si="7">C19</f>
        <v>3.6680755717442282E-2</v>
      </c>
      <c r="E19" s="944">
        <f t="shared" si="7"/>
        <v>3.6680755717442282E-2</v>
      </c>
      <c r="F19" s="944">
        <f t="shared" si="7"/>
        <v>3.6680755717442282E-2</v>
      </c>
      <c r="G19" s="944">
        <f t="shared" si="7"/>
        <v>3.6680755717442282E-2</v>
      </c>
      <c r="H19" s="944">
        <f t="shared" si="7"/>
        <v>3.6680755717442282E-2</v>
      </c>
      <c r="I19" s="944">
        <f t="shared" si="7"/>
        <v>3.6680755717442282E-2</v>
      </c>
      <c r="J19" t="s">
        <v>922</v>
      </c>
    </row>
    <row r="20" spans="1:10">
      <c r="A20" s="110" t="s">
        <v>552</v>
      </c>
      <c r="B20" s="945"/>
      <c r="C20" s="944">
        <f>C19</f>
        <v>3.6680755717442282E-2</v>
      </c>
      <c r="D20" s="944">
        <f t="shared" ref="D20:I20" si="8">(1+C20)*(1+D19)-1</f>
        <v>7.4706989274887059E-2</v>
      </c>
      <c r="E20" s="944">
        <f t="shared" si="8"/>
        <v>0.11412805381630697</v>
      </c>
      <c r="F20" s="944">
        <f t="shared" si="8"/>
        <v>0.1549951127962923</v>
      </c>
      <c r="G20" s="944">
        <f t="shared" si="8"/>
        <v>0.19736120638361276</v>
      </c>
      <c r="H20" s="944">
        <f t="shared" si="8"/>
        <v>0.24128132030051197</v>
      </c>
      <c r="I20" s="944">
        <f t="shared" si="8"/>
        <v>0.28681245718707915</v>
      </c>
    </row>
    <row r="22" spans="1:10">
      <c r="E22" s="947"/>
    </row>
  </sheetData>
  <sheetProtection algorithmName="SHA-512" hashValue="YGa0yVQAD1sAHDCd8o8z5aIVV7qGkjvuXxpmQ+slsB0ul90PgenQLtRkoKxorJFI65whvzahYu7s/tdK0n2+8A==" saltValue="ukwdxiUaHFT9TGjZY0vLlg==" spinCount="100000" sheet="1" objects="1" scenarios="1"/>
  <hyperlinks>
    <hyperlink ref="J13" location="'computer cost growth'!A1" display="BLS PERSONAL COMPUTER GROWTH RATE" xr:uid="{B552220D-60ED-458F-AF42-05F30222C07D}"/>
    <hyperlink ref="J15" location="'textbook cost growth'!A1" display="BLS EDUCATIONAL BOOK AND SUPPLY COST GROWTH INDEX" xr:uid="{533520B7-59AA-435C-B71C-92E0BB047406}"/>
  </hyperlinks>
  <pageMargins left="0.7" right="0.7" top="0.75" bottom="0.75" header="0.3" footer="0.3"/>
  <pageSetup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2" tint="-0.249977111117893"/>
  </sheetPr>
  <dimension ref="A1:R17"/>
  <sheetViews>
    <sheetView workbookViewId="0"/>
  </sheetViews>
  <sheetFormatPr defaultRowHeight="15"/>
  <cols>
    <col min="17" max="17" width="25.5703125" bestFit="1" customWidth="1"/>
    <col min="18" max="18" width="12.7109375" style="11" bestFit="1" customWidth="1"/>
  </cols>
  <sheetData>
    <row r="1" spans="1:18">
      <c r="A1" s="877" t="s">
        <v>923</v>
      </c>
      <c r="Q1" s="870" t="s">
        <v>924</v>
      </c>
    </row>
    <row r="2" spans="1:18" ht="15.75" thickBot="1">
      <c r="A2" s="870" t="s">
        <v>925</v>
      </c>
    </row>
    <row r="3" spans="1:18">
      <c r="A3" s="874"/>
      <c r="B3" s="875"/>
      <c r="C3" s="875"/>
      <c r="D3" s="875"/>
      <c r="E3" s="875"/>
      <c r="F3" s="875"/>
      <c r="G3" s="875"/>
      <c r="H3" s="875"/>
      <c r="I3" s="875"/>
      <c r="J3" s="875"/>
      <c r="K3" s="875"/>
      <c r="L3" s="875"/>
      <c r="M3" s="875"/>
      <c r="N3" s="875"/>
      <c r="O3" s="876"/>
      <c r="Q3" t="s">
        <v>926</v>
      </c>
      <c r="R3" s="11" t="s">
        <v>788</v>
      </c>
    </row>
    <row r="4" spans="1:18">
      <c r="A4" s="894" t="s">
        <v>644</v>
      </c>
      <c r="B4" s="894" t="s">
        <v>927</v>
      </c>
      <c r="C4" s="894" t="s">
        <v>928</v>
      </c>
      <c r="D4" s="894" t="s">
        <v>929</v>
      </c>
      <c r="E4" s="894" t="s">
        <v>930</v>
      </c>
      <c r="F4" s="894" t="s">
        <v>931</v>
      </c>
      <c r="G4" s="894" t="s">
        <v>932</v>
      </c>
      <c r="H4" s="894" t="s">
        <v>933</v>
      </c>
      <c r="I4" s="894" t="s">
        <v>934</v>
      </c>
      <c r="J4" s="894" t="s">
        <v>935</v>
      </c>
      <c r="K4" s="894" t="s">
        <v>936</v>
      </c>
      <c r="L4" s="894" t="s">
        <v>937</v>
      </c>
      <c r="M4" s="894" t="s">
        <v>938</v>
      </c>
      <c r="N4" s="894" t="s">
        <v>939</v>
      </c>
      <c r="O4" s="894" t="s">
        <v>940</v>
      </c>
    </row>
    <row r="5" spans="1:18">
      <c r="A5" s="895">
        <v>2012</v>
      </c>
      <c r="B5" s="896">
        <v>64.355999999999995</v>
      </c>
      <c r="C5" s="896">
        <v>64.686000000000007</v>
      </c>
      <c r="D5" s="896">
        <v>64.085999999999999</v>
      </c>
      <c r="E5" s="896">
        <v>63.401000000000003</v>
      </c>
      <c r="F5" s="896">
        <v>63.408999999999999</v>
      </c>
      <c r="G5" s="896">
        <v>63.561999999999998</v>
      </c>
      <c r="H5" s="896">
        <v>62.956000000000003</v>
      </c>
      <c r="I5" s="896">
        <v>61.802999999999997</v>
      </c>
      <c r="J5" s="896">
        <v>60.948999999999998</v>
      </c>
      <c r="K5" s="896">
        <v>60.420999999999999</v>
      </c>
      <c r="L5" s="896">
        <v>59.609000000000002</v>
      </c>
      <c r="M5" s="896">
        <v>58.764000000000003</v>
      </c>
      <c r="N5" s="896"/>
      <c r="O5" s="896"/>
    </row>
    <row r="6" spans="1:18">
      <c r="A6" s="895">
        <v>2013</v>
      </c>
      <c r="B6" s="896">
        <v>58.869</v>
      </c>
      <c r="C6" s="896">
        <v>58.91</v>
      </c>
      <c r="D6" s="896">
        <v>58.625999999999998</v>
      </c>
      <c r="E6" s="896">
        <v>58.133000000000003</v>
      </c>
      <c r="F6" s="896">
        <v>57.527000000000001</v>
      </c>
      <c r="G6" s="896">
        <v>57.012</v>
      </c>
      <c r="H6" s="896">
        <v>56.280999999999999</v>
      </c>
      <c r="I6" s="896">
        <v>55.606999999999999</v>
      </c>
      <c r="J6" s="896">
        <v>55.59</v>
      </c>
      <c r="K6" s="896">
        <v>55.076999999999998</v>
      </c>
      <c r="L6" s="896">
        <v>54.600999999999999</v>
      </c>
      <c r="M6" s="896">
        <v>54.869</v>
      </c>
      <c r="N6" s="896"/>
      <c r="O6" s="896"/>
      <c r="Q6">
        <f>AVERAGE(H6:M6,B7:G7)</f>
        <v>54.760166666666656</v>
      </c>
    </row>
    <row r="7" spans="1:18">
      <c r="A7" s="895">
        <v>2014</v>
      </c>
      <c r="B7" s="896">
        <v>54.610999999999997</v>
      </c>
      <c r="C7" s="896">
        <v>54.44</v>
      </c>
      <c r="D7" s="896">
        <v>54.377000000000002</v>
      </c>
      <c r="E7" s="896">
        <v>54.482999999999997</v>
      </c>
      <c r="F7" s="896">
        <v>53.79</v>
      </c>
      <c r="G7" s="896">
        <v>53.396000000000001</v>
      </c>
      <c r="H7" s="896">
        <v>52.89</v>
      </c>
      <c r="I7" s="896">
        <v>51.796999999999997</v>
      </c>
      <c r="J7" s="896">
        <v>51.151000000000003</v>
      </c>
      <c r="K7" s="896">
        <v>50.93</v>
      </c>
      <c r="L7" s="896">
        <v>50.212000000000003</v>
      </c>
      <c r="M7" s="896">
        <v>49.088999999999999</v>
      </c>
      <c r="N7" s="896"/>
      <c r="O7" s="896"/>
      <c r="Q7">
        <f t="shared" ref="Q7:Q16" si="0">AVERAGE(H7:M7,B8:G8)</f>
        <v>49.895250000000004</v>
      </c>
      <c r="R7" s="11">
        <f>Q7/Q6-1</f>
        <v>-8.8840428413597183E-2</v>
      </c>
    </row>
    <row r="8" spans="1:18">
      <c r="A8" s="895">
        <v>2015</v>
      </c>
      <c r="B8" s="896">
        <v>48.912999999999997</v>
      </c>
      <c r="C8" s="896">
        <v>49.110999999999997</v>
      </c>
      <c r="D8" s="896">
        <v>48.771999999999998</v>
      </c>
      <c r="E8" s="896">
        <v>49.046999999999997</v>
      </c>
      <c r="F8" s="896">
        <v>48.667000000000002</v>
      </c>
      <c r="G8" s="896">
        <v>48.164000000000001</v>
      </c>
      <c r="H8" s="896">
        <v>47.892000000000003</v>
      </c>
      <c r="I8" s="896">
        <v>47.131999999999998</v>
      </c>
      <c r="J8" s="896">
        <v>47.359000000000002</v>
      </c>
      <c r="K8" s="896">
        <v>47.094000000000001</v>
      </c>
      <c r="L8" s="896">
        <v>46.716000000000001</v>
      </c>
      <c r="M8" s="896">
        <v>45.997</v>
      </c>
      <c r="N8" s="896"/>
      <c r="O8" s="896"/>
      <c r="Q8">
        <f t="shared" si="0"/>
        <v>46.063583333333334</v>
      </c>
      <c r="R8" s="11">
        <f t="shared" ref="R8:R16" si="1">Q8/Q7-1</f>
        <v>-7.6794217218405958E-2</v>
      </c>
    </row>
    <row r="9" spans="1:18">
      <c r="A9" s="895">
        <v>2016</v>
      </c>
      <c r="B9" s="896">
        <v>45.423999999999999</v>
      </c>
      <c r="C9" s="896">
        <v>45.249000000000002</v>
      </c>
      <c r="D9" s="896">
        <v>45.268999999999998</v>
      </c>
      <c r="E9" s="896">
        <v>45.281999999999996</v>
      </c>
      <c r="F9" s="896">
        <v>44.853000000000002</v>
      </c>
      <c r="G9" s="896">
        <v>44.496000000000002</v>
      </c>
      <c r="H9" s="896">
        <v>44.204999999999998</v>
      </c>
      <c r="I9" s="896">
        <v>43.917000000000002</v>
      </c>
      <c r="J9" s="896">
        <v>43.77</v>
      </c>
      <c r="K9" s="896">
        <v>43.720999999999997</v>
      </c>
      <c r="L9" s="896">
        <v>43.576000000000001</v>
      </c>
      <c r="M9" s="896">
        <v>43.377000000000002</v>
      </c>
      <c r="N9" s="896"/>
      <c r="O9" s="896"/>
      <c r="Q9">
        <f t="shared" si="0"/>
        <v>43.337166666666661</v>
      </c>
      <c r="R9" s="11">
        <f t="shared" si="1"/>
        <v>-5.9188114978752315E-2</v>
      </c>
    </row>
    <row r="10" spans="1:18">
      <c r="A10" s="895">
        <v>2017</v>
      </c>
      <c r="B10" s="896">
        <v>43.475000000000001</v>
      </c>
      <c r="C10" s="896">
        <v>43.369</v>
      </c>
      <c r="D10" s="896">
        <v>42.817999999999998</v>
      </c>
      <c r="E10" s="896">
        <v>42.896000000000001</v>
      </c>
      <c r="F10" s="896">
        <v>42.360999999999997</v>
      </c>
      <c r="G10" s="896">
        <v>42.561</v>
      </c>
      <c r="H10" s="896">
        <v>42.972999999999999</v>
      </c>
      <c r="I10" s="896">
        <v>42.451000000000001</v>
      </c>
      <c r="J10" s="896">
        <v>42.19</v>
      </c>
      <c r="K10" s="896">
        <v>42.283999999999999</v>
      </c>
      <c r="L10" s="896">
        <v>42.04</v>
      </c>
      <c r="M10" s="896">
        <v>41.353000000000002</v>
      </c>
      <c r="N10" s="896"/>
      <c r="O10" s="896"/>
      <c r="Q10">
        <f t="shared" si="0"/>
        <v>41.754416666666664</v>
      </c>
      <c r="R10" s="11">
        <f t="shared" si="1"/>
        <v>-3.6521769228106682E-2</v>
      </c>
    </row>
    <row r="11" spans="1:18">
      <c r="A11" s="895">
        <v>2018</v>
      </c>
      <c r="B11" s="896">
        <v>41.454999999999998</v>
      </c>
      <c r="C11" s="896">
        <v>41.277999999999999</v>
      </c>
      <c r="D11" s="896">
        <v>41.249000000000002</v>
      </c>
      <c r="E11" s="896">
        <v>41.423999999999999</v>
      </c>
      <c r="F11" s="896">
        <v>41.37</v>
      </c>
      <c r="G11" s="896">
        <v>40.985999999999997</v>
      </c>
      <c r="H11" s="896">
        <v>40.229999999999997</v>
      </c>
      <c r="I11" s="896">
        <v>40.575000000000003</v>
      </c>
      <c r="J11" s="896">
        <v>41.091999999999999</v>
      </c>
      <c r="K11" s="896">
        <v>40.573</v>
      </c>
      <c r="L11" s="896">
        <v>39.841000000000001</v>
      </c>
      <c r="M11" s="896">
        <v>40.11</v>
      </c>
      <c r="N11" s="896">
        <v>41.293999999999997</v>
      </c>
      <c r="O11" s="896">
        <v>40.404000000000003</v>
      </c>
      <c r="Q11">
        <f t="shared" si="0"/>
        <v>39.96091666666667</v>
      </c>
      <c r="R11" s="11">
        <f t="shared" si="1"/>
        <v>-4.2953539845086097E-2</v>
      </c>
    </row>
    <row r="12" spans="1:18">
      <c r="A12" s="895">
        <v>2019</v>
      </c>
      <c r="B12" s="896">
        <v>40.043999999999997</v>
      </c>
      <c r="C12" s="896">
        <v>39.649000000000001</v>
      </c>
      <c r="D12" s="896">
        <v>39.889000000000003</v>
      </c>
      <c r="E12" s="896">
        <v>39.603000000000002</v>
      </c>
      <c r="F12" s="896">
        <v>39.338999999999999</v>
      </c>
      <c r="G12" s="896">
        <v>38.585999999999999</v>
      </c>
      <c r="H12" s="896">
        <v>39.744999999999997</v>
      </c>
      <c r="I12" s="896">
        <v>40.055999999999997</v>
      </c>
      <c r="J12" s="896">
        <v>39.729999999999997</v>
      </c>
      <c r="K12" s="896">
        <v>38.938000000000002</v>
      </c>
      <c r="L12" s="896">
        <v>38.868000000000002</v>
      </c>
      <c r="M12" s="896">
        <v>38.000999999999998</v>
      </c>
      <c r="N12" s="896">
        <v>39.518000000000001</v>
      </c>
      <c r="O12" s="896">
        <v>39.222999999999999</v>
      </c>
      <c r="Q12">
        <f t="shared" si="0"/>
        <v>38.870083333333334</v>
      </c>
      <c r="R12" s="11">
        <f t="shared" si="1"/>
        <v>-2.7297505270775013E-2</v>
      </c>
    </row>
    <row r="13" spans="1:18">
      <c r="A13" s="895">
        <v>2020</v>
      </c>
      <c r="B13" s="896">
        <v>37.728000000000002</v>
      </c>
      <c r="C13" s="896">
        <v>38.247</v>
      </c>
      <c r="D13" s="896">
        <v>38.706000000000003</v>
      </c>
      <c r="E13" s="896">
        <v>39.015000000000001</v>
      </c>
      <c r="F13" s="896">
        <v>38.628999999999998</v>
      </c>
      <c r="G13" s="896">
        <v>38.777999999999999</v>
      </c>
      <c r="H13" s="896">
        <v>38.686</v>
      </c>
      <c r="I13" s="896">
        <v>38.866</v>
      </c>
      <c r="J13" s="896">
        <v>37.459000000000003</v>
      </c>
      <c r="K13" s="896">
        <v>37.201000000000001</v>
      </c>
      <c r="L13" s="896">
        <v>37.963999999999999</v>
      </c>
      <c r="M13" s="896">
        <v>38.314999999999998</v>
      </c>
      <c r="N13" s="896">
        <v>38.517000000000003</v>
      </c>
      <c r="O13" s="896">
        <v>38.082000000000001</v>
      </c>
      <c r="Q13">
        <f t="shared" si="0"/>
        <v>38.424583333333338</v>
      </c>
      <c r="R13" s="11">
        <f t="shared" si="1"/>
        <v>-1.1461256621952076E-2</v>
      </c>
    </row>
    <row r="14" spans="1:18">
      <c r="A14" s="895">
        <v>2021</v>
      </c>
      <c r="B14" s="896">
        <v>38.316000000000003</v>
      </c>
      <c r="C14" s="896">
        <v>38.204000000000001</v>
      </c>
      <c r="D14" s="896">
        <v>37.453000000000003</v>
      </c>
      <c r="E14" s="896">
        <v>39.357999999999997</v>
      </c>
      <c r="F14" s="896">
        <v>39.610999999999997</v>
      </c>
      <c r="G14" s="896">
        <v>39.661999999999999</v>
      </c>
      <c r="H14" s="896">
        <v>40.134999999999998</v>
      </c>
      <c r="I14" s="896">
        <v>40.183999999999997</v>
      </c>
      <c r="J14" s="896">
        <v>40.649000000000001</v>
      </c>
      <c r="K14" s="896">
        <v>40.31</v>
      </c>
      <c r="L14" s="896">
        <v>39.78</v>
      </c>
      <c r="M14" s="896">
        <v>39.401000000000003</v>
      </c>
      <c r="N14" s="896">
        <v>38.767000000000003</v>
      </c>
      <c r="O14" s="896">
        <v>40.076999999999998</v>
      </c>
      <c r="Q14">
        <f t="shared" si="0"/>
        <v>39.845500000000001</v>
      </c>
      <c r="R14" s="11">
        <f t="shared" si="1"/>
        <v>3.6979364339235765E-2</v>
      </c>
    </row>
    <row r="15" spans="1:18">
      <c r="A15" s="895">
        <v>2022</v>
      </c>
      <c r="B15" s="896">
        <v>39.651000000000003</v>
      </c>
      <c r="C15" s="896">
        <v>39.957999999999998</v>
      </c>
      <c r="D15" s="896">
        <v>40.302</v>
      </c>
      <c r="E15" s="896">
        <v>39.445999999999998</v>
      </c>
      <c r="F15" s="896">
        <v>38.908999999999999</v>
      </c>
      <c r="G15" s="896">
        <v>39.420999999999999</v>
      </c>
      <c r="H15" s="896">
        <v>38.719000000000001</v>
      </c>
      <c r="I15" s="896">
        <v>38.469000000000001</v>
      </c>
      <c r="J15" s="896">
        <v>39.174999999999997</v>
      </c>
      <c r="K15" s="896">
        <v>39.076000000000001</v>
      </c>
      <c r="L15" s="896">
        <v>38.020000000000003</v>
      </c>
      <c r="M15" s="896">
        <v>37.115000000000002</v>
      </c>
      <c r="N15" s="896">
        <v>39.615000000000002</v>
      </c>
      <c r="O15">
        <v>38.429000000000002</v>
      </c>
      <c r="Q15">
        <f t="shared" si="0"/>
        <v>37.962333333333333</v>
      </c>
      <c r="R15" s="11">
        <f t="shared" si="1"/>
        <v>-4.726171504101262E-2</v>
      </c>
    </row>
    <row r="16" spans="1:18">
      <c r="A16" s="895">
        <v>2023</v>
      </c>
      <c r="B16">
        <v>37.21</v>
      </c>
      <c r="C16">
        <v>37.712000000000003</v>
      </c>
      <c r="D16">
        <v>37.957000000000001</v>
      </c>
      <c r="E16">
        <v>37.448999999999998</v>
      </c>
      <c r="F16">
        <v>37.289000000000001</v>
      </c>
      <c r="G16">
        <v>37.356999999999999</v>
      </c>
      <c r="H16">
        <v>36.82</v>
      </c>
      <c r="I16">
        <v>36.529000000000003</v>
      </c>
      <c r="J16">
        <v>37.146000000000001</v>
      </c>
      <c r="K16">
        <v>36.844999999999999</v>
      </c>
      <c r="L16">
        <v>36.258000000000003</v>
      </c>
      <c r="M16">
        <v>35.773000000000003</v>
      </c>
      <c r="N16">
        <v>37.496000000000002</v>
      </c>
      <c r="O16">
        <v>36.561999999999998</v>
      </c>
      <c r="Q16">
        <f t="shared" si="0"/>
        <v>36.561833333333333</v>
      </c>
      <c r="R16" s="11">
        <f t="shared" si="1"/>
        <v>-3.6891831376715589E-2</v>
      </c>
    </row>
    <row r="17" spans="1:1">
      <c r="A17" s="895"/>
    </row>
  </sheetData>
  <sheetProtection algorithmName="SHA-512" hashValue="7Ym9kFRKR18KqOlEgY5CTEXXwXGE6TcFNeRm8c9S9IW9ksPoEFeIamv9mWCy6cqdni8RsumjX6mOKbndxtW6fA==" saltValue="XpmVSTTzUNfBlK7BuhXOmA==" spinCount="100000" sheet="1" objects="1" scenarios="1"/>
  <hyperlinks>
    <hyperlink ref="A2" r:id="rId1" xr:uid="{00000000-0004-0000-1700-000000000000}"/>
    <hyperlink ref="Q1" location="'6.GrowthFactors'!A1" display="RETURN" xr:uid="{D6871764-87D7-415E-90C8-7A2C2B717D6A}"/>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2" tint="-0.249977111117893"/>
  </sheetPr>
  <dimension ref="A1:R16"/>
  <sheetViews>
    <sheetView workbookViewId="0"/>
  </sheetViews>
  <sheetFormatPr defaultRowHeight="15"/>
  <cols>
    <col min="17" max="17" width="23.85546875" bestFit="1" customWidth="1"/>
    <col min="18" max="18" width="12" bestFit="1" customWidth="1"/>
  </cols>
  <sheetData>
    <row r="1" spans="1:18">
      <c r="A1" s="877" t="s">
        <v>941</v>
      </c>
      <c r="Q1" s="870" t="s">
        <v>924</v>
      </c>
    </row>
    <row r="2" spans="1:18">
      <c r="A2" s="870" t="s">
        <v>942</v>
      </c>
    </row>
    <row r="3" spans="1:18">
      <c r="Q3" t="s">
        <v>926</v>
      </c>
      <c r="R3" s="11" t="s">
        <v>788</v>
      </c>
    </row>
    <row r="4" spans="1:18">
      <c r="A4" s="894" t="s">
        <v>644</v>
      </c>
      <c r="B4" s="894" t="s">
        <v>927</v>
      </c>
      <c r="C4" s="894" t="s">
        <v>928</v>
      </c>
      <c r="D4" s="894" t="s">
        <v>929</v>
      </c>
      <c r="E4" s="894" t="s">
        <v>930</v>
      </c>
      <c r="F4" s="894" t="s">
        <v>931</v>
      </c>
      <c r="G4" s="894" t="s">
        <v>932</v>
      </c>
      <c r="H4" s="894" t="s">
        <v>933</v>
      </c>
      <c r="I4" s="894" t="s">
        <v>934</v>
      </c>
      <c r="J4" s="894" t="s">
        <v>935</v>
      </c>
      <c r="K4" s="894" t="s">
        <v>936</v>
      </c>
      <c r="L4" s="894" t="s">
        <v>937</v>
      </c>
      <c r="M4" s="894" t="s">
        <v>938</v>
      </c>
      <c r="N4" s="894" t="s">
        <v>939</v>
      </c>
      <c r="O4" s="894" t="s">
        <v>940</v>
      </c>
      <c r="R4" s="11"/>
    </row>
    <row r="5" spans="1:18">
      <c r="A5" s="895">
        <v>2012</v>
      </c>
      <c r="B5" s="896">
        <v>543.96</v>
      </c>
      <c r="C5" s="896">
        <v>547.09500000000003</v>
      </c>
      <c r="D5" s="896">
        <v>550.226</v>
      </c>
      <c r="E5" s="896">
        <v>552.61300000000006</v>
      </c>
      <c r="F5" s="896">
        <v>556.63</v>
      </c>
      <c r="G5" s="896">
        <v>559.60799999999995</v>
      </c>
      <c r="H5" s="896">
        <v>563.82899999999995</v>
      </c>
      <c r="I5" s="896">
        <v>570.96900000000005</v>
      </c>
      <c r="J5" s="896">
        <v>574.30600000000004</v>
      </c>
      <c r="K5" s="896">
        <v>574.25099999999998</v>
      </c>
      <c r="L5" s="896">
        <v>577.50199999999995</v>
      </c>
      <c r="M5" s="896">
        <v>578.38800000000003</v>
      </c>
      <c r="N5" s="896"/>
      <c r="O5" s="896"/>
      <c r="R5" s="11"/>
    </row>
    <row r="6" spans="1:18">
      <c r="A6" s="895">
        <v>2013</v>
      </c>
      <c r="B6" s="896">
        <v>582.79600000000005</v>
      </c>
      <c r="C6" s="896">
        <v>585.06500000000005</v>
      </c>
      <c r="D6" s="896">
        <v>588.62099999999998</v>
      </c>
      <c r="E6" s="896">
        <v>590.96600000000001</v>
      </c>
      <c r="F6" s="896">
        <v>593.93200000000002</v>
      </c>
      <c r="G6" s="896">
        <v>596.21100000000001</v>
      </c>
      <c r="H6" s="896">
        <v>600.18399999999997</v>
      </c>
      <c r="I6" s="896">
        <v>591.05399999999997</v>
      </c>
      <c r="J6" s="896">
        <v>596.22</v>
      </c>
      <c r="K6" s="896">
        <v>600.98699999999997</v>
      </c>
      <c r="L6" s="896">
        <v>603.17499999999995</v>
      </c>
      <c r="M6" s="896">
        <v>606.27300000000002</v>
      </c>
      <c r="N6" s="896"/>
      <c r="O6" s="896"/>
      <c r="Q6">
        <f>AVERAGE(H6:M6,B7:G7)</f>
        <v>603.00358333333338</v>
      </c>
      <c r="R6" s="11"/>
    </row>
    <row r="7" spans="1:18">
      <c r="A7" s="895">
        <v>2014</v>
      </c>
      <c r="B7" s="896">
        <v>598.16999999999996</v>
      </c>
      <c r="C7" s="896">
        <v>604.75900000000001</v>
      </c>
      <c r="D7" s="896">
        <v>603.79100000000005</v>
      </c>
      <c r="E7" s="896">
        <v>608.173</v>
      </c>
      <c r="F7" s="896">
        <v>611.18399999999997</v>
      </c>
      <c r="G7" s="896">
        <v>612.07299999999998</v>
      </c>
      <c r="H7" s="896">
        <v>614.28599999999994</v>
      </c>
      <c r="I7" s="896">
        <v>620.58399999999995</v>
      </c>
      <c r="J7" s="896">
        <v>623.78599999999994</v>
      </c>
      <c r="K7" s="896">
        <v>627.68600000000004</v>
      </c>
      <c r="L7" s="896">
        <v>627.89700000000005</v>
      </c>
      <c r="M7" s="896">
        <v>632.33100000000002</v>
      </c>
      <c r="N7" s="896"/>
      <c r="O7" s="896"/>
      <c r="Q7">
        <f t="shared" ref="Q7:Q14" si="0">AVERAGE(H7:M7,B8:G8)</f>
        <v>633.75400000000002</v>
      </c>
      <c r="R7" s="11">
        <f>Q7/Q6-1</f>
        <v>5.09954128243848E-2</v>
      </c>
    </row>
    <row r="8" spans="1:18">
      <c r="A8" s="895">
        <v>2015</v>
      </c>
      <c r="B8" s="896">
        <v>639.40599999999995</v>
      </c>
      <c r="C8" s="896">
        <v>640.08399999999995</v>
      </c>
      <c r="D8" s="896">
        <v>644.47299999999996</v>
      </c>
      <c r="E8" s="896">
        <v>644.88699999999994</v>
      </c>
      <c r="F8" s="896">
        <v>646.55899999999997</v>
      </c>
      <c r="G8" s="896">
        <v>643.06899999999996</v>
      </c>
      <c r="H8" s="896">
        <v>645.46100000000001</v>
      </c>
      <c r="I8" s="896">
        <v>649.13099999999997</v>
      </c>
      <c r="J8" s="896">
        <v>652.64</v>
      </c>
      <c r="K8" s="896">
        <v>655.16999999999996</v>
      </c>
      <c r="L8" s="896">
        <v>657.15300000000002</v>
      </c>
      <c r="M8" s="896">
        <v>660.27800000000002</v>
      </c>
      <c r="N8" s="896"/>
      <c r="O8" s="896"/>
      <c r="Q8">
        <f t="shared" si="0"/>
        <v>659.16766666666672</v>
      </c>
      <c r="R8" s="11">
        <f t="shared" ref="R8:R14" si="1">Q8/Q7-1</f>
        <v>4.0100207125582932E-2</v>
      </c>
    </row>
    <row r="9" spans="1:18">
      <c r="A9" s="895">
        <v>2016</v>
      </c>
      <c r="B9" s="896">
        <v>663.452</v>
      </c>
      <c r="C9" s="896">
        <v>660.05</v>
      </c>
      <c r="D9" s="896">
        <v>658.77499999999998</v>
      </c>
      <c r="E9" s="896">
        <v>666.54399999999998</v>
      </c>
      <c r="F9" s="896">
        <v>666.30600000000004</v>
      </c>
      <c r="G9" s="896">
        <v>675.05200000000002</v>
      </c>
      <c r="H9" s="896">
        <v>678.01499999999999</v>
      </c>
      <c r="I9" s="896">
        <v>687.43799999999999</v>
      </c>
      <c r="J9" s="896">
        <v>693.59799999999996</v>
      </c>
      <c r="K9" s="896">
        <v>695.36500000000001</v>
      </c>
      <c r="L9" s="896">
        <v>700.41800000000001</v>
      </c>
      <c r="M9" s="896">
        <v>700.38599999999997</v>
      </c>
      <c r="N9" s="896"/>
      <c r="O9" s="896"/>
      <c r="Q9">
        <f t="shared" si="0"/>
        <v>691.11308333333329</v>
      </c>
      <c r="R9" s="11">
        <f t="shared" si="1"/>
        <v>4.8463264025389474E-2</v>
      </c>
    </row>
    <row r="10" spans="1:18">
      <c r="A10" s="895">
        <v>2017</v>
      </c>
      <c r="B10" s="896">
        <v>690.42700000000002</v>
      </c>
      <c r="C10" s="896">
        <v>696.37099999999998</v>
      </c>
      <c r="D10" s="896">
        <v>698.23500000000001</v>
      </c>
      <c r="E10" s="896">
        <v>688.56</v>
      </c>
      <c r="F10" s="896">
        <v>682.21699999999998</v>
      </c>
      <c r="G10" s="896">
        <v>682.327</v>
      </c>
      <c r="H10" s="896">
        <v>691.68899999999996</v>
      </c>
      <c r="I10" s="896">
        <v>690.04100000000005</v>
      </c>
      <c r="J10" s="896">
        <v>682.69600000000003</v>
      </c>
      <c r="K10" s="896">
        <v>686.53499999999997</v>
      </c>
      <c r="L10" s="896">
        <v>696.68799999999999</v>
      </c>
      <c r="M10" s="896">
        <v>687.64599999999996</v>
      </c>
      <c r="N10" s="896"/>
      <c r="O10" s="896"/>
      <c r="Q10">
        <f t="shared" si="0"/>
        <v>692.92408333333344</v>
      </c>
      <c r="R10" s="11">
        <f t="shared" si="1"/>
        <v>2.6204105285714263E-3</v>
      </c>
    </row>
    <row r="11" spans="1:18">
      <c r="A11" s="895">
        <v>2018</v>
      </c>
      <c r="B11" s="896">
        <v>686.31799999999998</v>
      </c>
      <c r="C11" s="896">
        <v>693.57799999999997</v>
      </c>
      <c r="D11" s="896">
        <v>695.45899999999995</v>
      </c>
      <c r="E11" s="896">
        <v>691.26400000000001</v>
      </c>
      <c r="F11" s="896">
        <v>711.87199999999996</v>
      </c>
      <c r="G11" s="896">
        <v>701.303</v>
      </c>
      <c r="H11" s="896">
        <v>704.86800000000005</v>
      </c>
      <c r="I11" s="896">
        <v>697.221</v>
      </c>
      <c r="J11" s="896">
        <v>695.06899999999996</v>
      </c>
      <c r="K11" s="896">
        <v>691.11</v>
      </c>
      <c r="L11" s="896">
        <v>690.33299999999997</v>
      </c>
      <c r="M11" s="896">
        <v>694.83399999999995</v>
      </c>
      <c r="N11" s="896"/>
      <c r="O11" s="896"/>
      <c r="Q11">
        <f t="shared" si="0"/>
        <v>691.64191666666659</v>
      </c>
      <c r="R11" s="11">
        <f t="shared" si="1"/>
        <v>-1.8503710543570362E-3</v>
      </c>
    </row>
    <row r="12" spans="1:18">
      <c r="A12" s="895">
        <v>2019</v>
      </c>
      <c r="B12" s="896">
        <v>686.21100000000001</v>
      </c>
      <c r="C12" s="896">
        <v>692.46699999999998</v>
      </c>
      <c r="D12" s="896">
        <v>689.51499999999999</v>
      </c>
      <c r="E12" s="896">
        <v>688.73599999999999</v>
      </c>
      <c r="F12" s="896">
        <v>683.08799999999997</v>
      </c>
      <c r="G12" s="896">
        <v>686.25099999999998</v>
      </c>
      <c r="H12" s="896">
        <v>683.62400000000002</v>
      </c>
      <c r="I12" s="896">
        <v>694.26400000000001</v>
      </c>
      <c r="J12" s="896">
        <v>681.85299999999995</v>
      </c>
      <c r="K12" s="896">
        <v>676.96400000000006</v>
      </c>
      <c r="L12" s="896">
        <v>680.25099999999998</v>
      </c>
      <c r="M12" s="896">
        <v>681.15099999999995</v>
      </c>
      <c r="N12" s="896"/>
      <c r="O12" s="896"/>
      <c r="Q12">
        <f t="shared" si="0"/>
        <v>677.80399999999997</v>
      </c>
      <c r="R12" s="11">
        <f t="shared" si="1"/>
        <v>-2.000734243140978E-2</v>
      </c>
    </row>
    <row r="13" spans="1:18">
      <c r="A13" s="895">
        <v>2020</v>
      </c>
      <c r="B13" s="896">
        <v>664.94799999999998</v>
      </c>
      <c r="C13" s="896">
        <v>670.41</v>
      </c>
      <c r="D13" s="896">
        <v>671.048</v>
      </c>
      <c r="E13" s="896">
        <v>677.14400000000001</v>
      </c>
      <c r="F13" s="896">
        <v>677.18899999999996</v>
      </c>
      <c r="G13" s="896">
        <v>674.80200000000002</v>
      </c>
      <c r="H13" s="896">
        <v>677.97900000000004</v>
      </c>
      <c r="I13" s="896">
        <v>685.18100000000004</v>
      </c>
      <c r="J13" s="896">
        <v>683.13599999999997</v>
      </c>
      <c r="K13" s="896">
        <v>683.13099999999997</v>
      </c>
      <c r="L13" s="896">
        <v>681.56399999999996</v>
      </c>
      <c r="M13" s="896">
        <v>686.05399999999997</v>
      </c>
      <c r="N13" s="896"/>
      <c r="O13" s="896"/>
      <c r="Q13">
        <f t="shared" si="0"/>
        <v>685.12683333333325</v>
      </c>
      <c r="R13" s="11">
        <f t="shared" si="1"/>
        <v>1.0803762346243584E-2</v>
      </c>
    </row>
    <row r="14" spans="1:18">
      <c r="A14" s="895">
        <v>2021</v>
      </c>
      <c r="B14" s="896">
        <v>684.56799999999998</v>
      </c>
      <c r="C14" s="896">
        <v>693.35699999999997</v>
      </c>
      <c r="D14" s="896">
        <v>677.09900000000005</v>
      </c>
      <c r="E14" s="896">
        <v>686.52099999999996</v>
      </c>
      <c r="F14" s="896">
        <v>691.12800000000004</v>
      </c>
      <c r="G14" s="896">
        <v>691.80399999999997</v>
      </c>
      <c r="H14" s="896">
        <v>695.36</v>
      </c>
      <c r="I14" s="896">
        <v>687.66700000000003</v>
      </c>
      <c r="J14" s="896">
        <v>685.005</v>
      </c>
      <c r="K14" s="896">
        <v>685.851</v>
      </c>
      <c r="L14" s="896">
        <v>682.91099999999994</v>
      </c>
      <c r="M14" s="896">
        <v>683.63199999999995</v>
      </c>
      <c r="N14" s="896"/>
      <c r="O14" s="896"/>
      <c r="Q14">
        <f t="shared" si="0"/>
        <v>696.74391666666668</v>
      </c>
      <c r="R14" s="11">
        <f t="shared" si="1"/>
        <v>1.6956106180826547E-2</v>
      </c>
    </row>
    <row r="15" spans="1:18">
      <c r="A15" s="895">
        <v>2022</v>
      </c>
      <c r="B15" s="896">
        <v>702.32600000000002</v>
      </c>
      <c r="C15" s="896">
        <v>699.19399999999996</v>
      </c>
      <c r="D15" s="896">
        <v>702.84799999999996</v>
      </c>
      <c r="E15" s="896">
        <v>701.84799999999996</v>
      </c>
      <c r="F15" s="896">
        <v>717.03800000000001</v>
      </c>
      <c r="G15" s="896">
        <v>717.24699999999996</v>
      </c>
      <c r="H15" s="896">
        <v>717.00599999999997</v>
      </c>
      <c r="I15" s="896">
        <v>719.28700000000003</v>
      </c>
      <c r="J15" s="896">
        <v>716.25900000000001</v>
      </c>
      <c r="K15" s="896">
        <v>717.77499999999998</v>
      </c>
      <c r="L15" s="896">
        <v>718.85</v>
      </c>
      <c r="M15" s="896">
        <v>720.64200000000005</v>
      </c>
      <c r="N15" s="896"/>
      <c r="O15" s="896"/>
      <c r="Q15">
        <f>AVERAGE(H15:M15,B16:G16)</f>
        <v>713.56575000000009</v>
      </c>
      <c r="R15" s="11">
        <f>Q15/Q14-1</f>
        <v>2.4143495093307266E-2</v>
      </c>
    </row>
    <row r="16" spans="1:18">
      <c r="A16">
        <v>2023</v>
      </c>
      <c r="B16">
        <v>717.54200000000003</v>
      </c>
      <c r="C16">
        <v>717.70600000000002</v>
      </c>
      <c r="D16">
        <v>707.82</v>
      </c>
      <c r="E16">
        <v>704.11900000000003</v>
      </c>
      <c r="F16">
        <v>707.85799999999995</v>
      </c>
      <c r="G16">
        <v>697.92499999999995</v>
      </c>
      <c r="H16">
        <v>695.37800000000004</v>
      </c>
      <c r="I16">
        <v>694.56399999999996</v>
      </c>
      <c r="J16">
        <v>698.45</v>
      </c>
      <c r="K16">
        <v>694.56</v>
      </c>
      <c r="L16">
        <v>684.37800000000004</v>
      </c>
      <c r="M16">
        <v>694.59</v>
      </c>
      <c r="Q16">
        <f>AVERAGE(H16:M16,B17:G17)</f>
        <v>693.65333333333331</v>
      </c>
      <c r="R16" s="11">
        <f>Q16/Q15-1</f>
        <v>-2.7905510692836311E-2</v>
      </c>
    </row>
  </sheetData>
  <sheetProtection algorithmName="SHA-512" hashValue="j14XHgs6dFLqTzN32vCEVuPPIKNf4HHp/v+kNdzsd1JKKV2hglbwaSytqa7UiVWKaMg8iBVLU9JZ5EituHpzcA==" saltValue="IgOdL5tN/KNlRN9gyAvdHg==" spinCount="100000" sheet="1" objects="1" scenarios="1"/>
  <hyperlinks>
    <hyperlink ref="A2" r:id="rId1" xr:uid="{A2FF6258-8D86-4FC9-981A-A39859C15E54}"/>
    <hyperlink ref="Q1" location="'6.GrowthFactors'!A1" display="RETURN" xr:uid="{9E6CBDFF-9A4A-42BB-B595-1E092FF3539E}"/>
  </hyperlinks>
  <pageMargins left="0.7" right="0.7" top="0.75" bottom="0.75" header="0.3" footer="0.3"/>
  <pageSetup orientation="portrait" horizontalDpi="0" verticalDpi="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99"/>
  <sheetViews>
    <sheetView workbookViewId="0">
      <pane xSplit="2" ySplit="1" topLeftCell="C2" activePane="bottomRight" state="frozen"/>
      <selection pane="topRight"/>
      <selection pane="bottomLeft"/>
      <selection pane="bottomRight"/>
    </sheetView>
  </sheetViews>
  <sheetFormatPr defaultColWidth="9.140625" defaultRowHeight="15" outlineLevelCol="1"/>
  <cols>
    <col min="1" max="1" width="21.140625" hidden="1" customWidth="1" outlineLevel="1"/>
    <col min="2" max="2" width="51.28515625" bestFit="1" customWidth="1" collapsed="1"/>
    <col min="3" max="9" width="7.7109375" bestFit="1" customWidth="1"/>
    <col min="10" max="10" width="19.7109375" bestFit="1" customWidth="1"/>
  </cols>
  <sheetData>
    <row r="1" spans="1:10" s="62" customFormat="1">
      <c r="B1" s="954" t="s">
        <v>358</v>
      </c>
      <c r="C1" s="955" t="s">
        <v>629</v>
      </c>
      <c r="D1" s="955" t="s">
        <v>82</v>
      </c>
      <c r="E1" s="955" t="s">
        <v>83</v>
      </c>
      <c r="F1" s="955" t="s">
        <v>705</v>
      </c>
      <c r="G1" s="955" t="s">
        <v>707</v>
      </c>
      <c r="H1" s="955" t="s">
        <v>709</v>
      </c>
      <c r="I1" s="955" t="s">
        <v>710</v>
      </c>
      <c r="J1" s="841" t="s">
        <v>362</v>
      </c>
    </row>
    <row r="2" spans="1:10">
      <c r="A2" t="s">
        <v>943</v>
      </c>
      <c r="B2" s="956" t="s">
        <v>420</v>
      </c>
      <c r="C2" s="957">
        <v>2.5</v>
      </c>
      <c r="D2" s="957">
        <v>2.5</v>
      </c>
      <c r="E2" s="957">
        <v>2.5</v>
      </c>
      <c r="F2" s="957">
        <v>2.5</v>
      </c>
      <c r="G2" s="957">
        <v>2.5</v>
      </c>
      <c r="H2" s="957">
        <v>2.5</v>
      </c>
      <c r="I2" s="957">
        <v>2.5</v>
      </c>
    </row>
    <row r="3" spans="1:10">
      <c r="A3" t="s">
        <v>944</v>
      </c>
      <c r="B3" s="958" t="s">
        <v>945</v>
      </c>
      <c r="C3" s="957">
        <v>1</v>
      </c>
      <c r="D3" s="957">
        <v>1</v>
      </c>
      <c r="E3" s="957">
        <v>1</v>
      </c>
      <c r="F3" s="957">
        <v>1</v>
      </c>
      <c r="G3" s="957">
        <v>1</v>
      </c>
      <c r="H3" s="957">
        <v>1</v>
      </c>
      <c r="I3" s="957">
        <v>1</v>
      </c>
    </row>
    <row r="4" spans="1:10">
      <c r="A4" t="s">
        <v>946</v>
      </c>
      <c r="B4" s="958" t="s">
        <v>947</v>
      </c>
      <c r="C4" s="957">
        <v>2</v>
      </c>
      <c r="D4" s="957">
        <v>2</v>
      </c>
      <c r="E4" s="957">
        <v>2</v>
      </c>
      <c r="F4" s="957">
        <v>2</v>
      </c>
      <c r="G4" s="957">
        <v>2</v>
      </c>
      <c r="H4" s="957">
        <v>2</v>
      </c>
      <c r="I4" s="957">
        <v>2</v>
      </c>
    </row>
    <row r="5" spans="1:10">
      <c r="A5" t="s">
        <v>948</v>
      </c>
      <c r="B5" s="958" t="s">
        <v>947</v>
      </c>
      <c r="C5" s="957">
        <v>1</v>
      </c>
      <c r="D5" s="957">
        <v>1</v>
      </c>
      <c r="E5" s="957">
        <v>1</v>
      </c>
      <c r="F5" s="957">
        <v>1</v>
      </c>
      <c r="G5" s="957">
        <v>1</v>
      </c>
      <c r="H5" s="957">
        <v>1</v>
      </c>
      <c r="I5" s="957">
        <v>1</v>
      </c>
    </row>
    <row r="6" spans="1:10">
      <c r="A6" t="s">
        <v>949</v>
      </c>
      <c r="B6" s="956" t="s">
        <v>531</v>
      </c>
      <c r="C6" s="959">
        <v>0</v>
      </c>
      <c r="D6" s="959">
        <v>0</v>
      </c>
      <c r="E6" s="959">
        <v>0</v>
      </c>
      <c r="F6" s="959">
        <v>0</v>
      </c>
      <c r="G6" s="959">
        <v>0</v>
      </c>
      <c r="H6" s="959">
        <v>0</v>
      </c>
      <c r="I6" s="959">
        <v>0</v>
      </c>
    </row>
    <row r="7" spans="1:10">
      <c r="A7" t="s">
        <v>950</v>
      </c>
      <c r="B7" s="958" t="s">
        <v>466</v>
      </c>
      <c r="C7" s="957">
        <v>1</v>
      </c>
      <c r="D7" s="957">
        <v>1</v>
      </c>
      <c r="E7" s="957">
        <v>1</v>
      </c>
      <c r="F7" s="957">
        <v>1</v>
      </c>
      <c r="G7" s="957">
        <v>1</v>
      </c>
      <c r="H7" s="957">
        <v>1</v>
      </c>
      <c r="I7" s="957">
        <v>1</v>
      </c>
    </row>
    <row r="8" spans="1:10">
      <c r="A8" t="s">
        <v>951</v>
      </c>
      <c r="B8" s="958" t="s">
        <v>466</v>
      </c>
      <c r="C8" s="957">
        <v>1</v>
      </c>
      <c r="D8" s="957">
        <v>1</v>
      </c>
      <c r="E8" s="957">
        <v>1</v>
      </c>
      <c r="F8" s="957">
        <v>1</v>
      </c>
      <c r="G8" s="957">
        <v>1</v>
      </c>
      <c r="H8" s="957">
        <v>1</v>
      </c>
      <c r="I8" s="957">
        <v>1</v>
      </c>
    </row>
    <row r="9" spans="1:10">
      <c r="A9" t="s">
        <v>952</v>
      </c>
      <c r="B9" s="958" t="s">
        <v>474</v>
      </c>
      <c r="C9" s="957">
        <v>1</v>
      </c>
      <c r="D9" s="957">
        <v>1</v>
      </c>
      <c r="E9" s="957">
        <v>1</v>
      </c>
      <c r="F9" s="957">
        <v>1</v>
      </c>
      <c r="G9" s="957">
        <v>1</v>
      </c>
      <c r="H9" s="957">
        <v>1</v>
      </c>
      <c r="I9" s="957">
        <v>1</v>
      </c>
    </row>
    <row r="10" spans="1:10">
      <c r="A10" t="s">
        <v>953</v>
      </c>
      <c r="B10" s="958" t="s">
        <v>486</v>
      </c>
      <c r="C10" s="957">
        <v>3</v>
      </c>
      <c r="D10" s="957">
        <v>3</v>
      </c>
      <c r="E10" s="957">
        <v>3</v>
      </c>
      <c r="F10" s="957">
        <v>3</v>
      </c>
      <c r="G10" s="957">
        <v>3</v>
      </c>
      <c r="H10" s="957">
        <v>3</v>
      </c>
      <c r="I10" s="957">
        <v>3</v>
      </c>
    </row>
    <row r="11" spans="1:10">
      <c r="A11" t="s">
        <v>954</v>
      </c>
      <c r="B11" s="958" t="s">
        <v>486</v>
      </c>
      <c r="C11" s="957">
        <v>2</v>
      </c>
      <c r="D11" s="957">
        <v>2</v>
      </c>
      <c r="E11" s="957">
        <v>2</v>
      </c>
      <c r="F11" s="957">
        <v>2</v>
      </c>
      <c r="G11" s="957">
        <v>2</v>
      </c>
      <c r="H11" s="957">
        <v>2</v>
      </c>
      <c r="I11" s="957">
        <v>2</v>
      </c>
    </row>
    <row r="12" spans="1:10">
      <c r="A12" t="s">
        <v>955</v>
      </c>
      <c r="B12" s="958" t="s">
        <v>619</v>
      </c>
      <c r="C12" s="959">
        <v>203.23</v>
      </c>
      <c r="D12" s="959">
        <v>203.23</v>
      </c>
      <c r="E12" s="959">
        <v>203.23</v>
      </c>
      <c r="F12" s="959">
        <v>203.23</v>
      </c>
      <c r="G12" s="959">
        <v>203.23</v>
      </c>
      <c r="H12" s="959">
        <v>203.23</v>
      </c>
      <c r="I12" s="959">
        <v>203.23</v>
      </c>
    </row>
    <row r="13" spans="1:10">
      <c r="A13" t="s">
        <v>956</v>
      </c>
      <c r="B13" s="958" t="s">
        <v>619</v>
      </c>
      <c r="C13" s="959">
        <v>203.23</v>
      </c>
      <c r="D13" s="959">
        <v>203.23</v>
      </c>
      <c r="E13" s="959">
        <v>203.23</v>
      </c>
      <c r="F13" s="959">
        <v>203.23</v>
      </c>
      <c r="G13" s="959">
        <v>203.23</v>
      </c>
      <c r="H13" s="959">
        <v>203.23</v>
      </c>
      <c r="I13" s="959">
        <v>203.23</v>
      </c>
    </row>
    <row r="14" spans="1:10">
      <c r="A14" t="s">
        <v>957</v>
      </c>
      <c r="B14" s="958" t="s">
        <v>619</v>
      </c>
      <c r="C14" s="959">
        <v>203.23</v>
      </c>
      <c r="D14" s="959">
        <v>203.23</v>
      </c>
      <c r="E14" s="959">
        <v>203.23</v>
      </c>
      <c r="F14" s="959">
        <v>203.23</v>
      </c>
      <c r="G14" s="959">
        <v>203.23</v>
      </c>
      <c r="H14" s="959">
        <v>203.23</v>
      </c>
      <c r="I14" s="959">
        <v>203.23</v>
      </c>
    </row>
    <row r="15" spans="1:10">
      <c r="A15" t="s">
        <v>958</v>
      </c>
      <c r="B15" t="s">
        <v>440</v>
      </c>
      <c r="C15" s="960">
        <v>7</v>
      </c>
      <c r="D15" s="960">
        <v>7</v>
      </c>
      <c r="E15" s="960">
        <v>7</v>
      </c>
      <c r="F15" s="960">
        <v>7</v>
      </c>
      <c r="G15" s="960">
        <v>7</v>
      </c>
      <c r="H15" s="960">
        <v>7</v>
      </c>
      <c r="I15" s="960">
        <v>7</v>
      </c>
    </row>
    <row r="16" spans="1:10">
      <c r="A16" t="s">
        <v>959</v>
      </c>
      <c r="B16" t="s">
        <v>440</v>
      </c>
      <c r="C16" s="960">
        <v>4</v>
      </c>
      <c r="D16" s="960">
        <v>4</v>
      </c>
      <c r="E16" s="960">
        <v>4</v>
      </c>
      <c r="F16" s="960">
        <v>4</v>
      </c>
      <c r="G16" s="960">
        <v>4</v>
      </c>
      <c r="H16" s="960">
        <v>4</v>
      </c>
      <c r="I16" s="960">
        <v>4</v>
      </c>
    </row>
    <row r="17" spans="1:10">
      <c r="A17" t="s">
        <v>960</v>
      </c>
      <c r="B17" t="s">
        <v>440</v>
      </c>
      <c r="C17" s="960">
        <v>4</v>
      </c>
      <c r="D17" s="960">
        <v>4</v>
      </c>
      <c r="E17" s="960">
        <v>4</v>
      </c>
      <c r="F17" s="960">
        <v>4</v>
      </c>
      <c r="G17" s="960">
        <v>4</v>
      </c>
      <c r="H17" s="960">
        <v>4</v>
      </c>
      <c r="I17" s="960">
        <v>4</v>
      </c>
    </row>
    <row r="18" spans="1:10">
      <c r="A18" t="s">
        <v>961</v>
      </c>
      <c r="B18" s="956" t="s">
        <v>529</v>
      </c>
      <c r="C18" s="957">
        <v>37</v>
      </c>
      <c r="D18" s="957">
        <v>37</v>
      </c>
      <c r="E18" s="957">
        <v>37</v>
      </c>
      <c r="F18" s="957">
        <v>37</v>
      </c>
      <c r="G18" s="957">
        <v>37</v>
      </c>
      <c r="H18" s="957">
        <v>37</v>
      </c>
      <c r="I18" s="957">
        <v>37</v>
      </c>
      <c r="J18" s="961">
        <v>10500</v>
      </c>
    </row>
    <row r="19" spans="1:10">
      <c r="A19" t="s">
        <v>962</v>
      </c>
      <c r="B19" s="958" t="s">
        <v>468</v>
      </c>
      <c r="C19" s="957">
        <v>1</v>
      </c>
      <c r="D19" s="957">
        <v>1</v>
      </c>
      <c r="E19" s="957">
        <v>1</v>
      </c>
      <c r="F19" s="957">
        <v>1</v>
      </c>
      <c r="G19" s="957">
        <v>1</v>
      </c>
      <c r="H19" s="957">
        <v>1</v>
      </c>
      <c r="I19" s="957">
        <v>1</v>
      </c>
    </row>
    <row r="20" spans="1:10">
      <c r="A20" t="s">
        <v>963</v>
      </c>
      <c r="B20" s="958" t="s">
        <v>468</v>
      </c>
      <c r="C20" s="957">
        <v>1</v>
      </c>
      <c r="D20" s="957">
        <v>1</v>
      </c>
      <c r="E20" s="957">
        <v>1</v>
      </c>
      <c r="F20" s="957">
        <v>1</v>
      </c>
      <c r="G20" s="957">
        <v>1</v>
      </c>
      <c r="H20" s="957">
        <v>1</v>
      </c>
      <c r="I20" s="957">
        <v>1</v>
      </c>
    </row>
    <row r="21" spans="1:10">
      <c r="A21" t="s">
        <v>964</v>
      </c>
      <c r="B21" s="958" t="s">
        <v>458</v>
      </c>
      <c r="C21" s="957">
        <v>2</v>
      </c>
      <c r="D21" s="957">
        <v>2</v>
      </c>
      <c r="E21" s="957">
        <v>2</v>
      </c>
      <c r="F21" s="957">
        <v>2</v>
      </c>
      <c r="G21" s="957">
        <v>2</v>
      </c>
      <c r="H21" s="957">
        <v>2</v>
      </c>
      <c r="I21" s="957">
        <v>2</v>
      </c>
    </row>
    <row r="22" spans="1:10">
      <c r="A22" t="s">
        <v>965</v>
      </c>
      <c r="B22" s="958" t="s">
        <v>472</v>
      </c>
      <c r="C22" s="957">
        <v>2</v>
      </c>
      <c r="D22" s="957">
        <v>2</v>
      </c>
      <c r="E22" s="957">
        <v>2</v>
      </c>
      <c r="F22" s="957">
        <v>2</v>
      </c>
      <c r="G22" s="957">
        <v>2</v>
      </c>
      <c r="H22" s="957">
        <v>2</v>
      </c>
      <c r="I22" s="957">
        <v>2</v>
      </c>
    </row>
    <row r="23" spans="1:10">
      <c r="A23" t="s">
        <v>966</v>
      </c>
      <c r="B23" s="956" t="s">
        <v>967</v>
      </c>
      <c r="C23" s="962">
        <v>75</v>
      </c>
      <c r="D23" s="962">
        <v>75</v>
      </c>
      <c r="E23" s="962">
        <v>75</v>
      </c>
      <c r="F23" s="962">
        <v>75</v>
      </c>
      <c r="G23" s="962">
        <v>75</v>
      </c>
      <c r="H23" s="962">
        <v>75</v>
      </c>
      <c r="I23" s="962">
        <v>75</v>
      </c>
      <c r="J23" s="962"/>
    </row>
    <row r="24" spans="1:10">
      <c r="A24" t="s">
        <v>968</v>
      </c>
      <c r="B24" s="956" t="s">
        <v>967</v>
      </c>
      <c r="C24" s="962">
        <v>150</v>
      </c>
      <c r="D24" s="962">
        <v>150</v>
      </c>
      <c r="E24" s="962">
        <v>150</v>
      </c>
      <c r="F24" s="962">
        <v>150</v>
      </c>
      <c r="G24" s="962">
        <v>150</v>
      </c>
      <c r="H24" s="962">
        <v>150</v>
      </c>
      <c r="I24" s="962">
        <v>150</v>
      </c>
      <c r="J24" s="962"/>
    </row>
    <row r="25" spans="1:10">
      <c r="A25" t="s">
        <v>969</v>
      </c>
      <c r="B25" s="958" t="s">
        <v>470</v>
      </c>
      <c r="C25" s="960">
        <v>1</v>
      </c>
      <c r="D25" s="960">
        <v>1</v>
      </c>
      <c r="E25" s="960">
        <v>1</v>
      </c>
      <c r="F25" s="960">
        <v>1</v>
      </c>
      <c r="G25" s="960">
        <v>1</v>
      </c>
      <c r="H25" s="960">
        <v>1</v>
      </c>
      <c r="I25" s="960">
        <v>1</v>
      </c>
    </row>
    <row r="26" spans="1:10">
      <c r="A26" t="s">
        <v>970</v>
      </c>
      <c r="B26" s="958" t="s">
        <v>470</v>
      </c>
      <c r="C26" s="960">
        <v>1</v>
      </c>
      <c r="D26" s="960">
        <v>1</v>
      </c>
      <c r="E26" s="960">
        <v>1</v>
      </c>
      <c r="F26" s="960">
        <v>1</v>
      </c>
      <c r="G26" s="960">
        <v>1</v>
      </c>
      <c r="H26" s="960">
        <v>1</v>
      </c>
      <c r="I26" s="960">
        <v>1</v>
      </c>
    </row>
    <row r="27" spans="1:10">
      <c r="A27" t="s">
        <v>971</v>
      </c>
      <c r="B27" s="958" t="s">
        <v>470</v>
      </c>
      <c r="C27" s="960">
        <v>1</v>
      </c>
      <c r="D27" s="960">
        <v>1</v>
      </c>
      <c r="E27" s="960">
        <v>1</v>
      </c>
      <c r="F27" s="960">
        <v>1</v>
      </c>
      <c r="G27" s="960">
        <v>1</v>
      </c>
      <c r="H27" s="960">
        <v>1</v>
      </c>
      <c r="I27" s="960">
        <v>1</v>
      </c>
    </row>
    <row r="28" spans="1:10">
      <c r="A28" t="s">
        <v>972</v>
      </c>
      <c r="B28" s="958" t="s">
        <v>478</v>
      </c>
      <c r="C28" s="957">
        <v>0.5</v>
      </c>
      <c r="D28" s="957">
        <v>0.5</v>
      </c>
      <c r="E28" s="957">
        <v>0.5</v>
      </c>
      <c r="F28" s="957">
        <v>0.5</v>
      </c>
      <c r="G28" s="957">
        <v>0.5</v>
      </c>
      <c r="H28" s="957">
        <v>0.5</v>
      </c>
      <c r="I28" s="957">
        <v>0.5</v>
      </c>
    </row>
    <row r="29" spans="1:10">
      <c r="A29" t="s">
        <v>294</v>
      </c>
      <c r="B29" s="958" t="s">
        <v>293</v>
      </c>
      <c r="C29" s="957">
        <v>4</v>
      </c>
      <c r="D29" s="957">
        <v>4</v>
      </c>
      <c r="E29" s="957">
        <v>4</v>
      </c>
      <c r="F29" s="957">
        <v>4</v>
      </c>
      <c r="G29" s="957">
        <v>4</v>
      </c>
      <c r="H29" s="957">
        <v>4</v>
      </c>
      <c r="I29" s="957">
        <v>4</v>
      </c>
    </row>
    <row r="30" spans="1:10">
      <c r="A30" t="s">
        <v>296</v>
      </c>
      <c r="B30" s="958" t="s">
        <v>293</v>
      </c>
      <c r="C30" s="957">
        <v>2.5</v>
      </c>
      <c r="D30" s="957">
        <v>2.5</v>
      </c>
      <c r="E30" s="957">
        <v>2.5</v>
      </c>
      <c r="F30" s="957">
        <v>2.5</v>
      </c>
      <c r="G30" s="957">
        <v>2.5</v>
      </c>
      <c r="H30" s="957">
        <v>2.5</v>
      </c>
      <c r="I30" s="957">
        <v>2.5</v>
      </c>
    </row>
    <row r="31" spans="1:10">
      <c r="A31" t="s">
        <v>295</v>
      </c>
      <c r="B31" s="958" t="s">
        <v>293</v>
      </c>
      <c r="C31" s="957">
        <v>2</v>
      </c>
      <c r="D31" s="957">
        <v>2</v>
      </c>
      <c r="E31" s="957">
        <v>2</v>
      </c>
      <c r="F31" s="957">
        <v>2</v>
      </c>
      <c r="G31" s="957">
        <v>2</v>
      </c>
      <c r="H31" s="957">
        <v>2</v>
      </c>
      <c r="I31" s="957">
        <v>2</v>
      </c>
    </row>
    <row r="32" spans="1:10">
      <c r="A32" t="s">
        <v>973</v>
      </c>
      <c r="B32" s="956" t="s">
        <v>548</v>
      </c>
      <c r="C32" s="957">
        <v>1</v>
      </c>
      <c r="D32" s="957">
        <v>1</v>
      </c>
      <c r="E32" s="957">
        <v>1</v>
      </c>
      <c r="F32" s="957">
        <v>1</v>
      </c>
      <c r="G32" s="957">
        <v>1</v>
      </c>
      <c r="H32" s="957">
        <v>1</v>
      </c>
      <c r="I32" s="957">
        <v>1</v>
      </c>
      <c r="J32" s="961">
        <v>350</v>
      </c>
    </row>
    <row r="33" spans="1:10">
      <c r="A33" t="s">
        <v>974</v>
      </c>
      <c r="B33" s="956" t="s">
        <v>548</v>
      </c>
      <c r="C33" s="963">
        <v>3</v>
      </c>
      <c r="D33" s="963">
        <v>3</v>
      </c>
      <c r="E33" s="963">
        <v>3</v>
      </c>
      <c r="F33" s="963">
        <v>3</v>
      </c>
      <c r="G33" s="963">
        <v>3</v>
      </c>
      <c r="H33" s="963">
        <v>3</v>
      </c>
      <c r="I33" s="963">
        <v>3</v>
      </c>
      <c r="J33" s="961">
        <v>350</v>
      </c>
    </row>
    <row r="34" spans="1:10">
      <c r="A34" t="s">
        <v>975</v>
      </c>
      <c r="B34" s="956" t="s">
        <v>548</v>
      </c>
      <c r="C34" s="963">
        <v>2</v>
      </c>
      <c r="D34" s="963">
        <v>2</v>
      </c>
      <c r="E34" s="963">
        <v>2</v>
      </c>
      <c r="F34" s="963">
        <v>2</v>
      </c>
      <c r="G34" s="963">
        <v>2</v>
      </c>
      <c r="H34" s="963">
        <v>2</v>
      </c>
      <c r="I34" s="963">
        <v>2</v>
      </c>
      <c r="J34" s="961">
        <v>350</v>
      </c>
    </row>
    <row r="35" spans="1:10">
      <c r="A35" t="s">
        <v>976</v>
      </c>
      <c r="B35" t="s">
        <v>437</v>
      </c>
      <c r="C35" s="960">
        <v>3</v>
      </c>
      <c r="D35" s="960">
        <v>3</v>
      </c>
      <c r="E35" s="960">
        <v>3</v>
      </c>
      <c r="F35" s="960">
        <v>3</v>
      </c>
      <c r="G35" s="960">
        <v>3</v>
      </c>
      <c r="H35" s="960">
        <v>3</v>
      </c>
      <c r="I35" s="960">
        <v>3</v>
      </c>
    </row>
    <row r="36" spans="1:10">
      <c r="A36" t="s">
        <v>977</v>
      </c>
      <c r="B36" t="s">
        <v>437</v>
      </c>
      <c r="C36" s="960">
        <v>13</v>
      </c>
      <c r="D36" s="960">
        <v>13</v>
      </c>
      <c r="E36" s="960">
        <v>13</v>
      </c>
      <c r="F36" s="960">
        <v>13</v>
      </c>
      <c r="G36" s="960">
        <v>13</v>
      </c>
      <c r="H36" s="960">
        <v>13</v>
      </c>
      <c r="I36" s="960">
        <v>13</v>
      </c>
    </row>
    <row r="37" spans="1:10">
      <c r="A37" t="s">
        <v>978</v>
      </c>
      <c r="B37" t="s">
        <v>437</v>
      </c>
      <c r="C37" s="960">
        <v>6.5</v>
      </c>
      <c r="D37" s="960">
        <v>6.5</v>
      </c>
      <c r="E37" s="960">
        <v>6.5</v>
      </c>
      <c r="F37" s="960">
        <v>6.5</v>
      </c>
      <c r="G37" s="960">
        <v>6.5</v>
      </c>
      <c r="H37" s="960">
        <v>6.5</v>
      </c>
      <c r="I37" s="960">
        <v>6.5</v>
      </c>
    </row>
    <row r="38" spans="1:10">
      <c r="A38" t="s">
        <v>979</v>
      </c>
      <c r="B38" s="956" t="s">
        <v>550</v>
      </c>
      <c r="C38" s="957"/>
      <c r="D38" s="957"/>
      <c r="E38" s="957"/>
      <c r="F38" s="957"/>
      <c r="G38" s="957"/>
      <c r="H38" s="957"/>
      <c r="I38" s="957"/>
      <c r="J38" s="961">
        <v>288</v>
      </c>
    </row>
    <row r="39" spans="1:10">
      <c r="A39" t="s">
        <v>980</v>
      </c>
      <c r="B39" s="956" t="s">
        <v>550</v>
      </c>
      <c r="C39" s="963"/>
      <c r="D39" s="963"/>
      <c r="E39" s="963"/>
      <c r="F39" s="963"/>
      <c r="G39" s="963"/>
      <c r="H39" s="963"/>
      <c r="I39" s="963"/>
      <c r="J39" s="961">
        <v>288</v>
      </c>
    </row>
    <row r="40" spans="1:10">
      <c r="A40" t="s">
        <v>981</v>
      </c>
      <c r="B40" s="956" t="s">
        <v>550</v>
      </c>
      <c r="C40" s="963"/>
      <c r="D40" s="963"/>
      <c r="E40" s="963"/>
      <c r="F40" s="963"/>
      <c r="G40" s="963"/>
      <c r="H40" s="963"/>
      <c r="I40" s="963"/>
      <c r="J40" s="961">
        <v>288</v>
      </c>
    </row>
    <row r="41" spans="1:10">
      <c r="A41" t="s">
        <v>982</v>
      </c>
      <c r="B41" s="958" t="s">
        <v>480</v>
      </c>
      <c r="C41" s="957">
        <v>1</v>
      </c>
      <c r="D41" s="957">
        <v>1</v>
      </c>
      <c r="E41" s="957">
        <v>1</v>
      </c>
      <c r="F41" s="957">
        <v>1</v>
      </c>
      <c r="G41" s="957">
        <v>1</v>
      </c>
      <c r="H41" s="957">
        <v>1</v>
      </c>
      <c r="I41" s="957">
        <v>1</v>
      </c>
      <c r="J41" s="961"/>
    </row>
    <row r="42" spans="1:10">
      <c r="A42" t="s">
        <v>983</v>
      </c>
      <c r="B42" s="958" t="s">
        <v>480</v>
      </c>
      <c r="C42" s="957">
        <v>1</v>
      </c>
      <c r="D42" s="957">
        <v>1</v>
      </c>
      <c r="E42" s="957">
        <v>1</v>
      </c>
      <c r="F42" s="957">
        <v>1</v>
      </c>
      <c r="G42" s="957">
        <v>1</v>
      </c>
      <c r="H42" s="957">
        <v>1</v>
      </c>
      <c r="I42" s="957">
        <v>1</v>
      </c>
    </row>
    <row r="43" spans="1:10">
      <c r="A43" t="s">
        <v>984</v>
      </c>
      <c r="B43" s="958" t="s">
        <v>480</v>
      </c>
      <c r="C43" s="957">
        <v>1</v>
      </c>
      <c r="D43" s="957">
        <v>1</v>
      </c>
      <c r="E43" s="957">
        <v>1</v>
      </c>
      <c r="F43" s="957">
        <v>1</v>
      </c>
      <c r="G43" s="957">
        <v>1</v>
      </c>
      <c r="H43" s="957">
        <v>1</v>
      </c>
      <c r="I43" s="957">
        <v>1</v>
      </c>
    </row>
    <row r="44" spans="1:10">
      <c r="A44" t="s">
        <v>985</v>
      </c>
      <c r="B44" s="956" t="s">
        <v>409</v>
      </c>
      <c r="C44" s="957">
        <v>1</v>
      </c>
      <c r="D44" s="957">
        <v>1</v>
      </c>
      <c r="E44" s="957">
        <v>1</v>
      </c>
      <c r="F44" s="957">
        <v>1</v>
      </c>
      <c r="G44" s="957">
        <v>1</v>
      </c>
      <c r="H44" s="957">
        <v>1</v>
      </c>
      <c r="I44" s="957">
        <v>1</v>
      </c>
    </row>
    <row r="45" spans="1:10">
      <c r="A45" t="s">
        <v>986</v>
      </c>
      <c r="B45" s="956" t="s">
        <v>409</v>
      </c>
      <c r="C45" s="957">
        <v>0.25</v>
      </c>
      <c r="D45" s="957">
        <v>0.25</v>
      </c>
      <c r="E45" s="957">
        <v>0.25</v>
      </c>
      <c r="F45" s="957">
        <v>0.25</v>
      </c>
      <c r="G45" s="957">
        <v>0.25</v>
      </c>
      <c r="H45" s="957">
        <v>0.25</v>
      </c>
      <c r="I45" s="957">
        <v>0.25</v>
      </c>
    </row>
    <row r="46" spans="1:10">
      <c r="A46" t="s">
        <v>987</v>
      </c>
      <c r="B46" s="956" t="s">
        <v>533</v>
      </c>
      <c r="C46" s="959">
        <v>475</v>
      </c>
      <c r="D46" s="959">
        <v>475</v>
      </c>
      <c r="E46" s="959">
        <v>475</v>
      </c>
      <c r="F46" s="959">
        <v>475</v>
      </c>
      <c r="G46" s="959">
        <v>475</v>
      </c>
      <c r="H46" s="959">
        <v>475</v>
      </c>
      <c r="I46" s="959">
        <v>475</v>
      </c>
    </row>
    <row r="47" spans="1:10">
      <c r="A47" t="s">
        <v>335</v>
      </c>
      <c r="B47" s="956" t="s">
        <v>988</v>
      </c>
      <c r="C47" s="957"/>
      <c r="D47" s="957"/>
      <c r="E47" s="957"/>
      <c r="F47" s="957"/>
      <c r="G47" s="957"/>
      <c r="H47" s="957"/>
      <c r="I47" s="957"/>
      <c r="J47" s="961">
        <v>6000</v>
      </c>
    </row>
    <row r="48" spans="1:10">
      <c r="A48" t="s">
        <v>989</v>
      </c>
      <c r="B48" s="958" t="s">
        <v>572</v>
      </c>
      <c r="C48" s="959">
        <v>320</v>
      </c>
      <c r="D48" s="959">
        <v>320</v>
      </c>
      <c r="E48" s="959">
        <v>320</v>
      </c>
      <c r="F48" s="959">
        <v>320</v>
      </c>
      <c r="G48" s="959">
        <v>320</v>
      </c>
      <c r="H48" s="959">
        <v>320</v>
      </c>
      <c r="I48" s="959">
        <v>320</v>
      </c>
    </row>
    <row r="49" spans="1:9">
      <c r="A49" t="s">
        <v>990</v>
      </c>
      <c r="B49" s="958" t="s">
        <v>572</v>
      </c>
      <c r="C49" s="959">
        <v>290</v>
      </c>
      <c r="D49" s="959">
        <v>290</v>
      </c>
      <c r="E49" s="959">
        <v>290</v>
      </c>
      <c r="F49" s="959">
        <v>290</v>
      </c>
      <c r="G49" s="959">
        <v>290</v>
      </c>
      <c r="H49" s="959">
        <v>290</v>
      </c>
      <c r="I49" s="959">
        <v>290</v>
      </c>
    </row>
    <row r="50" spans="1:9">
      <c r="A50" t="s">
        <v>991</v>
      </c>
      <c r="B50" s="958" t="s">
        <v>572</v>
      </c>
      <c r="C50" s="959">
        <v>320</v>
      </c>
      <c r="D50" s="959">
        <v>320</v>
      </c>
      <c r="E50" s="959">
        <v>320</v>
      </c>
      <c r="F50" s="959">
        <v>320</v>
      </c>
      <c r="G50" s="959">
        <v>320</v>
      </c>
      <c r="H50" s="959">
        <v>320</v>
      </c>
      <c r="I50" s="959">
        <v>320</v>
      </c>
    </row>
    <row r="51" spans="1:9">
      <c r="A51" t="s">
        <v>992</v>
      </c>
      <c r="B51" s="958" t="s">
        <v>492</v>
      </c>
      <c r="C51" s="957">
        <v>1</v>
      </c>
      <c r="D51" s="957">
        <v>1</v>
      </c>
      <c r="E51" s="957">
        <v>1</v>
      </c>
      <c r="F51" s="957">
        <v>1</v>
      </c>
      <c r="G51" s="957">
        <v>1</v>
      </c>
      <c r="H51" s="957">
        <v>1</v>
      </c>
      <c r="I51" s="957">
        <v>1</v>
      </c>
    </row>
    <row r="52" spans="1:9">
      <c r="A52" t="s">
        <v>993</v>
      </c>
      <c r="B52" s="958" t="s">
        <v>492</v>
      </c>
      <c r="C52" s="957">
        <v>1</v>
      </c>
      <c r="D52" s="957">
        <v>1</v>
      </c>
      <c r="E52" s="957">
        <v>1</v>
      </c>
      <c r="F52" s="957">
        <v>1</v>
      </c>
      <c r="G52" s="957">
        <v>1</v>
      </c>
      <c r="H52" s="957">
        <v>1</v>
      </c>
      <c r="I52" s="957">
        <v>1</v>
      </c>
    </row>
    <row r="53" spans="1:9">
      <c r="A53" t="s">
        <v>994</v>
      </c>
      <c r="B53" s="958" t="s">
        <v>492</v>
      </c>
      <c r="C53" s="957">
        <v>1</v>
      </c>
      <c r="D53" s="957">
        <v>1</v>
      </c>
      <c r="E53" s="957">
        <v>1</v>
      </c>
      <c r="F53" s="957">
        <v>1</v>
      </c>
      <c r="G53" s="957">
        <v>1</v>
      </c>
      <c r="H53" s="957">
        <v>1</v>
      </c>
      <c r="I53" s="957">
        <v>1</v>
      </c>
    </row>
    <row r="54" spans="1:9">
      <c r="A54" t="s">
        <v>995</v>
      </c>
      <c r="B54" s="958" t="s">
        <v>454</v>
      </c>
      <c r="C54" s="957">
        <v>1</v>
      </c>
      <c r="D54" s="957">
        <v>1</v>
      </c>
      <c r="E54" s="957">
        <v>1</v>
      </c>
      <c r="F54" s="957">
        <v>1</v>
      </c>
      <c r="G54" s="957">
        <v>1</v>
      </c>
      <c r="H54" s="957">
        <v>1</v>
      </c>
      <c r="I54" s="957">
        <v>1</v>
      </c>
    </row>
    <row r="55" spans="1:9">
      <c r="A55" t="s">
        <v>996</v>
      </c>
      <c r="B55" s="958" t="s">
        <v>454</v>
      </c>
      <c r="C55" s="957">
        <v>1</v>
      </c>
      <c r="D55" s="957">
        <v>1</v>
      </c>
      <c r="E55" s="957">
        <v>1</v>
      </c>
      <c r="F55" s="957">
        <v>1</v>
      </c>
      <c r="G55" s="957">
        <v>1</v>
      </c>
      <c r="H55" s="957">
        <v>1</v>
      </c>
      <c r="I55" s="957">
        <v>1</v>
      </c>
    </row>
    <row r="56" spans="1:9">
      <c r="A56" t="s">
        <v>997</v>
      </c>
      <c r="B56" s="958" t="s">
        <v>592</v>
      </c>
      <c r="C56" s="959">
        <v>45</v>
      </c>
      <c r="D56" s="959">
        <v>45</v>
      </c>
      <c r="E56" s="959">
        <v>45</v>
      </c>
      <c r="F56" s="959">
        <v>45</v>
      </c>
      <c r="G56" s="959">
        <v>45</v>
      </c>
      <c r="H56" s="959">
        <v>45</v>
      </c>
      <c r="I56" s="959">
        <v>45</v>
      </c>
    </row>
    <row r="57" spans="1:9">
      <c r="A57" t="s">
        <v>998</v>
      </c>
      <c r="B57" s="958" t="s">
        <v>592</v>
      </c>
      <c r="C57" s="959">
        <v>45</v>
      </c>
      <c r="D57" s="959">
        <v>45</v>
      </c>
      <c r="E57" s="959">
        <v>45</v>
      </c>
      <c r="F57" s="959">
        <v>45</v>
      </c>
      <c r="G57" s="959">
        <v>45</v>
      </c>
      <c r="H57" s="959">
        <v>45</v>
      </c>
      <c r="I57" s="959">
        <v>45</v>
      </c>
    </row>
    <row r="58" spans="1:9">
      <c r="A58" t="s">
        <v>999</v>
      </c>
      <c r="B58" s="958" t="s">
        <v>592</v>
      </c>
      <c r="C58" s="959">
        <v>45</v>
      </c>
      <c r="D58" s="959">
        <v>45</v>
      </c>
      <c r="E58" s="959">
        <v>45</v>
      </c>
      <c r="F58" s="959">
        <v>45</v>
      </c>
      <c r="G58" s="959">
        <v>45</v>
      </c>
      <c r="H58" s="959">
        <v>45</v>
      </c>
      <c r="I58" s="959">
        <v>45</v>
      </c>
    </row>
    <row r="59" spans="1:9">
      <c r="A59" t="s">
        <v>1000</v>
      </c>
      <c r="B59" s="958" t="s">
        <v>482</v>
      </c>
      <c r="C59" s="957">
        <v>1</v>
      </c>
      <c r="D59" s="957">
        <v>1</v>
      </c>
      <c r="E59" s="957">
        <v>1</v>
      </c>
      <c r="F59" s="957">
        <v>1</v>
      </c>
      <c r="G59" s="957">
        <v>1</v>
      </c>
      <c r="H59" s="957">
        <v>1</v>
      </c>
      <c r="I59" s="957">
        <v>1</v>
      </c>
    </row>
    <row r="60" spans="1:9">
      <c r="A60" t="s">
        <v>1001</v>
      </c>
      <c r="B60" s="958" t="s">
        <v>482</v>
      </c>
      <c r="C60" s="957">
        <v>1</v>
      </c>
      <c r="D60" s="957">
        <v>1</v>
      </c>
      <c r="E60" s="957">
        <v>1</v>
      </c>
      <c r="F60" s="957">
        <v>1</v>
      </c>
      <c r="G60" s="957">
        <v>1</v>
      </c>
      <c r="H60" s="957">
        <v>1</v>
      </c>
      <c r="I60" s="957">
        <v>1</v>
      </c>
    </row>
    <row r="61" spans="1:9">
      <c r="A61" t="s">
        <v>1002</v>
      </c>
      <c r="B61" s="958" t="s">
        <v>463</v>
      </c>
      <c r="C61" s="957">
        <v>1</v>
      </c>
      <c r="D61" s="957">
        <v>1</v>
      </c>
      <c r="E61" s="957">
        <v>1</v>
      </c>
      <c r="F61" s="957">
        <v>1</v>
      </c>
      <c r="G61" s="957">
        <v>1</v>
      </c>
      <c r="H61" s="957">
        <v>1</v>
      </c>
      <c r="I61" s="957">
        <v>1</v>
      </c>
    </row>
    <row r="62" spans="1:9">
      <c r="A62" t="s">
        <v>1003</v>
      </c>
      <c r="B62" s="958" t="s">
        <v>488</v>
      </c>
      <c r="C62" s="957">
        <f>ES_Detail!$H$2/750</f>
        <v>0.48</v>
      </c>
      <c r="D62" s="957">
        <f>ES_Detail!$H$2/750</f>
        <v>0.48</v>
      </c>
      <c r="E62" s="957">
        <f>ES_Detail!$H$2/750</f>
        <v>0.48</v>
      </c>
      <c r="F62" s="957">
        <f>ES_Detail!$H$2/750</f>
        <v>0.48</v>
      </c>
      <c r="G62" s="957">
        <f>ES_Detail!$H$2/750</f>
        <v>0.48</v>
      </c>
      <c r="H62" s="957">
        <f>ES_Detail!$H$2/750</f>
        <v>0.48</v>
      </c>
      <c r="I62" s="957">
        <f>ES_Detail!$H$2/750</f>
        <v>0.48</v>
      </c>
    </row>
    <row r="63" spans="1:9">
      <c r="A63" t="s">
        <v>1004</v>
      </c>
      <c r="B63" s="958" t="s">
        <v>488</v>
      </c>
      <c r="C63" s="957">
        <f>HS_Detail!$H$2/750</f>
        <v>1.3333333333333333</v>
      </c>
      <c r="D63" s="957">
        <f>HS_Detail!$H$2/750</f>
        <v>1.3333333333333333</v>
      </c>
      <c r="E63" s="957">
        <f>HS_Detail!$H$2/750</f>
        <v>1.3333333333333333</v>
      </c>
      <c r="F63" s="957">
        <f>HS_Detail!$H$2/750</f>
        <v>1.3333333333333333</v>
      </c>
      <c r="G63" s="957">
        <f>HS_Detail!$H$2/750</f>
        <v>1.3333333333333333</v>
      </c>
      <c r="H63" s="957">
        <f>HS_Detail!$H$2/750</f>
        <v>1.3333333333333333</v>
      </c>
      <c r="I63" s="957">
        <f>HS_Detail!$H$2/750</f>
        <v>1.3333333333333333</v>
      </c>
    </row>
    <row r="64" spans="1:9">
      <c r="A64" t="s">
        <v>1005</v>
      </c>
      <c r="B64" s="958" t="s">
        <v>488</v>
      </c>
      <c r="C64" s="957">
        <f>MS_Detail!$H$2/750</f>
        <v>0.66666666666666663</v>
      </c>
      <c r="D64" s="957">
        <f>MS_Detail!$H$2/750</f>
        <v>0.66666666666666663</v>
      </c>
      <c r="E64" s="957">
        <f>MS_Detail!$H$2/750</f>
        <v>0.66666666666666663</v>
      </c>
      <c r="F64" s="957">
        <f>MS_Detail!$H$2/750</f>
        <v>0.66666666666666663</v>
      </c>
      <c r="G64" s="957">
        <f>MS_Detail!$H$2/750</f>
        <v>0.66666666666666663</v>
      </c>
      <c r="H64" s="957">
        <f>MS_Detail!$H$2/750</f>
        <v>0.66666666666666663</v>
      </c>
      <c r="I64" s="957">
        <f>MS_Detail!$H$2/750</f>
        <v>0.66666666666666663</v>
      </c>
    </row>
    <row r="65" spans="1:10">
      <c r="A65" t="s">
        <v>1006</v>
      </c>
      <c r="B65" s="958" t="s">
        <v>460</v>
      </c>
      <c r="C65" s="957">
        <v>2</v>
      </c>
      <c r="D65" s="957">
        <v>2</v>
      </c>
      <c r="E65" s="957">
        <v>2</v>
      </c>
      <c r="F65" s="957">
        <v>2</v>
      </c>
      <c r="G65" s="957">
        <v>2</v>
      </c>
      <c r="H65" s="957">
        <v>2</v>
      </c>
      <c r="I65" s="957">
        <v>2</v>
      </c>
    </row>
    <row r="66" spans="1:10">
      <c r="A66" t="s">
        <v>1007</v>
      </c>
      <c r="B66" s="964" t="s">
        <v>1008</v>
      </c>
      <c r="C66" s="957">
        <v>1</v>
      </c>
      <c r="D66" s="957">
        <v>1</v>
      </c>
      <c r="E66" s="957">
        <v>1</v>
      </c>
      <c r="F66" s="957">
        <v>1</v>
      </c>
      <c r="G66" s="957">
        <v>1</v>
      </c>
      <c r="H66" s="957">
        <v>1</v>
      </c>
      <c r="I66" s="957">
        <v>1</v>
      </c>
    </row>
    <row r="67" spans="1:10">
      <c r="A67" t="s">
        <v>1009</v>
      </c>
      <c r="B67" s="956" t="s">
        <v>547</v>
      </c>
      <c r="C67" s="957">
        <v>5</v>
      </c>
      <c r="D67" s="957">
        <v>5</v>
      </c>
      <c r="E67" s="957">
        <v>5</v>
      </c>
      <c r="F67" s="957">
        <v>5</v>
      </c>
      <c r="G67" s="957">
        <v>5</v>
      </c>
      <c r="H67" s="957">
        <v>5</v>
      </c>
      <c r="I67" s="957">
        <v>5</v>
      </c>
      <c r="J67" s="961">
        <v>111</v>
      </c>
    </row>
    <row r="68" spans="1:10">
      <c r="A68" t="s">
        <v>1010</v>
      </c>
      <c r="B68" s="956" t="s">
        <v>547</v>
      </c>
      <c r="C68" s="957">
        <v>9</v>
      </c>
      <c r="D68" s="957">
        <v>9</v>
      </c>
      <c r="E68" s="957">
        <v>9</v>
      </c>
      <c r="F68" s="957">
        <v>9</v>
      </c>
      <c r="G68" s="957">
        <v>9</v>
      </c>
      <c r="H68" s="957">
        <v>9</v>
      </c>
      <c r="I68" s="957">
        <v>9</v>
      </c>
      <c r="J68" s="961">
        <v>111</v>
      </c>
    </row>
    <row r="69" spans="1:10">
      <c r="A69" t="s">
        <v>1011</v>
      </c>
      <c r="B69" s="956" t="s">
        <v>547</v>
      </c>
      <c r="C69" s="963">
        <v>5</v>
      </c>
      <c r="D69" s="963">
        <v>5</v>
      </c>
      <c r="E69" s="963">
        <v>5</v>
      </c>
      <c r="F69" s="963">
        <v>5</v>
      </c>
      <c r="G69" s="963">
        <v>5</v>
      </c>
      <c r="H69" s="963">
        <v>5</v>
      </c>
      <c r="I69" s="963">
        <v>5</v>
      </c>
      <c r="J69" s="961">
        <v>117</v>
      </c>
    </row>
    <row r="70" spans="1:10">
      <c r="A70" t="s">
        <v>1012</v>
      </c>
      <c r="B70" s="956" t="s">
        <v>452</v>
      </c>
      <c r="C70" s="957">
        <v>5</v>
      </c>
      <c r="D70" s="957">
        <v>5</v>
      </c>
      <c r="E70" s="957">
        <v>5</v>
      </c>
      <c r="F70" s="957">
        <v>5</v>
      </c>
      <c r="G70" s="957">
        <v>5</v>
      </c>
      <c r="H70" s="957">
        <v>5</v>
      </c>
      <c r="I70" s="957">
        <v>5</v>
      </c>
    </row>
    <row r="71" spans="1:10">
      <c r="A71" t="s">
        <v>1013</v>
      </c>
      <c r="B71" s="958" t="s">
        <v>452</v>
      </c>
      <c r="C71" s="957">
        <v>9</v>
      </c>
      <c r="D71" s="957">
        <v>9</v>
      </c>
      <c r="E71" s="957">
        <v>9</v>
      </c>
      <c r="F71" s="957">
        <v>9</v>
      </c>
      <c r="G71" s="957">
        <v>9</v>
      </c>
      <c r="H71" s="957">
        <v>9</v>
      </c>
      <c r="I71" s="957">
        <v>9</v>
      </c>
    </row>
    <row r="72" spans="1:10">
      <c r="A72" t="s">
        <v>1014</v>
      </c>
      <c r="B72" s="958" t="s">
        <v>452</v>
      </c>
      <c r="C72" s="1198">
        <v>5</v>
      </c>
      <c r="D72" s="1198">
        <v>5</v>
      </c>
      <c r="E72" s="1198">
        <v>5</v>
      </c>
      <c r="F72" s="1198">
        <v>5</v>
      </c>
      <c r="G72" s="1198">
        <v>5</v>
      </c>
      <c r="H72" s="1198">
        <v>5</v>
      </c>
      <c r="I72" s="1198">
        <v>5</v>
      </c>
      <c r="J72" s="1173"/>
    </row>
    <row r="73" spans="1:10">
      <c r="A73" t="s">
        <v>254</v>
      </c>
      <c r="B73" s="965" t="s">
        <v>1015</v>
      </c>
      <c r="C73" s="963"/>
      <c r="D73" s="963"/>
      <c r="E73" s="963"/>
      <c r="F73" s="963"/>
      <c r="G73" s="963"/>
      <c r="H73" s="963"/>
      <c r="I73" s="963"/>
      <c r="J73" s="961">
        <v>5250</v>
      </c>
    </row>
    <row r="74" spans="1:10">
      <c r="A74" t="s">
        <v>253</v>
      </c>
      <c r="B74" s="965" t="s">
        <v>1015</v>
      </c>
      <c r="C74" s="963"/>
      <c r="D74" s="963"/>
      <c r="E74" s="963"/>
      <c r="F74" s="963"/>
      <c r="G74" s="963"/>
      <c r="H74" s="963"/>
      <c r="I74" s="963"/>
      <c r="J74" s="961">
        <v>5250</v>
      </c>
    </row>
    <row r="75" spans="1:10">
      <c r="A75" t="s">
        <v>1016</v>
      </c>
      <c r="B75" t="s">
        <v>444</v>
      </c>
      <c r="C75" s="960"/>
      <c r="D75" s="960"/>
      <c r="E75" s="960"/>
      <c r="F75" s="960"/>
      <c r="G75" s="960"/>
      <c r="H75" s="960"/>
      <c r="I75" s="960"/>
      <c r="J75" s="966">
        <v>24</v>
      </c>
    </row>
    <row r="76" spans="1:10">
      <c r="A76" t="s">
        <v>1017</v>
      </c>
      <c r="B76" t="s">
        <v>444</v>
      </c>
      <c r="C76" s="960"/>
      <c r="D76" s="960"/>
      <c r="E76" s="960"/>
      <c r="F76" s="960"/>
      <c r="G76" s="960"/>
      <c r="H76" s="960"/>
      <c r="I76" s="960"/>
      <c r="J76" s="966">
        <v>24</v>
      </c>
    </row>
    <row r="77" spans="1:10">
      <c r="A77" t="s">
        <v>1018</v>
      </c>
      <c r="B77" t="s">
        <v>444</v>
      </c>
      <c r="C77" s="960"/>
      <c r="D77" s="960"/>
      <c r="E77" s="960"/>
      <c r="F77" s="960"/>
      <c r="G77" s="960"/>
      <c r="H77" s="960"/>
      <c r="I77" s="960"/>
      <c r="J77" s="966">
        <v>24</v>
      </c>
    </row>
    <row r="78" spans="1:10">
      <c r="A78" t="s">
        <v>1019</v>
      </c>
      <c r="B78" s="956" t="s">
        <v>1020</v>
      </c>
      <c r="C78" s="957">
        <v>1.5</v>
      </c>
      <c r="D78" s="957">
        <v>1.5</v>
      </c>
      <c r="E78" s="957">
        <v>1.5</v>
      </c>
      <c r="F78" s="957">
        <v>1.5</v>
      </c>
      <c r="G78" s="957">
        <v>1.5</v>
      </c>
      <c r="H78" s="957">
        <v>1.5</v>
      </c>
      <c r="I78" s="957">
        <v>1.5</v>
      </c>
    </row>
    <row r="79" spans="1:10">
      <c r="A79" t="s">
        <v>1021</v>
      </c>
      <c r="B79" s="956" t="s">
        <v>496</v>
      </c>
      <c r="C79" s="959">
        <v>64</v>
      </c>
      <c r="D79" s="959">
        <v>64</v>
      </c>
      <c r="E79" s="959">
        <v>64</v>
      </c>
      <c r="F79" s="959">
        <v>64</v>
      </c>
      <c r="G79" s="959">
        <v>64</v>
      </c>
      <c r="H79" s="959">
        <v>64</v>
      </c>
      <c r="I79" s="959">
        <v>64</v>
      </c>
    </row>
    <row r="80" spans="1:10">
      <c r="A80" t="s">
        <v>1022</v>
      </c>
      <c r="B80" s="956" t="s">
        <v>496</v>
      </c>
      <c r="C80" s="959">
        <v>42</v>
      </c>
      <c r="D80" s="959">
        <v>42</v>
      </c>
      <c r="E80" s="959">
        <v>42</v>
      </c>
      <c r="F80" s="959">
        <v>42</v>
      </c>
      <c r="G80" s="959">
        <v>42</v>
      </c>
      <c r="H80" s="959">
        <v>42</v>
      </c>
      <c r="I80" s="959">
        <v>42</v>
      </c>
    </row>
    <row r="81" spans="1:10">
      <c r="A81" t="s">
        <v>1023</v>
      </c>
      <c r="B81" s="965" t="s">
        <v>1024</v>
      </c>
      <c r="C81" s="957">
        <v>25.717391304347828</v>
      </c>
      <c r="D81" s="957">
        <v>25.717391304347828</v>
      </c>
      <c r="E81" s="957">
        <v>25.7173913043478</v>
      </c>
      <c r="F81" s="957">
        <v>25.7173913043478</v>
      </c>
      <c r="G81" s="957">
        <v>25.7173913043478</v>
      </c>
      <c r="H81" s="957">
        <v>25.7173913043478</v>
      </c>
      <c r="I81" s="957">
        <v>25.7173913043478</v>
      </c>
      <c r="J81" s="961">
        <v>333</v>
      </c>
    </row>
    <row r="82" spans="1:10">
      <c r="A82" t="s">
        <v>1025</v>
      </c>
      <c r="B82" s="965" t="s">
        <v>1024</v>
      </c>
      <c r="C82" s="963">
        <v>65.75</v>
      </c>
      <c r="D82" s="963">
        <v>65.75</v>
      </c>
      <c r="E82" s="963">
        <v>65.75</v>
      </c>
      <c r="F82" s="963">
        <v>65.75</v>
      </c>
      <c r="G82" s="963">
        <v>65.75</v>
      </c>
      <c r="H82" s="963">
        <v>65.75</v>
      </c>
      <c r="I82" s="963">
        <v>65.75</v>
      </c>
      <c r="J82" s="961">
        <v>333</v>
      </c>
    </row>
    <row r="83" spans="1:10">
      <c r="A83" t="s">
        <v>1026</v>
      </c>
      <c r="B83" s="965" t="s">
        <v>1024</v>
      </c>
      <c r="C83" s="963">
        <v>32.5</v>
      </c>
      <c r="D83" s="963">
        <v>32.5</v>
      </c>
      <c r="E83" s="963">
        <v>32.5</v>
      </c>
      <c r="F83" s="963">
        <v>32.5</v>
      </c>
      <c r="G83" s="963">
        <v>32.5</v>
      </c>
      <c r="H83" s="963">
        <v>32.5</v>
      </c>
      <c r="I83" s="963">
        <v>32.5</v>
      </c>
      <c r="J83" s="961">
        <v>333</v>
      </c>
    </row>
    <row r="84" spans="1:10">
      <c r="A84" t="s">
        <v>208</v>
      </c>
      <c r="B84" s="967" t="s">
        <v>446</v>
      </c>
      <c r="C84" s="960"/>
      <c r="D84" s="960"/>
      <c r="E84" s="960"/>
      <c r="F84" s="960"/>
      <c r="G84" s="960"/>
      <c r="H84" s="960"/>
      <c r="I84" s="960"/>
      <c r="J84" s="966">
        <v>222</v>
      </c>
    </row>
    <row r="85" spans="1:10">
      <c r="A85" t="s">
        <v>213</v>
      </c>
      <c r="B85" s="967" t="s">
        <v>446</v>
      </c>
      <c r="C85" s="960"/>
      <c r="D85" s="960"/>
      <c r="E85" s="960"/>
      <c r="F85" s="960"/>
      <c r="G85" s="960"/>
      <c r="H85" s="960"/>
      <c r="I85" s="960"/>
      <c r="J85" s="966">
        <v>461</v>
      </c>
    </row>
    <row r="86" spans="1:10">
      <c r="A86" t="s">
        <v>211</v>
      </c>
      <c r="B86" s="967" t="s">
        <v>446</v>
      </c>
      <c r="C86" s="960"/>
      <c r="D86" s="960"/>
      <c r="E86" s="960"/>
      <c r="F86" s="960"/>
      <c r="G86" s="960"/>
      <c r="H86" s="960"/>
      <c r="I86" s="960"/>
      <c r="J86" s="966">
        <v>461</v>
      </c>
    </row>
    <row r="87" spans="1:10">
      <c r="A87" t="s">
        <v>1027</v>
      </c>
      <c r="B87" s="958" t="s">
        <v>476</v>
      </c>
      <c r="C87" s="957">
        <v>1</v>
      </c>
      <c r="D87" s="957">
        <v>1</v>
      </c>
      <c r="E87" s="957">
        <v>1</v>
      </c>
      <c r="F87" s="957">
        <v>1</v>
      </c>
      <c r="G87" s="957">
        <v>1</v>
      </c>
      <c r="H87" s="957">
        <v>1</v>
      </c>
      <c r="I87" s="957">
        <v>1</v>
      </c>
    </row>
    <row r="88" spans="1:10">
      <c r="A88" t="s">
        <v>1028</v>
      </c>
      <c r="B88" s="958" t="s">
        <v>476</v>
      </c>
      <c r="C88" s="957">
        <v>1</v>
      </c>
      <c r="D88" s="957">
        <v>1</v>
      </c>
      <c r="E88" s="957">
        <v>1</v>
      </c>
      <c r="F88" s="957">
        <v>1</v>
      </c>
      <c r="G88" s="957">
        <v>1</v>
      </c>
      <c r="H88" s="957">
        <v>1</v>
      </c>
      <c r="I88" s="957">
        <v>1</v>
      </c>
    </row>
    <row r="89" spans="1:10">
      <c r="A89" t="s">
        <v>1029</v>
      </c>
      <c r="B89" s="956" t="s">
        <v>420</v>
      </c>
      <c r="C89" s="960">
        <v>1</v>
      </c>
      <c r="D89" s="960">
        <v>1</v>
      </c>
      <c r="E89" s="960">
        <v>1</v>
      </c>
      <c r="F89" s="960">
        <v>1</v>
      </c>
      <c r="G89" s="960">
        <v>1</v>
      </c>
      <c r="H89" s="960">
        <v>1</v>
      </c>
      <c r="I89" s="960">
        <v>1</v>
      </c>
    </row>
    <row r="90" spans="1:10">
      <c r="A90" t="s">
        <v>1030</v>
      </c>
      <c r="B90" s="956" t="s">
        <v>420</v>
      </c>
      <c r="C90" s="960">
        <v>1.5</v>
      </c>
      <c r="D90" s="960">
        <v>1.5</v>
      </c>
      <c r="E90" s="960">
        <v>1.5</v>
      </c>
      <c r="F90" s="960">
        <v>1.5</v>
      </c>
      <c r="G90" s="960">
        <v>1.5</v>
      </c>
      <c r="H90" s="960">
        <v>1.5</v>
      </c>
      <c r="I90" s="960">
        <v>1.5</v>
      </c>
    </row>
    <row r="91" spans="1:10">
      <c r="A91" t="s">
        <v>1031</v>
      </c>
      <c r="B91" s="958" t="s">
        <v>947</v>
      </c>
      <c r="C91" s="960">
        <v>0.5</v>
      </c>
      <c r="D91" s="960">
        <v>0.5</v>
      </c>
      <c r="E91" s="960">
        <v>0.5</v>
      </c>
      <c r="F91" s="960">
        <v>0.5</v>
      </c>
      <c r="G91" s="960">
        <v>0.5</v>
      </c>
      <c r="H91" s="960">
        <v>0.5</v>
      </c>
      <c r="I91" s="960">
        <v>0.5</v>
      </c>
      <c r="J91" s="960"/>
    </row>
    <row r="92" spans="1:10">
      <c r="A92" t="s">
        <v>1032</v>
      </c>
      <c r="B92" s="956" t="s">
        <v>529</v>
      </c>
      <c r="C92" s="960">
        <v>12</v>
      </c>
      <c r="D92" s="960">
        <v>12</v>
      </c>
      <c r="E92" s="960">
        <v>12</v>
      </c>
      <c r="F92" s="960">
        <v>12</v>
      </c>
      <c r="G92" s="960">
        <v>12</v>
      </c>
      <c r="H92" s="960">
        <v>12</v>
      </c>
      <c r="I92" s="960">
        <v>12</v>
      </c>
      <c r="J92" s="961">
        <v>1800</v>
      </c>
    </row>
    <row r="93" spans="1:10">
      <c r="A93" t="s">
        <v>1033</v>
      </c>
      <c r="B93" s="958" t="s">
        <v>468</v>
      </c>
      <c r="C93" s="960">
        <v>0.5</v>
      </c>
      <c r="D93" s="960">
        <v>0.5</v>
      </c>
      <c r="E93" s="960">
        <v>0.5</v>
      </c>
      <c r="F93" s="960">
        <v>0.5</v>
      </c>
      <c r="G93" s="960">
        <v>0.5</v>
      </c>
      <c r="H93" s="960">
        <v>0.5</v>
      </c>
      <c r="I93" s="960">
        <v>0.5</v>
      </c>
    </row>
    <row r="94" spans="1:10">
      <c r="A94" t="s">
        <v>1034</v>
      </c>
      <c r="B94" s="958" t="s">
        <v>458</v>
      </c>
      <c r="C94" s="960">
        <v>0.5</v>
      </c>
      <c r="D94" s="960">
        <v>0.5</v>
      </c>
      <c r="E94" s="960">
        <v>0.5</v>
      </c>
      <c r="F94" s="960">
        <v>0.5</v>
      </c>
      <c r="G94" s="960">
        <v>0.5</v>
      </c>
      <c r="H94" s="960">
        <v>0.5</v>
      </c>
      <c r="I94" s="960">
        <v>0.5</v>
      </c>
    </row>
    <row r="95" spans="1:10">
      <c r="A95" t="s">
        <v>1035</v>
      </c>
      <c r="B95" s="958" t="s">
        <v>458</v>
      </c>
      <c r="C95">
        <v>0.25</v>
      </c>
      <c r="D95">
        <v>0.25</v>
      </c>
      <c r="E95">
        <v>0.25</v>
      </c>
      <c r="F95">
        <v>0.25</v>
      </c>
      <c r="G95">
        <v>0.25</v>
      </c>
      <c r="H95">
        <v>0.25</v>
      </c>
      <c r="I95">
        <v>0.25</v>
      </c>
    </row>
    <row r="96" spans="1:10">
      <c r="A96" t="s">
        <v>1036</v>
      </c>
      <c r="B96" s="958" t="s">
        <v>482</v>
      </c>
      <c r="C96" s="960">
        <v>1</v>
      </c>
      <c r="D96" s="960">
        <v>1</v>
      </c>
      <c r="E96" s="960">
        <v>1</v>
      </c>
      <c r="F96" s="960">
        <v>1</v>
      </c>
      <c r="G96" s="960">
        <v>1</v>
      </c>
      <c r="H96" s="960">
        <v>1</v>
      </c>
      <c r="I96" s="960">
        <v>1</v>
      </c>
    </row>
    <row r="97" spans="1:9">
      <c r="A97" t="s">
        <v>1037</v>
      </c>
      <c r="B97" s="958" t="s">
        <v>463</v>
      </c>
      <c r="C97" s="957">
        <v>0.5</v>
      </c>
      <c r="D97" s="957">
        <v>0.5</v>
      </c>
      <c r="E97" s="957">
        <v>0.5</v>
      </c>
      <c r="F97" s="957">
        <v>0.5</v>
      </c>
      <c r="G97" s="957">
        <v>0.5</v>
      </c>
      <c r="H97" s="957">
        <v>0.5</v>
      </c>
      <c r="I97" s="957">
        <v>0.5</v>
      </c>
    </row>
    <row r="98" spans="1:9">
      <c r="A98" t="s">
        <v>1038</v>
      </c>
      <c r="B98" s="958" t="s">
        <v>476</v>
      </c>
      <c r="C98" s="960">
        <v>0.5</v>
      </c>
      <c r="D98" s="960">
        <v>0.5</v>
      </c>
      <c r="E98" s="960">
        <v>0.5</v>
      </c>
      <c r="F98" s="960">
        <v>0.5</v>
      </c>
      <c r="G98" s="960">
        <v>0.5</v>
      </c>
      <c r="H98" s="960">
        <v>0.5</v>
      </c>
      <c r="I98" s="960">
        <v>0.5</v>
      </c>
    </row>
    <row r="99" spans="1:9">
      <c r="A99" t="s">
        <v>1039</v>
      </c>
      <c r="B99" s="956" t="s">
        <v>409</v>
      </c>
      <c r="C99" s="957">
        <v>1</v>
      </c>
      <c r="D99" s="957">
        <v>1</v>
      </c>
      <c r="E99" s="957">
        <v>1</v>
      </c>
      <c r="F99" s="957">
        <v>1</v>
      </c>
      <c r="G99" s="957">
        <v>1</v>
      </c>
      <c r="H99" s="957">
        <v>1</v>
      </c>
      <c r="I99" s="957">
        <v>1</v>
      </c>
    </row>
  </sheetData>
  <sheetProtection algorithmName="SHA-512" hashValue="r8pbaNFgXuxPsL8N4IDTp3ggT0hdoRIw5ijao2l4HTO51ugGcl1MMYu/HPEGfV7luU4ivSzoEhlrhHYI4U5FiA==" saltValue="AvCb9yLWS/mPJqQgZom0MA==" spinCount="100000" sheet="1" objects="1" scenarios="1" formatColumns="0" formatRows="0"/>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I8"/>
  <sheetViews>
    <sheetView workbookViewId="0"/>
  </sheetViews>
  <sheetFormatPr defaultColWidth="9.140625" defaultRowHeight="15"/>
  <cols>
    <col min="1" max="1" width="21" style="62" bestFit="1" customWidth="1"/>
    <col min="2" max="2" width="11.85546875" style="62" bestFit="1" customWidth="1"/>
    <col min="3" max="3" width="20.42578125" style="62" bestFit="1" customWidth="1"/>
    <col min="4" max="4" width="26.7109375" style="62" customWidth="1"/>
    <col min="5" max="5" width="20.140625" style="62" bestFit="1" customWidth="1"/>
    <col min="6" max="7" width="14.7109375" style="62" bestFit="1" customWidth="1"/>
    <col min="8" max="8" width="14.7109375" style="62" customWidth="1"/>
    <col min="9" max="9" width="14.28515625" bestFit="1" customWidth="1"/>
    <col min="10" max="10" width="9.85546875" bestFit="1" customWidth="1"/>
  </cols>
  <sheetData>
    <row r="1" spans="1:9">
      <c r="A1" s="108"/>
      <c r="B1" s="108"/>
      <c r="C1" s="109" t="s">
        <v>556</v>
      </c>
      <c r="D1" s="109"/>
      <c r="E1" s="108"/>
      <c r="F1" s="108"/>
      <c r="G1"/>
      <c r="H1"/>
    </row>
    <row r="2" spans="1:9" ht="15.75" thickBot="1">
      <c r="A2" s="968" t="s">
        <v>1040</v>
      </c>
      <c r="B2" s="968" t="s">
        <v>356</v>
      </c>
      <c r="C2" s="969" t="s">
        <v>1041</v>
      </c>
      <c r="D2" s="969" t="s">
        <v>1042</v>
      </c>
      <c r="E2" s="969" t="s">
        <v>1043</v>
      </c>
      <c r="F2" s="969" t="s">
        <v>508</v>
      </c>
      <c r="G2"/>
      <c r="H2" s="812" t="s">
        <v>1044</v>
      </c>
    </row>
    <row r="3" spans="1:9" ht="15.75" thickBot="1">
      <c r="A3" s="108" t="s">
        <v>99</v>
      </c>
      <c r="B3" s="107">
        <v>360</v>
      </c>
      <c r="C3" s="813">
        <v>1</v>
      </c>
      <c r="D3" s="970">
        <f ca="1">Staffing_ClassSize_Report!P34</f>
        <v>41</v>
      </c>
      <c r="E3">
        <f>ROUNDUP(B3/C3,0)</f>
        <v>360</v>
      </c>
      <c r="F3" s="971">
        <f ca="1">SUM(D3:E3)</f>
        <v>401</v>
      </c>
      <c r="G3"/>
      <c r="H3" s="972" t="s">
        <v>1045</v>
      </c>
      <c r="I3" s="973">
        <v>400</v>
      </c>
    </row>
    <row r="4" spans="1:9" ht="15.75" thickBot="1">
      <c r="A4" s="108" t="s">
        <v>100</v>
      </c>
      <c r="B4" s="107">
        <v>500</v>
      </c>
      <c r="C4" s="813">
        <v>1</v>
      </c>
      <c r="D4" s="970">
        <f ca="1">Staffing_ClassSize_Report!Q34</f>
        <v>54</v>
      </c>
      <c r="E4">
        <f>ROUNDUP(B4/C4,0)</f>
        <v>500</v>
      </c>
      <c r="F4" s="971">
        <f ca="1">SUM(D4:E4)</f>
        <v>554</v>
      </c>
      <c r="G4"/>
      <c r="H4" s="972" t="s">
        <v>1046</v>
      </c>
      <c r="I4" s="973">
        <v>500</v>
      </c>
    </row>
    <row r="5" spans="1:9">
      <c r="A5" s="108" t="s">
        <v>101</v>
      </c>
      <c r="B5" s="107">
        <v>1000</v>
      </c>
      <c r="C5" s="813">
        <v>1</v>
      </c>
      <c r="D5" s="970">
        <f ca="1">Staffing_ClassSize_Report!R34</f>
        <v>96</v>
      </c>
      <c r="E5">
        <f>ROUNDUP(B5/C5,0)</f>
        <v>1000</v>
      </c>
      <c r="F5" s="971">
        <f ca="1">SUM(D5:E5)</f>
        <v>1096</v>
      </c>
      <c r="G5"/>
      <c r="H5"/>
    </row>
    <row r="6" spans="1:9" ht="15.75" thickBot="1">
      <c r="A6" s="108"/>
      <c r="B6" s="108"/>
      <c r="C6" s="108"/>
      <c r="D6" s="108"/>
      <c r="F6" s="107"/>
      <c r="G6" s="107"/>
      <c r="H6" s="108"/>
      <c r="I6" s="974" t="s">
        <v>1047</v>
      </c>
    </row>
    <row r="7" spans="1:9" ht="15.75" thickBot="1">
      <c r="A7" s="109" t="s">
        <v>511</v>
      </c>
      <c r="B7" s="109"/>
      <c r="E7" s="109" t="s">
        <v>1048</v>
      </c>
      <c r="F7" s="861">
        <f ca="1">('11.Enrollment'!C4*AVERAGE(I3:I4)+SUM(Staffing_ClassSize_Report!P35:R35)*I7)/('11.Enrollment'!C4+SUM(Staffing_ClassSize_Report!P35:R35))</f>
        <v>501.85260551765964</v>
      </c>
      <c r="G7" s="107"/>
      <c r="H7" s="972" t="s">
        <v>1049</v>
      </c>
      <c r="I7" s="973">
        <v>1000</v>
      </c>
    </row>
    <row r="8" spans="1:9">
      <c r="A8" s="109" t="s">
        <v>514</v>
      </c>
      <c r="B8" s="109"/>
      <c r="E8" s="109" t="s">
        <v>1050</v>
      </c>
      <c r="F8" s="861">
        <v>500</v>
      </c>
      <c r="G8" s="107"/>
      <c r="H8" s="107"/>
    </row>
  </sheetData>
  <sheetProtection algorithmName="SHA-512" hashValue="fkZ568H1bVFNSpsZ28llWUwpi/d7GormMT86vLu/s/F87rKSdVe84nlXQXNQJT1Jv6e2LJoXLpEya8+QYGZI+w==" saltValue="2YClZWO9W1XgMjk+BVns9A==" spinCount="100000" sheet="1" objects="1" scenarios="1"/>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J20"/>
  <sheetViews>
    <sheetView topLeftCell="B1" workbookViewId="0"/>
  </sheetViews>
  <sheetFormatPr defaultRowHeight="15" outlineLevelCol="1"/>
  <cols>
    <col min="1" max="1" width="37.5703125" hidden="1" customWidth="1" outlineLevel="1"/>
    <col min="2" max="2" width="37.5703125" bestFit="1" customWidth="1" collapsed="1"/>
    <col min="3" max="3" width="8.5703125" bestFit="1" customWidth="1"/>
    <col min="5" max="6" width="14" bestFit="1" customWidth="1"/>
  </cols>
  <sheetData>
    <row r="1" spans="1:10">
      <c r="A1" s="943" t="s">
        <v>1051</v>
      </c>
      <c r="B1" s="975" t="s">
        <v>1052</v>
      </c>
    </row>
    <row r="2" spans="1:10">
      <c r="A2" s="976" t="s">
        <v>1053</v>
      </c>
      <c r="B2" s="975" t="s">
        <v>1054</v>
      </c>
      <c r="J2" t="s">
        <v>622</v>
      </c>
    </row>
    <row r="3" spans="1:10">
      <c r="J3" t="s">
        <v>629</v>
      </c>
    </row>
    <row r="4" spans="1:10" ht="15.75" thickBot="1">
      <c r="A4" s="110"/>
      <c r="B4" s="976"/>
      <c r="C4" s="977" t="s">
        <v>556</v>
      </c>
      <c r="D4" s="61"/>
      <c r="E4" s="978" t="s">
        <v>1055</v>
      </c>
      <c r="F4" s="978" t="s">
        <v>1056</v>
      </c>
    </row>
    <row r="5" spans="1:10">
      <c r="A5" s="943" t="s">
        <v>564</v>
      </c>
      <c r="B5" s="110" t="s">
        <v>1057</v>
      </c>
      <c r="C5" s="979">
        <f>E5/F5</f>
        <v>0.26100755370709905</v>
      </c>
      <c r="E5" s="4">
        <v>119631615</v>
      </c>
      <c r="F5" s="4">
        <v>458345413</v>
      </c>
    </row>
    <row r="6" spans="1:10">
      <c r="A6" s="943" t="s">
        <v>567</v>
      </c>
      <c r="B6" s="110" t="s">
        <v>848</v>
      </c>
      <c r="C6" s="979">
        <f>E6/F6</f>
        <v>0.32173688539196554</v>
      </c>
      <c r="E6" s="4">
        <v>67809265</v>
      </c>
      <c r="F6" s="4">
        <v>210759997</v>
      </c>
    </row>
    <row r="7" spans="1:10">
      <c r="A7" s="943" t="s">
        <v>570</v>
      </c>
      <c r="B7" s="110" t="s">
        <v>844</v>
      </c>
      <c r="C7" s="979">
        <f t="shared" ref="C7:C19" si="0">E7/F7</f>
        <v>0.30611628145856251</v>
      </c>
      <c r="E7" s="4">
        <v>231516441</v>
      </c>
      <c r="F7" s="4">
        <v>756302278</v>
      </c>
    </row>
    <row r="8" spans="1:10">
      <c r="A8" s="943" t="s">
        <v>573</v>
      </c>
      <c r="B8" s="110" t="s">
        <v>846</v>
      </c>
      <c r="C8" s="979">
        <f t="shared" si="0"/>
        <v>0.47025107893712281</v>
      </c>
      <c r="E8" s="4">
        <v>78930839</v>
      </c>
      <c r="F8" s="4">
        <v>167848289</v>
      </c>
    </row>
    <row r="9" spans="1:10">
      <c r="A9" s="943" t="s">
        <v>575</v>
      </c>
      <c r="B9" s="110" t="s">
        <v>1058</v>
      </c>
      <c r="C9" s="979">
        <f t="shared" si="0"/>
        <v>0.55648051681771649</v>
      </c>
      <c r="E9" s="4">
        <v>609473093</v>
      </c>
      <c r="F9" s="4">
        <v>1095228089</v>
      </c>
    </row>
    <row r="10" spans="1:10">
      <c r="A10" s="943" t="s">
        <v>580</v>
      </c>
      <c r="B10" s="110" t="s">
        <v>1059</v>
      </c>
      <c r="C10" s="979">
        <f t="shared" si="0"/>
        <v>0.50988907892040225</v>
      </c>
      <c r="E10" s="4">
        <v>85020786</v>
      </c>
      <c r="F10" s="4">
        <v>166743689</v>
      </c>
    </row>
    <row r="11" spans="1:10">
      <c r="A11" s="943" t="s">
        <v>584</v>
      </c>
      <c r="B11" s="110" t="s">
        <v>1060</v>
      </c>
      <c r="C11" s="979">
        <f t="shared" si="0"/>
        <v>0.44641177674553434</v>
      </c>
      <c r="E11" s="4">
        <v>52932776</v>
      </c>
      <c r="F11" s="4">
        <v>118573879</v>
      </c>
    </row>
    <row r="12" spans="1:10">
      <c r="A12" s="943" t="s">
        <v>587</v>
      </c>
      <c r="B12" s="110" t="s">
        <v>1061</v>
      </c>
      <c r="C12" s="979">
        <f t="shared" si="0"/>
        <v>0.35842276390039168</v>
      </c>
      <c r="E12" s="4">
        <v>56632682</v>
      </c>
      <c r="F12" s="4">
        <v>158005260</v>
      </c>
    </row>
    <row r="13" spans="1:10">
      <c r="A13" s="943" t="s">
        <v>590</v>
      </c>
      <c r="B13" s="110" t="s">
        <v>1062</v>
      </c>
      <c r="C13" s="979">
        <f t="shared" si="0"/>
        <v>0.56889621416585201</v>
      </c>
      <c r="E13" s="4">
        <v>61868716</v>
      </c>
      <c r="F13" s="4">
        <v>108752202</v>
      </c>
    </row>
    <row r="14" spans="1:10">
      <c r="A14" s="943" t="s">
        <v>591</v>
      </c>
      <c r="B14" s="110" t="s">
        <v>592</v>
      </c>
      <c r="C14" s="979">
        <f t="shared" si="0"/>
        <v>0.54694038119016553</v>
      </c>
      <c r="E14" s="4">
        <v>13835079</v>
      </c>
      <c r="F14" s="4">
        <v>25295406</v>
      </c>
    </row>
    <row r="15" spans="1:10">
      <c r="A15" s="943" t="s">
        <v>346</v>
      </c>
      <c r="B15" s="980" t="s">
        <v>1063</v>
      </c>
      <c r="C15" s="979">
        <f t="shared" si="0"/>
        <v>0.48168145861323125</v>
      </c>
      <c r="E15" s="4">
        <v>149449930</v>
      </c>
      <c r="F15" s="4">
        <v>310267143</v>
      </c>
    </row>
    <row r="16" spans="1:10">
      <c r="A16" s="943" t="s">
        <v>608</v>
      </c>
      <c r="B16" s="980" t="s">
        <v>1064</v>
      </c>
      <c r="C16" s="979">
        <f t="shared" si="0"/>
        <v>0.38816766217148979</v>
      </c>
      <c r="E16" s="4">
        <v>57804598</v>
      </c>
      <c r="F16" s="4">
        <v>148916573</v>
      </c>
    </row>
    <row r="17" spans="1:6">
      <c r="A17" s="943" t="s">
        <v>610</v>
      </c>
      <c r="B17" s="980" t="s">
        <v>1065</v>
      </c>
      <c r="C17" s="979">
        <f t="shared" si="0"/>
        <v>0.32189984698010743</v>
      </c>
      <c r="E17" s="4">
        <v>16414758</v>
      </c>
      <c r="F17" s="4">
        <v>50993370</v>
      </c>
    </row>
    <row r="18" spans="1:6">
      <c r="A18" s="943" t="s">
        <v>612</v>
      </c>
      <c r="B18" s="980" t="s">
        <v>1066</v>
      </c>
      <c r="C18" s="979">
        <f t="shared" si="0"/>
        <v>0.33230012846919521</v>
      </c>
      <c r="E18" s="4">
        <v>13069381</v>
      </c>
      <c r="F18" s="4">
        <v>39330051</v>
      </c>
    </row>
    <row r="19" spans="1:6" ht="15.75" thickBot="1">
      <c r="A19" s="943" t="s">
        <v>354</v>
      </c>
      <c r="B19" s="981" t="s">
        <v>613</v>
      </c>
      <c r="C19" s="982">
        <f t="shared" si="0"/>
        <v>0.4172258505928908</v>
      </c>
      <c r="D19" s="64"/>
      <c r="E19" s="983">
        <v>33202940</v>
      </c>
      <c r="F19" s="983">
        <v>79580256</v>
      </c>
    </row>
    <row r="20" spans="1:6" ht="15.75" thickTop="1">
      <c r="C20" s="979">
        <f>E20/F20</f>
        <v>0.42300833835673946</v>
      </c>
      <c r="E20" s="4">
        <f>SUM(E5:E19)</f>
        <v>1647592899</v>
      </c>
      <c r="F20" s="4">
        <f>SUM(F5:F19)</f>
        <v>3894941895</v>
      </c>
    </row>
  </sheetData>
  <sheetProtection algorithmName="SHA-512" hashValue="rk0ShaYz3MOU0EQ5dUaVhXMoy4kLNzwd/3kbCxIbazbep4YUa/ZingqykomNSpAB2xZKKZCay2mNf12GKC9pnw==" saltValue="hpzXrKNnNUQsMF99cVK5Cg==" spinCount="100000" sheet="1" objects="1" scenarios="1" formatColumns="0" formatRows="0"/>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P286"/>
  <sheetViews>
    <sheetView workbookViewId="0">
      <pane xSplit="1" ySplit="1" topLeftCell="B2" activePane="bottomRight" state="frozen"/>
      <selection pane="topRight"/>
      <selection pane="bottomLeft"/>
      <selection pane="bottomRight"/>
    </sheetView>
  </sheetViews>
  <sheetFormatPr defaultColWidth="8.85546875" defaultRowHeight="15"/>
  <cols>
    <col min="1" max="1" width="60.140625" bestFit="1" customWidth="1"/>
    <col min="2" max="12" width="13.85546875" bestFit="1" customWidth="1"/>
    <col min="13" max="13" width="14.85546875" bestFit="1" customWidth="1"/>
    <col min="14" max="14" width="15.85546875" bestFit="1" customWidth="1"/>
    <col min="15" max="15" width="17.5703125" bestFit="1" customWidth="1"/>
    <col min="16" max="16" width="19.5703125" bestFit="1" customWidth="1"/>
  </cols>
  <sheetData>
    <row r="1" spans="1:16" ht="15" customHeight="1">
      <c r="B1" s="1050" t="s">
        <v>738</v>
      </c>
      <c r="C1" s="1050" t="s">
        <v>740</v>
      </c>
      <c r="D1" s="1050" t="s">
        <v>742</v>
      </c>
      <c r="E1" s="1050" t="s">
        <v>744</v>
      </c>
      <c r="F1" s="1050" t="s">
        <v>746</v>
      </c>
      <c r="G1" s="1050" t="s">
        <v>748</v>
      </c>
      <c r="H1" s="1050" t="s">
        <v>750</v>
      </c>
      <c r="I1" s="1050" t="s">
        <v>704</v>
      </c>
      <c r="J1" s="1050" t="s">
        <v>629</v>
      </c>
      <c r="K1" s="1050" t="s">
        <v>82</v>
      </c>
      <c r="L1" s="1050" t="s">
        <v>83</v>
      </c>
      <c r="M1" s="1050" t="s">
        <v>705</v>
      </c>
      <c r="N1" s="1050" t="s">
        <v>707</v>
      </c>
      <c r="O1" s="1050" t="s">
        <v>1067</v>
      </c>
      <c r="P1" s="1050" t="s">
        <v>1068</v>
      </c>
    </row>
    <row r="2" spans="1:16" ht="15" customHeight="1">
      <c r="A2" s="951" t="s">
        <v>678</v>
      </c>
      <c r="B2" s="1050"/>
      <c r="C2" s="1050"/>
      <c r="D2" s="1050"/>
      <c r="E2" s="1050"/>
      <c r="F2" s="1050"/>
      <c r="G2" s="1050"/>
      <c r="H2" s="1050"/>
      <c r="I2" s="1050"/>
      <c r="J2" s="1050"/>
      <c r="K2" s="1050"/>
      <c r="L2" s="1050"/>
      <c r="M2" s="1050"/>
      <c r="N2" s="1050"/>
    </row>
    <row r="3" spans="1:16" ht="15" customHeight="1">
      <c r="A3" t="s">
        <v>1069</v>
      </c>
      <c r="B3" s="782">
        <v>570857</v>
      </c>
      <c r="C3" s="782">
        <v>542780</v>
      </c>
      <c r="D3" s="782">
        <v>568564</v>
      </c>
      <c r="E3" s="782">
        <v>571523</v>
      </c>
      <c r="F3" s="782">
        <v>572738</v>
      </c>
      <c r="G3" s="782">
        <v>573805</v>
      </c>
      <c r="H3" s="782">
        <v>574147</v>
      </c>
      <c r="I3" s="782">
        <v>554155</v>
      </c>
      <c r="J3" s="782">
        <f>'11.Enrollment'!C4</f>
        <v>552380</v>
      </c>
      <c r="K3" s="782">
        <f>'11.Enrollment'!D4</f>
        <v>540594.26</v>
      </c>
      <c r="L3" s="782">
        <f>'11.Enrollment'!E4</f>
        <v>539896</v>
      </c>
      <c r="M3" s="782">
        <f>'11.Enrollment'!F4</f>
        <v>539500</v>
      </c>
      <c r="N3" s="782">
        <f>'11.Enrollment'!G4</f>
        <v>539000</v>
      </c>
      <c r="O3" s="782">
        <f>'11.Enrollment'!H4</f>
        <v>538469.6399384652</v>
      </c>
      <c r="P3" s="782">
        <f>'11.Enrollment'!I4</f>
        <v>537995.02757754247</v>
      </c>
    </row>
    <row r="4" spans="1:16" ht="15" customHeight="1">
      <c r="A4" t="s">
        <v>1070</v>
      </c>
      <c r="B4" s="3"/>
      <c r="C4" s="3">
        <f t="shared" ref="C4:I4" si="0">C3/B3-1</f>
        <v>-4.9183946242228771E-2</v>
      </c>
      <c r="D4" s="3">
        <f t="shared" si="0"/>
        <v>4.7503592615792734E-2</v>
      </c>
      <c r="E4" s="3">
        <f t="shared" si="0"/>
        <v>5.204339353177545E-3</v>
      </c>
      <c r="F4" s="3">
        <f t="shared" si="0"/>
        <v>2.1258986952406023E-3</v>
      </c>
      <c r="G4" s="3">
        <f t="shared" si="0"/>
        <v>1.8629809790864371E-3</v>
      </c>
      <c r="H4" s="3">
        <f t="shared" si="0"/>
        <v>5.9602129643354651E-4</v>
      </c>
      <c r="I4" s="3">
        <f t="shared" si="0"/>
        <v>-3.4820350885748752E-2</v>
      </c>
      <c r="J4" s="3">
        <f t="shared" ref="J4:P4" si="1">J3/I3-1</f>
        <v>-3.2030749519538215E-3</v>
      </c>
      <c r="K4" s="3">
        <f t="shared" si="1"/>
        <v>-2.133629023498318E-2</v>
      </c>
      <c r="L4" s="3">
        <f t="shared" si="1"/>
        <v>-1.2916526342695578E-3</v>
      </c>
      <c r="M4" s="3">
        <f t="shared" si="1"/>
        <v>-7.3347459510719748E-4</v>
      </c>
      <c r="N4" s="3">
        <f t="shared" si="1"/>
        <v>-9.2678405931423402E-4</v>
      </c>
      <c r="O4" s="3">
        <f t="shared" si="1"/>
        <v>-9.839704295636631E-4</v>
      </c>
      <c r="P4" s="3">
        <f t="shared" si="1"/>
        <v>-8.8140969466166119E-4</v>
      </c>
    </row>
    <row r="5" spans="1:16" ht="15" customHeight="1">
      <c r="A5" t="s">
        <v>1071</v>
      </c>
      <c r="B5" s="782">
        <v>671940</v>
      </c>
      <c r="C5" s="782">
        <v>701304</v>
      </c>
      <c r="D5" s="782">
        <v>707042</v>
      </c>
      <c r="E5" s="782">
        <v>706296</v>
      </c>
      <c r="F5" s="1051">
        <v>704379</v>
      </c>
      <c r="G5" s="1051">
        <v>704654</v>
      </c>
      <c r="H5" s="1051">
        <v>708785</v>
      </c>
      <c r="I5" s="1051">
        <v>676899</v>
      </c>
      <c r="J5" s="782">
        <f ca="1">'11.Enrollment'!C9</f>
        <v>647553.27</v>
      </c>
      <c r="K5" s="782">
        <f ca="1">'11.Enrollment'!D9</f>
        <v>647497.38</v>
      </c>
      <c r="L5" s="782">
        <f ca="1">'11.Enrollment'!E9</f>
        <v>645423.23399823008</v>
      </c>
      <c r="M5" s="782">
        <f ca="1">'11.Enrollment'!F9</f>
        <v>644979.03066895308</v>
      </c>
      <c r="N5" s="782">
        <f ca="1">'11.Enrollment'!G9</f>
        <v>643498.97596027004</v>
      </c>
      <c r="O5" s="782">
        <f ca="1">'11.Enrollment'!H9</f>
        <v>642171.96209300321</v>
      </c>
      <c r="P5" s="782">
        <f ca="1">'11.Enrollment'!I9</f>
        <v>641091.97950906807</v>
      </c>
    </row>
    <row r="6" spans="1:16" ht="15" customHeight="1">
      <c r="A6" t="s">
        <v>1072</v>
      </c>
      <c r="B6" s="3"/>
      <c r="C6" s="3">
        <f t="shared" ref="C6:I6" si="2">C5/B5-1</f>
        <v>4.3700330386641673E-2</v>
      </c>
      <c r="D6" s="3">
        <f t="shared" si="2"/>
        <v>8.1819011441544021E-3</v>
      </c>
      <c r="E6" s="3">
        <f t="shared" si="2"/>
        <v>-1.0550999799163741E-3</v>
      </c>
      <c r="F6" s="3">
        <f t="shared" si="2"/>
        <v>-2.7141595025315102E-3</v>
      </c>
      <c r="G6" s="3">
        <f t="shared" si="2"/>
        <v>3.9041481929480426E-4</v>
      </c>
      <c r="H6" s="3">
        <f t="shared" si="2"/>
        <v>5.8624516429339746E-3</v>
      </c>
      <c r="I6" s="3">
        <f t="shared" si="2"/>
        <v>-4.4986843683204381E-2</v>
      </c>
      <c r="J6" s="3">
        <f t="shared" ref="J6:P6" ca="1" si="3">J5/I5-1</f>
        <v>-4.3353188585003033E-2</v>
      </c>
      <c r="K6" s="3">
        <f t="shared" ca="1" si="3"/>
        <v>-8.6309501610593031E-5</v>
      </c>
      <c r="L6" s="3">
        <f t="shared" ca="1" si="3"/>
        <v>-3.2033272501734711E-3</v>
      </c>
      <c r="M6" s="3">
        <f t="shared" ca="1" si="3"/>
        <v>-6.8823572793508259E-4</v>
      </c>
      <c r="N6" s="3">
        <f t="shared" ca="1" si="3"/>
        <v>-2.2947330662020926E-3</v>
      </c>
      <c r="O6" s="3">
        <f t="shared" ca="1" si="3"/>
        <v>-2.0621848935914455E-3</v>
      </c>
      <c r="P6" s="3">
        <f t="shared" ca="1" si="3"/>
        <v>-1.681765395697421E-3</v>
      </c>
    </row>
    <row r="7" spans="1:16" ht="15" customHeight="1">
      <c r="A7" s="1052" t="s">
        <v>1073</v>
      </c>
      <c r="B7" s="782">
        <v>671940</v>
      </c>
      <c r="C7" s="782">
        <v>701304</v>
      </c>
      <c r="D7" s="782">
        <v>707042</v>
      </c>
      <c r="E7" s="782">
        <v>706296</v>
      </c>
      <c r="F7" s="1051">
        <v>704379</v>
      </c>
      <c r="G7" s="1051">
        <v>704654</v>
      </c>
      <c r="H7" s="1051">
        <v>708785</v>
      </c>
      <c r="I7" s="1051">
        <v>676899</v>
      </c>
      <c r="J7" s="1053">
        <f>'11.Enrollment'!C13</f>
        <v>669954</v>
      </c>
      <c r="K7" s="1053">
        <f>'11.Enrollment'!D13</f>
        <v>669062</v>
      </c>
      <c r="L7" s="1053">
        <f>'11.Enrollment'!E13</f>
        <v>666960</v>
      </c>
      <c r="M7" s="1053">
        <f>'11.Enrollment'!F13</f>
        <v>666500</v>
      </c>
      <c r="N7" s="1053">
        <f>'11.Enrollment'!G13</f>
        <v>665000</v>
      </c>
      <c r="O7" s="1053">
        <f>'11.Enrollment'!H13</f>
        <v>663651.82976087264</v>
      </c>
      <c r="P7" s="1053">
        <f>'11.Enrollment'!I13</f>
        <v>662552.91461333504</v>
      </c>
    </row>
    <row r="8" spans="1:16" ht="15" customHeight="1">
      <c r="A8" t="s">
        <v>1074</v>
      </c>
      <c r="C8" s="3">
        <f t="shared" ref="C8:I8" si="4">C7/B7-1</f>
        <v>4.3700330386641673E-2</v>
      </c>
      <c r="D8" s="3">
        <f t="shared" si="4"/>
        <v>8.1819011441544021E-3</v>
      </c>
      <c r="E8" s="3">
        <f t="shared" si="4"/>
        <v>-1.0550999799163741E-3</v>
      </c>
      <c r="F8" s="3">
        <f t="shared" si="4"/>
        <v>-2.7141595025315102E-3</v>
      </c>
      <c r="G8" s="3">
        <f t="shared" si="4"/>
        <v>3.9041481929480426E-4</v>
      </c>
      <c r="H8" s="3">
        <f t="shared" si="4"/>
        <v>5.8624516429339746E-3</v>
      </c>
      <c r="I8" s="3">
        <f t="shared" si="4"/>
        <v>-4.4986843683204381E-2</v>
      </c>
      <c r="J8" s="3">
        <f t="shared" ref="J8:P8" si="5">J7/I7-1</f>
        <v>-1.0260024021308989E-2</v>
      </c>
      <c r="K8" s="3">
        <f t="shared" si="5"/>
        <v>-1.3314346955164424E-3</v>
      </c>
      <c r="L8" s="3">
        <f t="shared" si="5"/>
        <v>-3.1417118293969315E-3</v>
      </c>
      <c r="M8" s="3">
        <f t="shared" si="5"/>
        <v>-6.8969653352524141E-4</v>
      </c>
      <c r="N8" s="3">
        <f t="shared" si="5"/>
        <v>-2.2505626406601476E-3</v>
      </c>
      <c r="O8" s="3">
        <f t="shared" si="5"/>
        <v>-2.0273236678607365E-3</v>
      </c>
      <c r="P8" s="3">
        <f t="shared" si="5"/>
        <v>-1.6558609473488195E-3</v>
      </c>
    </row>
    <row r="9" spans="1:16" ht="15" customHeight="1"/>
    <row r="10" spans="1:16" ht="15" customHeight="1">
      <c r="A10" s="1054" t="s">
        <v>870</v>
      </c>
      <c r="D10" s="924"/>
    </row>
    <row r="11" spans="1:16" ht="15" customHeight="1">
      <c r="A11" s="920" t="s">
        <v>871</v>
      </c>
      <c r="B11" s="4">
        <v>1630792690.3800001</v>
      </c>
      <c r="C11" s="4">
        <v>1711061180.75</v>
      </c>
      <c r="D11" s="922">
        <v>1774285163</v>
      </c>
      <c r="E11" s="4">
        <v>1860196580</v>
      </c>
      <c r="F11" s="4">
        <v>1971640129</v>
      </c>
      <c r="G11" s="4">
        <v>2014059444</v>
      </c>
      <c r="H11" s="4">
        <v>2109683107</v>
      </c>
      <c r="I11" s="4">
        <v>2192679945</v>
      </c>
      <c r="J11" s="4">
        <v>2306528383</v>
      </c>
      <c r="K11" s="4">
        <f t="shared" ref="K11:P11" si="6">+J11*(1+K12)</f>
        <v>2406313499.4605212</v>
      </c>
      <c r="L11" s="4">
        <f t="shared" si="6"/>
        <v>2511344193.3061576</v>
      </c>
      <c r="M11" s="4">
        <f t="shared" si="6"/>
        <v>2623223734.7731366</v>
      </c>
      <c r="N11" s="4">
        <f t="shared" si="6"/>
        <v>2738299059.2628078</v>
      </c>
      <c r="O11" s="4">
        <f t="shared" si="6"/>
        <v>2852413929.3591542</v>
      </c>
      <c r="P11" s="4">
        <f t="shared" si="6"/>
        <v>2980393021.7838836</v>
      </c>
    </row>
    <row r="12" spans="1:16" ht="15" customHeight="1">
      <c r="A12" s="920" t="s">
        <v>1075</v>
      </c>
      <c r="C12" s="3">
        <f t="shared" ref="C12:I12" si="7">+C11/B11-1</f>
        <v>4.9220536027357431E-2</v>
      </c>
      <c r="D12" s="3">
        <f t="shared" si="7"/>
        <v>3.6950158744345707E-2</v>
      </c>
      <c r="E12" s="3">
        <f t="shared" si="7"/>
        <v>4.842029837793338E-2</v>
      </c>
      <c r="F12" s="3">
        <f t="shared" si="7"/>
        <v>5.9909554827802136E-2</v>
      </c>
      <c r="G12" s="3">
        <f t="shared" si="7"/>
        <v>2.1514735055385037E-2</v>
      </c>
      <c r="H12" s="3">
        <f t="shared" si="7"/>
        <v>4.7478073839810619E-2</v>
      </c>
      <c r="I12" s="3">
        <f t="shared" si="7"/>
        <v>3.9340902775688802E-2</v>
      </c>
      <c r="J12" s="3">
        <f>+J11/I11-1</f>
        <v>5.1922050119357577E-2</v>
      </c>
      <c r="K12" s="1055">
        <f t="shared" ref="K12:P12" si="8">AVERAGE(C12:I12)</f>
        <v>4.326203709261759E-2</v>
      </c>
      <c r="L12" s="1055">
        <f t="shared" si="8"/>
        <v>4.3647967677189037E-2</v>
      </c>
      <c r="M12" s="1055">
        <f t="shared" si="8"/>
        <v>4.4549664584085026E-2</v>
      </c>
      <c r="N12" s="1055">
        <f t="shared" si="8"/>
        <v>4.3867903055407262E-2</v>
      </c>
      <c r="O12" s="1055">
        <f t="shared" si="8"/>
        <v>4.1673633020590524E-2</v>
      </c>
      <c r="P12" s="1055">
        <f t="shared" si="8"/>
        <v>4.4866942734879414E-2</v>
      </c>
    </row>
    <row r="13" spans="1:16" ht="15" customHeight="1">
      <c r="A13" s="920" t="s">
        <v>874</v>
      </c>
      <c r="B13" s="4">
        <v>110777315.62</v>
      </c>
      <c r="C13" s="4">
        <v>115316051.37</v>
      </c>
      <c r="D13" s="922">
        <v>120123631</v>
      </c>
      <c r="E13" s="4">
        <v>125537222</v>
      </c>
      <c r="F13" s="4">
        <v>132498443</v>
      </c>
      <c r="G13" s="4">
        <v>136002249</v>
      </c>
      <c r="H13" s="4">
        <v>143516262</v>
      </c>
      <c r="I13" s="4">
        <v>148860011</v>
      </c>
      <c r="J13" s="4">
        <v>156173586</v>
      </c>
      <c r="K13" s="4">
        <f t="shared" ref="K13:P13" si="9">+J13*(1+K14)</f>
        <v>163030363.18411562</v>
      </c>
      <c r="L13" s="4">
        <f t="shared" si="9"/>
        <v>170247959.937994</v>
      </c>
      <c r="M13" s="4">
        <f t="shared" si="9"/>
        <v>177840017.20716822</v>
      </c>
      <c r="N13" s="4">
        <f t="shared" si="9"/>
        <v>185760127.17236716</v>
      </c>
      <c r="O13" s="4">
        <f t="shared" si="9"/>
        <v>193779479.93056667</v>
      </c>
      <c r="P13" s="4">
        <f t="shared" si="9"/>
        <v>202550184.74120763</v>
      </c>
    </row>
    <row r="14" spans="1:16" ht="15" customHeight="1">
      <c r="A14" s="920" t="s">
        <v>1075</v>
      </c>
      <c r="C14" s="3">
        <f t="shared" ref="C14:I14" si="10">+C13/B13-1</f>
        <v>4.0971707290409887E-2</v>
      </c>
      <c r="D14" s="3">
        <f t="shared" si="10"/>
        <v>4.1690463494752583E-2</v>
      </c>
      <c r="E14" s="3">
        <f t="shared" si="10"/>
        <v>4.5066827858375236E-2</v>
      </c>
      <c r="F14" s="3">
        <f t="shared" si="10"/>
        <v>5.5451450088643828E-2</v>
      </c>
      <c r="G14" s="3">
        <f t="shared" si="10"/>
        <v>2.6444129611394862E-2</v>
      </c>
      <c r="H14" s="3">
        <f t="shared" si="10"/>
        <v>5.5249181945513204E-2</v>
      </c>
      <c r="I14" s="3">
        <f t="shared" si="10"/>
        <v>3.7234449431242878E-2</v>
      </c>
      <c r="J14" s="3">
        <f>+J13/I13-1</f>
        <v>4.9130555283916966E-2</v>
      </c>
      <c r="K14" s="1055">
        <f t="shared" ref="K14:P14" si="11">AVERAGE(C14:J14)</f>
        <v>4.390484562553118E-2</v>
      </c>
      <c r="L14" s="1055">
        <f t="shared" si="11"/>
        <v>4.4271487917421345E-2</v>
      </c>
      <c r="M14" s="1055">
        <f t="shared" si="11"/>
        <v>4.4594115970254943E-2</v>
      </c>
      <c r="N14" s="1055">
        <f t="shared" si="11"/>
        <v>4.4535026984239903E-2</v>
      </c>
      <c r="O14" s="1055">
        <f t="shared" si="11"/>
        <v>4.3170474096189404E-2</v>
      </c>
      <c r="P14" s="1055">
        <f t="shared" si="11"/>
        <v>4.5261267156788722E-2</v>
      </c>
    </row>
    <row r="15" spans="1:16" ht="15" customHeight="1">
      <c r="A15" s="920"/>
      <c r="D15" s="922"/>
    </row>
    <row r="16" spans="1:16" ht="15" customHeight="1">
      <c r="A16" s="1054" t="s">
        <v>157</v>
      </c>
      <c r="D16" s="924"/>
      <c r="L16" t="s">
        <v>285</v>
      </c>
    </row>
    <row r="17" spans="1:16" ht="15" customHeight="1">
      <c r="A17" s="953" t="s">
        <v>1076</v>
      </c>
      <c r="B17" s="1056">
        <v>151406301.46000001</v>
      </c>
      <c r="C17" s="1056">
        <v>172474153.13</v>
      </c>
      <c r="D17" s="1056">
        <v>188088251.09999999</v>
      </c>
      <c r="E17" s="1056">
        <v>203716541.94999999</v>
      </c>
      <c r="F17" s="1056">
        <v>222694690.78</v>
      </c>
      <c r="G17" s="1056">
        <v>248476718.46000001</v>
      </c>
      <c r="H17" s="1056">
        <v>260171542</v>
      </c>
      <c r="I17" s="1056">
        <v>274006047</v>
      </c>
      <c r="J17" s="1056">
        <v>292842700</v>
      </c>
    </row>
    <row r="18" spans="1:16" ht="15" customHeight="1">
      <c r="A18" s="953" t="s">
        <v>1077</v>
      </c>
      <c r="B18" s="1056">
        <v>390936723.67000002</v>
      </c>
      <c r="C18" s="1056">
        <v>382228465.93000001</v>
      </c>
      <c r="D18" s="1056">
        <v>406902548.04000002</v>
      </c>
      <c r="E18" s="1056">
        <v>448122700.38999999</v>
      </c>
      <c r="F18" s="1056">
        <v>459934757.80000001</v>
      </c>
      <c r="G18" s="1056">
        <v>434740815.87</v>
      </c>
      <c r="H18" s="1056">
        <v>334232384.50999999</v>
      </c>
      <c r="I18" s="1056">
        <v>438606882.20999998</v>
      </c>
      <c r="J18" s="1056">
        <v>555288396</v>
      </c>
    </row>
    <row r="19" spans="1:16" ht="15" customHeight="1">
      <c r="A19" s="953" t="s">
        <v>866</v>
      </c>
      <c r="B19" s="922">
        <f t="shared" ref="B19:J19" si="12">+B17+B18</f>
        <v>542343025.13</v>
      </c>
      <c r="C19" s="922">
        <f t="shared" si="12"/>
        <v>554702619.05999994</v>
      </c>
      <c r="D19" s="922">
        <f t="shared" si="12"/>
        <v>594990799.13999999</v>
      </c>
      <c r="E19" s="922">
        <f t="shared" si="12"/>
        <v>651839242.33999991</v>
      </c>
      <c r="F19" s="922">
        <f t="shared" si="12"/>
        <v>682629448.58000004</v>
      </c>
      <c r="G19" s="922">
        <f t="shared" si="12"/>
        <v>683217534.33000004</v>
      </c>
      <c r="H19" s="922">
        <f t="shared" si="12"/>
        <v>594403926.50999999</v>
      </c>
      <c r="I19" s="922">
        <f t="shared" si="12"/>
        <v>712612929.21000004</v>
      </c>
      <c r="J19" s="922">
        <f t="shared" si="12"/>
        <v>848131096</v>
      </c>
      <c r="K19" s="1057">
        <f t="shared" ref="K19:P19" si="13">J19*(1+K20)</f>
        <v>900938856.07778037</v>
      </c>
      <c r="L19" s="1057">
        <f t="shared" si="13"/>
        <v>961480126.35260153</v>
      </c>
      <c r="M19" s="1057">
        <f t="shared" si="13"/>
        <v>1025436772.1760014</v>
      </c>
      <c r="N19" s="1057">
        <f t="shared" si="13"/>
        <v>1089927188.8333449</v>
      </c>
      <c r="O19" s="1057">
        <f t="shared" si="13"/>
        <v>1160606274.5595849</v>
      </c>
      <c r="P19" s="1057">
        <f t="shared" si="13"/>
        <v>1245151547.7344029</v>
      </c>
    </row>
    <row r="20" spans="1:16" ht="15" customHeight="1">
      <c r="A20" s="920" t="s">
        <v>1075</v>
      </c>
      <c r="B20" s="4"/>
      <c r="C20" s="3">
        <f t="shared" ref="C20:I20" si="14">+C19/B19-1</f>
        <v>2.2789255798094432E-2</v>
      </c>
      <c r="D20" s="3">
        <f t="shared" si="14"/>
        <v>7.2630232300457509E-2</v>
      </c>
      <c r="E20" s="3">
        <f t="shared" si="14"/>
        <v>9.5545079490588325E-2</v>
      </c>
      <c r="F20" s="3">
        <f t="shared" si="14"/>
        <v>4.7235889219354288E-2</v>
      </c>
      <c r="G20" s="3">
        <f t="shared" si="14"/>
        <v>8.6150070323420813E-4</v>
      </c>
      <c r="H20" s="3">
        <f t="shared" si="14"/>
        <v>-0.12999316229068314</v>
      </c>
      <c r="I20" s="3">
        <f t="shared" si="14"/>
        <v>0.19886982139242537</v>
      </c>
      <c r="J20" s="3">
        <f>+J19/I19-1</f>
        <v>0.19017079431920347</v>
      </c>
      <c r="K20" s="1055">
        <f t="shared" ref="K20:P20" si="15">AVERAGE(C20:J20)</f>
        <v>6.2263676366584308E-2</v>
      </c>
      <c r="L20" s="1055">
        <f t="shared" si="15"/>
        <v>6.7197978937645536E-2</v>
      </c>
      <c r="M20" s="1055">
        <f t="shared" si="15"/>
        <v>6.6518947267294043E-2</v>
      </c>
      <c r="N20" s="1055">
        <f t="shared" si="15"/>
        <v>6.2890680739382254E-2</v>
      </c>
      <c r="O20" s="1055">
        <f t="shared" si="15"/>
        <v>6.4847529679385757E-2</v>
      </c>
      <c r="P20" s="1055">
        <f t="shared" si="15"/>
        <v>7.2845783301404704E-2</v>
      </c>
    </row>
    <row r="21" spans="1:16" ht="15" customHeight="1">
      <c r="A21" s="953" t="s">
        <v>868</v>
      </c>
      <c r="B21" s="922">
        <v>85321563.359999999</v>
      </c>
      <c r="C21" s="922">
        <v>96766449.030000001</v>
      </c>
      <c r="D21" s="922">
        <v>121015843.78</v>
      </c>
      <c r="E21" s="922">
        <v>127976746.29000001</v>
      </c>
      <c r="F21" s="922">
        <v>146729321.52000001</v>
      </c>
      <c r="G21" s="922">
        <v>151939122.03999999</v>
      </c>
      <c r="H21" s="922">
        <v>158952123.21000001</v>
      </c>
      <c r="I21" s="922">
        <v>174251366.84</v>
      </c>
      <c r="J21" s="922">
        <v>190061721.91999999</v>
      </c>
      <c r="K21" s="1057">
        <f t="shared" ref="K21:P21" si="16">J21*(1+K22)</f>
        <v>210432385.61177209</v>
      </c>
      <c r="L21" s="1057">
        <f t="shared" si="16"/>
        <v>232277228.53955069</v>
      </c>
      <c r="M21" s="1057">
        <f t="shared" si="16"/>
        <v>252127836.4603149</v>
      </c>
      <c r="N21" s="1057">
        <f t="shared" si="16"/>
        <v>274555458.60405403</v>
      </c>
      <c r="O21" s="1057">
        <f t="shared" si="16"/>
        <v>297002058.14140332</v>
      </c>
      <c r="P21" s="1057">
        <f t="shared" si="16"/>
        <v>323000847.05396378</v>
      </c>
    </row>
    <row r="22" spans="1:16" ht="15" customHeight="1">
      <c r="A22" s="920" t="s">
        <v>1075</v>
      </c>
      <c r="C22" s="3">
        <f t="shared" ref="C22:I22" si="17">+C21/B21-1</f>
        <v>0.13413825555106418</v>
      </c>
      <c r="D22" s="3">
        <f t="shared" si="17"/>
        <v>0.25059713354245416</v>
      </c>
      <c r="E22" s="3">
        <f t="shared" si="17"/>
        <v>5.7520588152527585E-2</v>
      </c>
      <c r="F22" s="3">
        <f t="shared" si="17"/>
        <v>0.14653111423465925</v>
      </c>
      <c r="G22" s="3">
        <f t="shared" si="17"/>
        <v>3.550619921110898E-2</v>
      </c>
      <c r="H22" s="3">
        <f t="shared" si="17"/>
        <v>4.6156651926379855E-2</v>
      </c>
      <c r="I22" s="3">
        <f t="shared" si="17"/>
        <v>9.6250640262208753E-2</v>
      </c>
      <c r="J22" s="3">
        <f>+J21/I21-1</f>
        <v>9.0733033357019544E-2</v>
      </c>
      <c r="K22" s="1055">
        <f t="shared" ref="K22:P22" si="18">AVERAGE(C22:J22)</f>
        <v>0.10717920202967779</v>
      </c>
      <c r="L22" s="1055">
        <f t="shared" si="18"/>
        <v>0.10380932033950449</v>
      </c>
      <c r="M22" s="1055">
        <f t="shared" si="18"/>
        <v>8.5460843689135785E-2</v>
      </c>
      <c r="N22" s="1055">
        <f t="shared" si="18"/>
        <v>8.8953375631211806E-2</v>
      </c>
      <c r="O22" s="1055">
        <f t="shared" si="18"/>
        <v>8.1756158305780868E-2</v>
      </c>
      <c r="P22" s="1055">
        <f t="shared" si="18"/>
        <v>8.7537403192614854E-2</v>
      </c>
    </row>
    <row r="23" spans="1:16">
      <c r="C23" s="863">
        <f>(C19+C21)/(B19+B21)-1</f>
        <v>3.7925478092156517E-2</v>
      </c>
      <c r="D23" s="863">
        <f t="shared" ref="D23:P23" si="19">(D19+D21)/(C19+C21)-1</f>
        <v>9.9064680107090242E-2</v>
      </c>
      <c r="E23" s="863">
        <f t="shared" si="19"/>
        <v>8.9118371094679016E-2</v>
      </c>
      <c r="F23" s="863">
        <f t="shared" si="19"/>
        <v>6.3531374314391931E-2</v>
      </c>
      <c r="G23" s="863">
        <f t="shared" si="19"/>
        <v>6.9908060046208753E-3</v>
      </c>
      <c r="H23" s="863">
        <f t="shared" si="19"/>
        <v>-9.7946422417975465E-2</v>
      </c>
      <c r="I23" s="863">
        <f t="shared" si="19"/>
        <v>0.17721799191713017</v>
      </c>
      <c r="J23" s="863">
        <f t="shared" si="19"/>
        <v>0.17063323277755238</v>
      </c>
      <c r="K23" s="863">
        <f t="shared" si="19"/>
        <v>7.0486351385250501E-2</v>
      </c>
      <c r="L23" s="863">
        <f t="shared" si="19"/>
        <v>7.4130146716189005E-2</v>
      </c>
      <c r="M23" s="863">
        <f t="shared" si="19"/>
        <v>7.0204596772294181E-2</v>
      </c>
      <c r="N23" s="863">
        <f t="shared" si="19"/>
        <v>6.8034162979717872E-2</v>
      </c>
      <c r="O23" s="863">
        <f t="shared" si="19"/>
        <v>6.8249812805231569E-2</v>
      </c>
      <c r="P23" s="863">
        <f t="shared" si="19"/>
        <v>7.5839345596040442E-2</v>
      </c>
    </row>
    <row r="24" spans="1:16" ht="15" customHeight="1">
      <c r="A24" s="1054" t="s">
        <v>876</v>
      </c>
      <c r="D24" s="922"/>
    </row>
    <row r="25" spans="1:16" ht="15" customHeight="1">
      <c r="A25" s="920" t="s">
        <v>867</v>
      </c>
      <c r="B25" s="922">
        <f t="shared" ref="B25:I25" si="20">+B19+B11</f>
        <v>2173135715.5100002</v>
      </c>
      <c r="C25" s="922">
        <f t="shared" si="20"/>
        <v>2265763799.8099999</v>
      </c>
      <c r="D25" s="922">
        <f t="shared" si="20"/>
        <v>2369275962.1399999</v>
      </c>
      <c r="E25" s="922">
        <f t="shared" si="20"/>
        <v>2512035822.3400002</v>
      </c>
      <c r="F25" s="922">
        <f t="shared" si="20"/>
        <v>2654269577.5799999</v>
      </c>
      <c r="G25" s="922">
        <f t="shared" si="20"/>
        <v>2697276978.3299999</v>
      </c>
      <c r="H25" s="922">
        <f t="shared" si="20"/>
        <v>2704087033.5100002</v>
      </c>
      <c r="I25" s="922">
        <f t="shared" si="20"/>
        <v>2905292874.21</v>
      </c>
      <c r="J25" s="922">
        <v>3154651674</v>
      </c>
      <c r="K25" s="922">
        <f t="shared" ref="K25:P25" si="21">+K19+K11</f>
        <v>3307252355.5383015</v>
      </c>
      <c r="L25" s="922">
        <f t="shared" si="21"/>
        <v>3472824319.6587591</v>
      </c>
      <c r="M25" s="922">
        <f t="shared" si="21"/>
        <v>3648660506.9491382</v>
      </c>
      <c r="N25" s="922">
        <f t="shared" si="21"/>
        <v>3828226248.0961528</v>
      </c>
      <c r="O25" s="922">
        <f t="shared" si="21"/>
        <v>4013020203.9187393</v>
      </c>
      <c r="P25" s="922">
        <f t="shared" si="21"/>
        <v>4225544569.5182867</v>
      </c>
    </row>
    <row r="26" spans="1:16" ht="15" customHeight="1">
      <c r="A26" s="953" t="s">
        <v>869</v>
      </c>
      <c r="B26" s="922">
        <f>+B21+B13</f>
        <v>196098878.98000002</v>
      </c>
      <c r="C26" s="922">
        <f t="shared" ref="C26:J26" si="22">+C21+C13</f>
        <v>212082500.40000001</v>
      </c>
      <c r="D26" s="922">
        <f t="shared" si="22"/>
        <v>241139474.78</v>
      </c>
      <c r="E26" s="922">
        <f t="shared" si="22"/>
        <v>253513968.29000002</v>
      </c>
      <c r="F26" s="922">
        <f t="shared" si="22"/>
        <v>279227764.51999998</v>
      </c>
      <c r="G26" s="922">
        <f t="shared" si="22"/>
        <v>287941371.03999996</v>
      </c>
      <c r="H26" s="922">
        <f t="shared" si="22"/>
        <v>302468385.21000004</v>
      </c>
      <c r="I26" s="922">
        <f t="shared" si="22"/>
        <v>323111377.84000003</v>
      </c>
      <c r="J26" s="922">
        <f t="shared" si="22"/>
        <v>346235307.91999996</v>
      </c>
      <c r="K26" s="922">
        <f t="shared" ref="K26:P26" si="23">+K21+K13</f>
        <v>373462748.79588771</v>
      </c>
      <c r="L26" s="922">
        <f t="shared" si="23"/>
        <v>402525188.47754467</v>
      </c>
      <c r="M26" s="922">
        <f t="shared" si="23"/>
        <v>429967853.66748309</v>
      </c>
      <c r="N26" s="922">
        <f t="shared" si="23"/>
        <v>460315585.77642119</v>
      </c>
      <c r="O26" s="922">
        <f t="shared" si="23"/>
        <v>490781538.07196999</v>
      </c>
      <c r="P26" s="922">
        <f t="shared" si="23"/>
        <v>525551031.79517138</v>
      </c>
    </row>
    <row r="27" spans="1:16" ht="15" customHeight="1">
      <c r="A27" s="953"/>
      <c r="D27" s="922"/>
      <c r="E27" s="922"/>
      <c r="F27" s="922"/>
      <c r="G27" s="922"/>
      <c r="H27" s="922"/>
      <c r="I27" s="922"/>
      <c r="J27" s="922"/>
    </row>
    <row r="28" spans="1:16" ht="15" customHeight="1">
      <c r="A28" s="1241" t="s">
        <v>159</v>
      </c>
      <c r="B28" s="1242">
        <v>38493981.380000003</v>
      </c>
      <c r="C28" s="1242">
        <v>38804845.509999998</v>
      </c>
      <c r="D28" s="1242">
        <v>38968851.460000001</v>
      </c>
      <c r="E28" s="1242">
        <v>42141315.979999997</v>
      </c>
      <c r="F28" s="1242">
        <v>44437742.909999996</v>
      </c>
      <c r="G28" s="1242">
        <v>33150768.280000001</v>
      </c>
      <c r="H28" s="1243">
        <v>1930328.7</v>
      </c>
      <c r="I28" s="1243">
        <v>5375911.8799999999</v>
      </c>
      <c r="J28" s="1242">
        <v>28990892</v>
      </c>
      <c r="K28" s="1244">
        <f t="shared" ref="K28:P28" si="24">+J28*(1+K29)</f>
        <v>30054857.736399997</v>
      </c>
      <c r="L28" s="1244">
        <f t="shared" si="24"/>
        <v>31157871.015325874</v>
      </c>
      <c r="M28" s="1244">
        <f t="shared" si="24"/>
        <v>32301364.881588332</v>
      </c>
      <c r="N28" s="1244">
        <f t="shared" si="24"/>
        <v>33486824.972742621</v>
      </c>
      <c r="O28" s="1244">
        <f t="shared" si="24"/>
        <v>34715791.449242271</v>
      </c>
      <c r="P28" s="1244">
        <f t="shared" si="24"/>
        <v>58233312.099424757</v>
      </c>
    </row>
    <row r="29" spans="1:16" ht="15" customHeight="1">
      <c r="A29" s="1245" t="s">
        <v>1078</v>
      </c>
      <c r="B29" s="1244"/>
      <c r="C29" s="1246">
        <f t="shared" ref="C29:J29" si="25">+C28/B28-1</f>
        <v>8.0756554363978772E-3</v>
      </c>
      <c r="D29" s="1246">
        <f t="shared" si="25"/>
        <v>4.2264296596088435E-3</v>
      </c>
      <c r="E29" s="1246">
        <f t="shared" si="25"/>
        <v>8.1410264894678841E-2</v>
      </c>
      <c r="F29" s="1246">
        <f t="shared" si="25"/>
        <v>5.4493479299267067E-2</v>
      </c>
      <c r="G29" s="1246">
        <f t="shared" si="25"/>
        <v>-0.25399522772476468</v>
      </c>
      <c r="H29" s="1247">
        <f t="shared" si="25"/>
        <v>-0.94177122280557901</v>
      </c>
      <c r="I29" s="1247">
        <f t="shared" si="25"/>
        <v>1.7849722588696939</v>
      </c>
      <c r="J29" s="1246">
        <f t="shared" si="25"/>
        <v>4.3927394360489407</v>
      </c>
      <c r="K29" s="1246">
        <v>3.6700000000000003E-2</v>
      </c>
      <c r="L29" s="1246">
        <v>3.6700000000000003E-2</v>
      </c>
      <c r="M29" s="1246">
        <v>3.6700000000000003E-2</v>
      </c>
      <c r="N29" s="1246">
        <v>3.6700000000000003E-2</v>
      </c>
      <c r="O29" s="1246">
        <v>3.6700000000000003E-2</v>
      </c>
      <c r="P29" s="1246">
        <f t="shared" ref="P29" si="26">AVERAGE(H29:O29)</f>
        <v>0.67743005901413178</v>
      </c>
    </row>
    <row r="30" spans="1:16" ht="45">
      <c r="A30" s="1245"/>
      <c r="B30" s="1248"/>
      <c r="C30" s="1248"/>
      <c r="D30" s="1249"/>
      <c r="E30" s="1248"/>
      <c r="F30" s="1248"/>
      <c r="G30" s="1248"/>
      <c r="H30" s="1252" t="s">
        <v>1079</v>
      </c>
      <c r="I30" s="1252" t="s">
        <v>1079</v>
      </c>
      <c r="J30" s="1248"/>
      <c r="K30" s="1248"/>
      <c r="L30" s="1248"/>
      <c r="M30" s="1248"/>
      <c r="N30" s="1248"/>
      <c r="O30" s="1248"/>
      <c r="P30" s="1248"/>
    </row>
    <row r="31" spans="1:16" ht="15" customHeight="1">
      <c r="A31" s="1250" t="s">
        <v>878</v>
      </c>
      <c r="B31" s="1248"/>
      <c r="C31" s="1248"/>
      <c r="D31" s="1251"/>
      <c r="E31" s="1248"/>
      <c r="F31" s="1248"/>
      <c r="G31" s="1248"/>
      <c r="H31" s="1248"/>
      <c r="I31" s="1248"/>
      <c r="J31" s="1248"/>
      <c r="K31" s="1248"/>
      <c r="L31" s="1248"/>
      <c r="M31" s="1248"/>
      <c r="N31" s="1248"/>
      <c r="O31" s="1248"/>
      <c r="P31" s="1248"/>
    </row>
    <row r="32" spans="1:16" ht="15" customHeight="1">
      <c r="A32" s="1241" t="s">
        <v>879</v>
      </c>
      <c r="B32" s="1248"/>
      <c r="C32" s="1248"/>
      <c r="D32" s="1249"/>
      <c r="E32" s="1248"/>
      <c r="F32" s="1248"/>
      <c r="G32" s="1248"/>
      <c r="H32" s="1248"/>
      <c r="I32" s="1248"/>
      <c r="J32" s="1248"/>
      <c r="K32" s="1248"/>
      <c r="L32" s="1248"/>
      <c r="M32" s="1248"/>
      <c r="N32" s="1248"/>
      <c r="O32" s="1248"/>
      <c r="P32" s="1248"/>
    </row>
    <row r="33" spans="1:16" ht="15" customHeight="1">
      <c r="A33" s="1249" t="s">
        <v>880</v>
      </c>
      <c r="B33" s="1242">
        <v>907594.2</v>
      </c>
      <c r="C33" s="1242">
        <v>992018.71</v>
      </c>
      <c r="D33" s="1242">
        <v>919613.75</v>
      </c>
      <c r="E33" s="1242">
        <v>1030090.67</v>
      </c>
      <c r="F33" s="1242">
        <v>1010563.41</v>
      </c>
      <c r="G33" s="1242">
        <v>1015711.55</v>
      </c>
      <c r="H33" s="1242">
        <v>1504012</v>
      </c>
      <c r="I33" s="1242">
        <v>2895690.46</v>
      </c>
      <c r="J33" s="1242">
        <v>1720981.6</v>
      </c>
      <c r="K33" s="1244">
        <f t="shared" ref="K33:P33" si="27">+J33*(1+K34)</f>
        <v>1963357.5892602194</v>
      </c>
      <c r="L33" s="1244">
        <f t="shared" si="27"/>
        <v>2251603.7555825403</v>
      </c>
      <c r="M33" s="1244">
        <f t="shared" si="27"/>
        <v>2644031.0856873211</v>
      </c>
      <c r="N33" s="1244">
        <f t="shared" si="27"/>
        <v>3122751.8232424278</v>
      </c>
      <c r="O33" s="1244">
        <f t="shared" si="27"/>
        <v>3766222.6296910858</v>
      </c>
      <c r="P33" s="1244">
        <f t="shared" si="27"/>
        <v>4636895.9885177566</v>
      </c>
    </row>
    <row r="34" spans="1:16" ht="15" customHeight="1">
      <c r="A34" s="1249" t="s">
        <v>1080</v>
      </c>
      <c r="B34" s="1244"/>
      <c r="C34" s="1246">
        <f t="shared" ref="C34:I34" si="28">+C33/B33-1</f>
        <v>9.3020107444494515E-2</v>
      </c>
      <c r="D34" s="1246">
        <f t="shared" si="28"/>
        <v>-7.2987494358851324E-2</v>
      </c>
      <c r="E34" s="1246">
        <f t="shared" si="28"/>
        <v>0.12013404540765071</v>
      </c>
      <c r="F34" s="1246">
        <f t="shared" si="28"/>
        <v>-1.8956836100651242E-2</v>
      </c>
      <c r="G34" s="1246">
        <f t="shared" si="28"/>
        <v>5.0943265400831272E-3</v>
      </c>
      <c r="H34" s="1246">
        <f t="shared" si="28"/>
        <v>0.48074716685066732</v>
      </c>
      <c r="I34" s="1246">
        <f t="shared" si="28"/>
        <v>0.92531074220152498</v>
      </c>
      <c r="J34" s="1246">
        <f>+J33/I33-1</f>
        <v>-0.4056748731354386</v>
      </c>
      <c r="K34" s="1246">
        <f t="shared" ref="K34:P34" si="29">AVERAGE(C34:J34)</f>
        <v>0.14083589810618496</v>
      </c>
      <c r="L34" s="1246">
        <f t="shared" si="29"/>
        <v>0.14681287193889625</v>
      </c>
      <c r="M34" s="1246">
        <f t="shared" si="29"/>
        <v>0.17428791772611474</v>
      </c>
      <c r="N34" s="1246">
        <f t="shared" si="29"/>
        <v>0.18105715176592269</v>
      </c>
      <c r="O34" s="1246">
        <f t="shared" si="29"/>
        <v>0.20605890024924448</v>
      </c>
      <c r="P34" s="1246">
        <f t="shared" si="29"/>
        <v>0.23117947196288965</v>
      </c>
    </row>
    <row r="35" spans="1:16" ht="15" customHeight="1">
      <c r="A35" s="1249" t="s">
        <v>882</v>
      </c>
      <c r="B35" s="1242">
        <v>907594.2</v>
      </c>
      <c r="C35" s="1242">
        <v>1732805.01</v>
      </c>
      <c r="D35" s="1242">
        <v>2523515.34</v>
      </c>
      <c r="E35" s="1242">
        <v>3970215.2</v>
      </c>
      <c r="F35" s="1242">
        <v>3898993.31</v>
      </c>
      <c r="G35" s="1242">
        <v>3649296.88</v>
      </c>
      <c r="H35" s="1242">
        <v>1859916.19</v>
      </c>
      <c r="I35" s="1242">
        <v>1995311.04</v>
      </c>
      <c r="J35" s="1242">
        <v>3879953.9800000004</v>
      </c>
      <c r="K35" s="1244">
        <f t="shared" ref="K35:P35" si="30">+J35*(1+K36)</f>
        <v>5036107.7846591156</v>
      </c>
      <c r="L35" s="1244">
        <f t="shared" si="30"/>
        <v>6151985.2832430368</v>
      </c>
      <c r="M35" s="1244">
        <f t="shared" si="30"/>
        <v>7334597.0258623697</v>
      </c>
      <c r="N35" s="1244">
        <f t="shared" si="30"/>
        <v>8395184.629015347</v>
      </c>
      <c r="O35" s="1244">
        <f t="shared" si="30"/>
        <v>9779702.7685300242</v>
      </c>
      <c r="P35" s="1244">
        <f t="shared" si="30"/>
        <v>11672447.390349912</v>
      </c>
    </row>
    <row r="36" spans="1:16" ht="15" customHeight="1">
      <c r="A36" s="1249" t="s">
        <v>1080</v>
      </c>
      <c r="B36" s="1244"/>
      <c r="C36" s="1246">
        <f t="shared" ref="C36:I36" si="31">C35/B35-1</f>
        <v>0.90922882715645392</v>
      </c>
      <c r="D36" s="1246">
        <f t="shared" si="31"/>
        <v>0.45631812317994158</v>
      </c>
      <c r="E36" s="1246">
        <f t="shared" si="31"/>
        <v>0.57328752358604662</v>
      </c>
      <c r="F36" s="1246">
        <f t="shared" si="31"/>
        <v>-1.7939050256016387E-2</v>
      </c>
      <c r="G36" s="1246">
        <f t="shared" si="31"/>
        <v>-6.4041256331368257E-2</v>
      </c>
      <c r="H36" s="1246">
        <f t="shared" si="31"/>
        <v>-0.4903357410592476</v>
      </c>
      <c r="I36" s="1246">
        <f t="shared" si="31"/>
        <v>7.2796210242140003E-2</v>
      </c>
      <c r="J36" s="1246">
        <f>J35/I35-1</f>
        <v>0.94453591556332017</v>
      </c>
      <c r="K36" s="1246">
        <f t="shared" ref="K36:P36" si="32">AVERAGE(C36:J36)</f>
        <v>0.29798131901015878</v>
      </c>
      <c r="L36" s="1246">
        <f t="shared" si="32"/>
        <v>0.22157538049187187</v>
      </c>
      <c r="M36" s="1246">
        <f t="shared" si="32"/>
        <v>0.19223253765586315</v>
      </c>
      <c r="N36" s="1246">
        <f t="shared" si="32"/>
        <v>0.14460066441459021</v>
      </c>
      <c r="O36" s="1246">
        <f t="shared" si="32"/>
        <v>0.16491812874841605</v>
      </c>
      <c r="P36" s="1246">
        <f t="shared" si="32"/>
        <v>0.1935380518833891</v>
      </c>
    </row>
    <row r="37" spans="1:16" ht="15" customHeight="1">
      <c r="A37" s="920"/>
      <c r="B37" s="4"/>
      <c r="C37" s="4"/>
      <c r="D37" s="922"/>
    </row>
    <row r="38" spans="1:16" ht="15" customHeight="1">
      <c r="A38" s="1054" t="s">
        <v>884</v>
      </c>
      <c r="D38" s="922"/>
    </row>
    <row r="39" spans="1:16" ht="15" customHeight="1">
      <c r="A39" s="920" t="s">
        <v>885</v>
      </c>
      <c r="B39" s="922">
        <v>19428317.52</v>
      </c>
      <c r="C39" s="922">
        <v>15677066.390000001</v>
      </c>
      <c r="D39" s="922">
        <v>12568255.23</v>
      </c>
      <c r="E39" s="922">
        <v>14612518.210000001</v>
      </c>
      <c r="F39" s="922">
        <v>15566105.6</v>
      </c>
      <c r="G39" s="922">
        <v>12301681.57</v>
      </c>
      <c r="H39" s="922">
        <v>19615533.59</v>
      </c>
      <c r="I39" s="922">
        <v>27356587.699999999</v>
      </c>
      <c r="J39" s="922">
        <v>21523288.93</v>
      </c>
      <c r="K39" s="4">
        <f t="shared" ref="K39:P39" si="33">+J39*(1+K40)</f>
        <v>22606880.64968349</v>
      </c>
      <c r="L39" s="4">
        <f t="shared" si="33"/>
        <v>24432915.69434201</v>
      </c>
      <c r="M39" s="4">
        <f t="shared" si="33"/>
        <v>27258777.523410797</v>
      </c>
      <c r="N39" s="4">
        <f t="shared" si="33"/>
        <v>30251344.903237198</v>
      </c>
      <c r="O39" s="4">
        <f t="shared" si="33"/>
        <v>33740816.224103399</v>
      </c>
      <c r="P39" s="4">
        <f t="shared" si="33"/>
        <v>39003781.526752397</v>
      </c>
    </row>
    <row r="40" spans="1:16" ht="15" customHeight="1">
      <c r="A40" s="920" t="s">
        <v>1080</v>
      </c>
      <c r="B40" s="4"/>
      <c r="C40" s="3">
        <f t="shared" ref="C40:J40" si="34">C39/B39-1</f>
        <v>-0.1930816256291038</v>
      </c>
      <c r="D40" s="3">
        <f t="shared" si="34"/>
        <v>-0.19830311887835284</v>
      </c>
      <c r="E40" s="3">
        <f t="shared" si="34"/>
        <v>0.16265288559070745</v>
      </c>
      <c r="F40" s="3">
        <f t="shared" si="34"/>
        <v>6.5258251609733975E-2</v>
      </c>
      <c r="G40" s="3">
        <f t="shared" si="34"/>
        <v>-0.20971359914197163</v>
      </c>
      <c r="H40" s="3">
        <f t="shared" si="34"/>
        <v>0.59454083398128477</v>
      </c>
      <c r="I40" s="3">
        <f t="shared" si="34"/>
        <v>0.39463897703738171</v>
      </c>
      <c r="J40" s="3">
        <f t="shared" si="34"/>
        <v>-0.21323195838492681</v>
      </c>
      <c r="K40" s="3">
        <f t="shared" ref="K40:P40" si="35">AVERAGE(C40:J40)</f>
        <v>5.0345080773094103E-2</v>
      </c>
      <c r="L40" s="3">
        <f t="shared" si="35"/>
        <v>8.0773419073368838E-2</v>
      </c>
      <c r="M40" s="3">
        <f t="shared" si="35"/>
        <v>0.11565798631733405</v>
      </c>
      <c r="N40" s="3">
        <f t="shared" si="35"/>
        <v>0.10978362390816238</v>
      </c>
      <c r="O40" s="3">
        <f t="shared" si="35"/>
        <v>0.11534929544546593</v>
      </c>
      <c r="P40" s="3">
        <f t="shared" si="35"/>
        <v>0.15598215726889564</v>
      </c>
    </row>
    <row r="41" spans="1:16" ht="15" customHeight="1">
      <c r="A41" s="920" t="s">
        <v>887</v>
      </c>
      <c r="B41" s="922">
        <v>503843400.94999999</v>
      </c>
      <c r="C41" s="922">
        <v>504967374.20999998</v>
      </c>
      <c r="D41" s="922">
        <v>504789658.11000001</v>
      </c>
      <c r="E41" s="922">
        <v>520073539.75</v>
      </c>
      <c r="F41" s="922">
        <v>519659267.25999999</v>
      </c>
      <c r="G41" s="922">
        <v>525564743.04000002</v>
      </c>
      <c r="H41" s="922">
        <v>749431217.12</v>
      </c>
      <c r="I41" s="922">
        <v>1074153221.51</v>
      </c>
      <c r="J41" s="922">
        <v>1057382905</v>
      </c>
      <c r="K41" s="4">
        <f t="shared" ref="K41:P41" si="36">+J41*(1+K42)</f>
        <v>1174535242.459888</v>
      </c>
      <c r="L41" s="4">
        <f t="shared" si="36"/>
        <v>1320606432.9623835</v>
      </c>
      <c r="M41" s="4">
        <f t="shared" si="36"/>
        <v>1505431546.0216975</v>
      </c>
      <c r="N41" s="4">
        <f t="shared" si="36"/>
        <v>1736762710.0331538</v>
      </c>
      <c r="O41" s="4">
        <f t="shared" si="36"/>
        <v>2037173972.9078319</v>
      </c>
      <c r="P41" s="4">
        <f t="shared" si="36"/>
        <v>2430700872.8239851</v>
      </c>
    </row>
    <row r="42" spans="1:16" ht="15" customHeight="1">
      <c r="A42" s="920" t="s">
        <v>1080</v>
      </c>
      <c r="B42" s="4"/>
      <c r="C42" s="3">
        <f t="shared" ref="C42:J42" si="37">C41/B41-1</f>
        <v>2.2307988114576016E-3</v>
      </c>
      <c r="D42" s="3">
        <f t="shared" si="37"/>
        <v>-3.5193580630432653E-4</v>
      </c>
      <c r="E42" s="3">
        <f t="shared" si="37"/>
        <v>3.0277723393194789E-2</v>
      </c>
      <c r="F42" s="3">
        <f t="shared" si="37"/>
        <v>-7.9656521306414874E-4</v>
      </c>
      <c r="G42" s="3">
        <f t="shared" si="37"/>
        <v>1.1364130598762845E-2</v>
      </c>
      <c r="H42" s="3">
        <f t="shared" si="37"/>
        <v>0.4259541322827316</v>
      </c>
      <c r="I42" s="3">
        <f t="shared" si="37"/>
        <v>0.43329127072912543</v>
      </c>
      <c r="J42" s="3">
        <f t="shared" si="37"/>
        <v>-1.5612592481382692E-2</v>
      </c>
      <c r="K42" s="3">
        <f t="shared" ref="K42:P42" si="38">AVERAGE(C42:J42)</f>
        <v>0.11079462028931514</v>
      </c>
      <c r="L42" s="3">
        <f t="shared" si="38"/>
        <v>0.12436509797404732</v>
      </c>
      <c r="M42" s="3">
        <f t="shared" si="38"/>
        <v>0.1399547271965913</v>
      </c>
      <c r="N42" s="3">
        <f t="shared" si="38"/>
        <v>0.15366435267201586</v>
      </c>
      <c r="O42" s="3">
        <f t="shared" si="38"/>
        <v>0.17297196740765086</v>
      </c>
      <c r="P42" s="3">
        <f t="shared" si="38"/>
        <v>0.19317294700876186</v>
      </c>
    </row>
    <row r="43" spans="1:16" ht="15" customHeight="1">
      <c r="A43" s="920"/>
      <c r="B43" s="4"/>
      <c r="C43" s="4"/>
      <c r="D43" s="922"/>
    </row>
    <row r="44" spans="1:16" ht="15" customHeight="1">
      <c r="A44" s="931" t="s">
        <v>889</v>
      </c>
      <c r="B44" s="922">
        <v>9194223.1799999997</v>
      </c>
      <c r="C44" s="922">
        <v>8172466.1500000004</v>
      </c>
      <c r="D44" s="922">
        <v>6919954.2199999997</v>
      </c>
      <c r="E44" s="922">
        <v>7857404.7599999998</v>
      </c>
      <c r="F44" s="922">
        <v>7626609.3799999999</v>
      </c>
      <c r="G44" s="922">
        <v>7449326.6100000003</v>
      </c>
      <c r="H44" s="922">
        <v>15707832.210000001</v>
      </c>
      <c r="I44" s="922">
        <v>11229121.41</v>
      </c>
      <c r="J44" s="922">
        <v>9511882.2899999991</v>
      </c>
      <c r="K44" s="4">
        <f t="shared" ref="K44:P44" si="39">+J44*(1+K47)</f>
        <v>10527011.548065336</v>
      </c>
      <c r="L44" s="4">
        <f t="shared" si="39"/>
        <v>11791733.643960023</v>
      </c>
      <c r="M44" s="4">
        <f t="shared" si="39"/>
        <v>13392042.200187581</v>
      </c>
      <c r="N44" s="4">
        <f t="shared" si="39"/>
        <v>15379168.982076852</v>
      </c>
      <c r="O44" s="4">
        <f t="shared" si="39"/>
        <v>17939467.964992136</v>
      </c>
      <c r="P44" s="4">
        <f t="shared" si="39"/>
        <v>21287402.82809335</v>
      </c>
    </row>
    <row r="45" spans="1:16" ht="15" customHeight="1">
      <c r="A45" s="931" t="s">
        <v>890</v>
      </c>
      <c r="B45" s="922">
        <v>12897074.27</v>
      </c>
      <c r="C45" s="922">
        <v>15294364.33</v>
      </c>
      <c r="D45" s="922">
        <v>16681887.74</v>
      </c>
      <c r="E45" s="922">
        <v>15576060.560000001</v>
      </c>
      <c r="F45" s="922">
        <v>17387491.210000001</v>
      </c>
      <c r="G45" s="922">
        <v>18171195.850000001</v>
      </c>
      <c r="H45" s="922">
        <v>17636639.5</v>
      </c>
      <c r="I45" s="922">
        <v>27625846.100000001</v>
      </c>
      <c r="J45" s="922">
        <v>23758300</v>
      </c>
      <c r="K45" s="4">
        <f t="shared" ref="K45:P45" si="40">+J45*(1+K47)</f>
        <v>26293838.678527284</v>
      </c>
      <c r="L45" s="4">
        <f t="shared" si="40"/>
        <v>29452797.763048794</v>
      </c>
      <c r="M45" s="4">
        <f t="shared" si="40"/>
        <v>33449967.788101867</v>
      </c>
      <c r="N45" s="4">
        <f t="shared" si="40"/>
        <v>38413312.874046981</v>
      </c>
      <c r="O45" s="4">
        <f t="shared" si="40"/>
        <v>44808298.584682412</v>
      </c>
      <c r="P45" s="4">
        <f t="shared" si="40"/>
        <v>53170601.484671049</v>
      </c>
    </row>
    <row r="46" spans="1:16" ht="15" customHeight="1">
      <c r="A46" s="920" t="s">
        <v>1081</v>
      </c>
      <c r="B46" s="4">
        <f>B33+B35+B39+B41+B44+B45</f>
        <v>547178204.32000005</v>
      </c>
      <c r="C46" s="4">
        <f t="shared" ref="C46:J46" si="41">C33+C35+C39+C41+C44+C45</f>
        <v>546836094.79999995</v>
      </c>
      <c r="D46" s="4">
        <f t="shared" si="41"/>
        <v>544402884.38999999</v>
      </c>
      <c r="E46" s="4">
        <f t="shared" si="41"/>
        <v>563119829.14999998</v>
      </c>
      <c r="F46" s="4">
        <f t="shared" si="41"/>
        <v>565149030.17000008</v>
      </c>
      <c r="G46" s="4">
        <f t="shared" si="41"/>
        <v>568151955.5</v>
      </c>
      <c r="H46" s="4">
        <f t="shared" si="41"/>
        <v>805755150.61000001</v>
      </c>
      <c r="I46" s="4">
        <f t="shared" si="41"/>
        <v>1145255778.22</v>
      </c>
      <c r="J46" s="4">
        <f t="shared" si="41"/>
        <v>1117777311.8</v>
      </c>
      <c r="K46" s="4">
        <f t="shared" ref="K46:P46" si="42">SUM(K33:K45)</f>
        <v>1240962439.3100405</v>
      </c>
      <c r="L46" s="4">
        <f t="shared" si="42"/>
        <v>1394687469.6760867</v>
      </c>
      <c r="M46" s="4">
        <f t="shared" si="42"/>
        <v>1589510962.2670808</v>
      </c>
      <c r="N46" s="4">
        <f t="shared" si="42"/>
        <v>1832324473.8338785</v>
      </c>
      <c r="O46" s="4">
        <f t="shared" si="42"/>
        <v>2147208481.7391293</v>
      </c>
      <c r="P46" s="4">
        <f t="shared" si="42"/>
        <v>2560472002.8162422</v>
      </c>
    </row>
    <row r="47" spans="1:16" ht="15" customHeight="1">
      <c r="A47" s="920"/>
      <c r="C47" s="3">
        <f t="shared" ref="C47:J47" si="43">C46/B46-1</f>
        <v>-6.2522504971718185E-4</v>
      </c>
      <c r="D47" s="3">
        <f t="shared" si="43"/>
        <v>-4.4496155852511432E-3</v>
      </c>
      <c r="E47" s="3">
        <f t="shared" si="43"/>
        <v>3.4380686246679559E-2</v>
      </c>
      <c r="F47" s="3">
        <f t="shared" si="43"/>
        <v>3.6034977192387352E-3</v>
      </c>
      <c r="G47" s="3">
        <f t="shared" si="43"/>
        <v>5.3135105426911355E-3</v>
      </c>
      <c r="H47" s="3">
        <f t="shared" si="43"/>
        <v>0.41820360347241659</v>
      </c>
      <c r="I47" s="3">
        <f t="shared" si="43"/>
        <v>0.42134465706235913</v>
      </c>
      <c r="J47" s="3">
        <f t="shared" si="43"/>
        <v>-2.3993300835127074E-2</v>
      </c>
      <c r="K47" s="3">
        <f t="shared" ref="K47:P47" si="44">AVERAGE(C47:J47)</f>
        <v>0.10672222669666122</v>
      </c>
      <c r="L47" s="3">
        <f t="shared" si="44"/>
        <v>0.12014065816495852</v>
      </c>
      <c r="M47" s="3">
        <f t="shared" si="44"/>
        <v>0.13571444238373473</v>
      </c>
      <c r="N47" s="3">
        <f t="shared" si="44"/>
        <v>0.14838116190086661</v>
      </c>
      <c r="O47" s="3">
        <f t="shared" si="44"/>
        <v>0.1664783699235701</v>
      </c>
      <c r="P47" s="3">
        <f t="shared" si="44"/>
        <v>0.18662397734617997</v>
      </c>
    </row>
    <row r="48" spans="1:16" ht="15" customHeight="1">
      <c r="A48" s="920"/>
      <c r="D48" s="921"/>
    </row>
    <row r="49" spans="1:16" ht="15" customHeight="1">
      <c r="A49" s="1054" t="s">
        <v>1082</v>
      </c>
      <c r="B49" s="922">
        <v>2934592443.0999999</v>
      </c>
      <c r="C49" s="922">
        <v>3134905817.6300001</v>
      </c>
      <c r="D49" s="922">
        <v>3276333773.0300002</v>
      </c>
      <c r="E49" s="922">
        <v>3403252009.0799999</v>
      </c>
      <c r="F49" s="922">
        <v>3540205116.5</v>
      </c>
      <c r="G49" s="922">
        <v>3637029559.3099999</v>
      </c>
      <c r="H49" s="922">
        <v>3761755156.5700002</v>
      </c>
      <c r="I49" s="922">
        <v>4230540060.6199999</v>
      </c>
      <c r="J49" s="922">
        <v>4559962102</v>
      </c>
      <c r="K49" s="4">
        <f t="shared" ref="K49:P49" si="45">+J49*(1+K50)</f>
        <v>4820154962.4816628</v>
      </c>
      <c r="L49" s="4">
        <f t="shared" si="45"/>
        <v>5088446871.1032467</v>
      </c>
      <c r="M49" s="4">
        <f t="shared" si="45"/>
        <v>5378380181.0004377</v>
      </c>
      <c r="N49" s="4">
        <f t="shared" si="45"/>
        <v>5697096811.7282028</v>
      </c>
      <c r="O49" s="4">
        <f t="shared" si="45"/>
        <v>6048242946.2880497</v>
      </c>
      <c r="P49" s="4">
        <f t="shared" si="45"/>
        <v>6446953592.694623</v>
      </c>
    </row>
    <row r="50" spans="1:16" ht="15" customHeight="1">
      <c r="A50" s="920" t="s">
        <v>1078</v>
      </c>
      <c r="B50" s="3"/>
      <c r="C50" s="3">
        <f t="shared" ref="C50:I50" si="46">C49/B49-1</f>
        <v>6.8259350630098581E-2</v>
      </c>
      <c r="D50" s="3">
        <f t="shared" si="46"/>
        <v>4.5113940777627537E-2</v>
      </c>
      <c r="E50" s="3">
        <f t="shared" si="46"/>
        <v>3.8737883513200178E-2</v>
      </c>
      <c r="F50" s="3">
        <f t="shared" si="46"/>
        <v>4.0241835472249576E-2</v>
      </c>
      <c r="G50" s="3">
        <f t="shared" si="46"/>
        <v>2.7349952791923204E-2</v>
      </c>
      <c r="H50" s="3">
        <f t="shared" si="46"/>
        <v>3.4293259162750056E-2</v>
      </c>
      <c r="I50" s="3">
        <f t="shared" si="46"/>
        <v>0.12461866456971693</v>
      </c>
      <c r="J50" s="3">
        <f>J49/I49-1</f>
        <v>7.786760949185334E-2</v>
      </c>
      <c r="K50" s="3">
        <f t="shared" ref="K50:P50" si="47">AVERAGE(C50:J50)</f>
        <v>5.7060312051177425E-2</v>
      </c>
      <c r="L50" s="3">
        <f t="shared" si="47"/>
        <v>5.5660432228812284E-2</v>
      </c>
      <c r="M50" s="3">
        <f t="shared" si="47"/>
        <v>5.6978743660210378E-2</v>
      </c>
      <c r="N50" s="3">
        <f t="shared" si="47"/>
        <v>5.9258851178586654E-2</v>
      </c>
      <c r="O50" s="3">
        <f t="shared" si="47"/>
        <v>6.1635978141878787E-2</v>
      </c>
      <c r="P50" s="3">
        <f t="shared" si="47"/>
        <v>6.5921731310623233E-2</v>
      </c>
    </row>
    <row r="51" spans="1:16" ht="15" customHeight="1"/>
    <row r="52" spans="1:16" ht="15" customHeight="1"/>
    <row r="53" spans="1:16" ht="15" customHeight="1"/>
    <row r="54" spans="1:16" ht="15" customHeight="1"/>
    <row r="55" spans="1:16" ht="15" customHeight="1"/>
    <row r="56" spans="1:16" ht="15" customHeight="1"/>
    <row r="57" spans="1:16" ht="15" customHeight="1"/>
    <row r="58" spans="1:16" ht="15" customHeight="1"/>
    <row r="59" spans="1:16" ht="15" customHeight="1"/>
    <row r="60" spans="1:16" ht="15" customHeight="1"/>
    <row r="61" spans="1:16" ht="15" customHeight="1"/>
    <row r="62" spans="1:16" ht="15" customHeight="1"/>
    <row r="63" spans="1:16" ht="15" customHeight="1"/>
    <row r="64" spans="1:16" ht="15" customHeight="1"/>
    <row r="65" customFormat="1" ht="15" customHeight="1"/>
    <row r="66" customFormat="1" ht="15" customHeight="1"/>
    <row r="67" customFormat="1" ht="15" customHeight="1"/>
    <row r="68" customFormat="1" ht="15" customHeight="1"/>
    <row r="69" customFormat="1" ht="15" customHeight="1"/>
    <row r="70" customFormat="1" ht="15" customHeight="1"/>
    <row r="71" customFormat="1" ht="15" customHeight="1"/>
    <row r="72" customFormat="1" ht="15" customHeight="1"/>
    <row r="73" customFormat="1" ht="15" customHeight="1"/>
    <row r="74" customFormat="1" ht="15" customHeight="1"/>
    <row r="75" customFormat="1" ht="15" customHeight="1"/>
    <row r="76" customFormat="1" ht="15" customHeight="1"/>
    <row r="77" customFormat="1" ht="15" customHeight="1"/>
    <row r="78" customFormat="1" ht="15" customHeight="1"/>
    <row r="79" customFormat="1" ht="15" customHeight="1"/>
    <row r="80" customFormat="1" ht="15" customHeight="1"/>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row r="139" customFormat="1" ht="15" customHeight="1"/>
    <row r="140" customFormat="1" ht="15" customHeight="1"/>
    <row r="141" customFormat="1" ht="15" customHeight="1"/>
    <row r="142" customFormat="1" ht="15" customHeight="1"/>
    <row r="143" customFormat="1" ht="15" customHeight="1"/>
    <row r="144" customFormat="1" ht="15" customHeight="1"/>
    <row r="145" customFormat="1" ht="15" customHeight="1"/>
    <row r="146" customFormat="1" ht="15" customHeight="1"/>
    <row r="147" customFormat="1" ht="15" customHeight="1"/>
    <row r="148" customFormat="1" ht="15" customHeight="1"/>
    <row r="149" customFormat="1" ht="15" customHeight="1"/>
    <row r="150" customFormat="1" ht="15" customHeight="1"/>
    <row r="151" customFormat="1" ht="15" customHeight="1"/>
    <row r="152" customFormat="1" ht="15" customHeight="1"/>
    <row r="153" customFormat="1" ht="15" customHeight="1"/>
    <row r="154" customFormat="1" ht="15" customHeight="1"/>
    <row r="155" customFormat="1" ht="15" customHeight="1"/>
    <row r="156" customFormat="1" ht="15" customHeight="1"/>
    <row r="157" customFormat="1" ht="15" customHeight="1"/>
    <row r="158" customFormat="1" ht="15" customHeight="1"/>
    <row r="159" customFormat="1" ht="15" customHeight="1"/>
    <row r="160" customFormat="1" ht="15" customHeight="1"/>
    <row r="161" customFormat="1" ht="15" customHeight="1"/>
    <row r="162" customFormat="1" ht="15" customHeight="1"/>
    <row r="163" customFormat="1" ht="15" customHeight="1"/>
    <row r="164" customFormat="1" ht="15" customHeight="1"/>
    <row r="165" customFormat="1" ht="15" customHeight="1"/>
    <row r="166" customFormat="1" ht="15" customHeight="1"/>
    <row r="167" customFormat="1" ht="15" customHeight="1"/>
    <row r="168" customFormat="1" ht="15" customHeight="1"/>
    <row r="169" customFormat="1" ht="15" customHeight="1"/>
    <row r="170" customFormat="1" ht="15" customHeight="1"/>
    <row r="171" customFormat="1" ht="15" customHeight="1"/>
    <row r="172" customFormat="1" ht="15" customHeight="1"/>
    <row r="173" customFormat="1" ht="15" customHeight="1"/>
    <row r="174" customFormat="1" ht="15" customHeight="1"/>
    <row r="175" customFormat="1" ht="15" customHeight="1"/>
    <row r="176" customFormat="1" ht="15" customHeight="1"/>
    <row r="177" customFormat="1" ht="15" customHeight="1"/>
    <row r="178" customFormat="1" ht="15" customHeight="1"/>
    <row r="179" customFormat="1" ht="15" customHeight="1"/>
    <row r="180" customFormat="1" ht="15" customHeight="1"/>
    <row r="181" customFormat="1" ht="15" customHeight="1"/>
    <row r="182" customFormat="1" ht="15" customHeight="1"/>
    <row r="183" customFormat="1" ht="15" customHeight="1"/>
    <row r="184" customFormat="1" ht="15" customHeight="1"/>
    <row r="185" customFormat="1" ht="15" customHeight="1"/>
    <row r="186" customFormat="1" ht="15" customHeight="1"/>
    <row r="187" customFormat="1" ht="15" customHeight="1"/>
    <row r="188" customFormat="1" ht="15" customHeight="1"/>
    <row r="189" customFormat="1" ht="15" customHeight="1"/>
    <row r="190" customFormat="1" ht="15" customHeight="1"/>
    <row r="191" customFormat="1" ht="15" customHeight="1"/>
    <row r="192" customFormat="1" ht="15" customHeight="1"/>
    <row r="193" customFormat="1" ht="15" customHeight="1"/>
    <row r="194" customFormat="1" ht="15" customHeight="1"/>
    <row r="195" customFormat="1" ht="15" customHeight="1"/>
    <row r="196" customFormat="1" ht="15" customHeight="1"/>
    <row r="197" customFormat="1" ht="15" customHeight="1"/>
    <row r="198" customFormat="1" ht="15" customHeight="1"/>
    <row r="199" customFormat="1" ht="15" customHeight="1"/>
    <row r="200" customFormat="1" ht="15" customHeight="1"/>
    <row r="201" customFormat="1" ht="15" customHeight="1"/>
    <row r="202" customFormat="1" ht="15" customHeight="1"/>
    <row r="203" customFormat="1" ht="15" customHeight="1"/>
    <row r="204" customFormat="1" ht="15" customHeight="1"/>
    <row r="205" customFormat="1" ht="15" customHeight="1"/>
    <row r="206" customFormat="1" ht="15" customHeight="1"/>
    <row r="207" customFormat="1" ht="15" customHeight="1"/>
    <row r="208" customFormat="1" ht="15" customHeight="1"/>
    <row r="209" customFormat="1" ht="15" customHeight="1"/>
    <row r="210" customFormat="1" ht="15" customHeight="1"/>
    <row r="211" customFormat="1" ht="15" customHeight="1"/>
    <row r="212" customFormat="1" ht="15" customHeight="1"/>
    <row r="213" customFormat="1" ht="15" customHeight="1"/>
    <row r="214" customFormat="1" ht="15" customHeight="1"/>
    <row r="215" customFormat="1" ht="15" customHeight="1"/>
    <row r="216" customFormat="1" ht="15" customHeight="1"/>
    <row r="217" customFormat="1" ht="15" customHeight="1"/>
    <row r="218" customFormat="1" ht="15" customHeight="1"/>
    <row r="219" customFormat="1" ht="15" customHeight="1"/>
    <row r="220" customFormat="1" ht="15" customHeight="1"/>
    <row r="221" customFormat="1" ht="15" customHeight="1"/>
    <row r="222" customFormat="1" ht="15" customHeight="1"/>
    <row r="223" customFormat="1" ht="15" customHeight="1"/>
    <row r="224" customFormat="1" ht="15" customHeight="1"/>
    <row r="225" customFormat="1" ht="15" customHeight="1"/>
    <row r="226" customFormat="1" ht="15" customHeight="1"/>
    <row r="227" customFormat="1" ht="15" customHeight="1"/>
    <row r="228" customFormat="1" ht="15" customHeight="1"/>
    <row r="229" customFormat="1" ht="15" customHeight="1"/>
    <row r="230" customFormat="1" ht="15" customHeight="1"/>
    <row r="231" customFormat="1" ht="15" customHeight="1"/>
    <row r="232" customFormat="1" ht="15" customHeight="1"/>
    <row r="233" customFormat="1" ht="15" customHeight="1"/>
    <row r="234" customFormat="1" ht="15" customHeight="1"/>
    <row r="235" customFormat="1" ht="15" customHeight="1"/>
    <row r="236" customFormat="1" ht="15" customHeight="1"/>
    <row r="237" customFormat="1" ht="15" customHeight="1"/>
    <row r="238" customFormat="1" ht="15" customHeight="1"/>
    <row r="239" customFormat="1" ht="15" customHeight="1"/>
    <row r="240" customFormat="1" ht="15" customHeight="1"/>
    <row r="241" customFormat="1" ht="15" customHeight="1"/>
    <row r="242" customFormat="1" ht="15" customHeight="1"/>
    <row r="243" customFormat="1" ht="15" customHeight="1"/>
    <row r="244" customFormat="1" ht="15" customHeight="1"/>
    <row r="245" customFormat="1" ht="15" customHeight="1"/>
    <row r="246" customFormat="1" ht="15" customHeight="1"/>
    <row r="247" customFormat="1" ht="15" customHeight="1"/>
    <row r="248" customFormat="1" ht="15" customHeight="1"/>
    <row r="249" customFormat="1" ht="15" customHeight="1"/>
    <row r="250" customFormat="1" ht="15" customHeight="1"/>
    <row r="251" customFormat="1" ht="15" customHeight="1"/>
    <row r="252" customFormat="1" ht="15" customHeight="1"/>
    <row r="253" customFormat="1" ht="15" customHeight="1"/>
    <row r="254" customFormat="1" ht="15" customHeight="1"/>
    <row r="255" customFormat="1" ht="15" customHeight="1"/>
    <row r="256" customFormat="1" ht="15" customHeight="1"/>
    <row r="257" customFormat="1" ht="15" customHeight="1"/>
    <row r="258" customFormat="1" ht="15" customHeight="1"/>
    <row r="259" customFormat="1" ht="15" customHeight="1"/>
    <row r="260" customFormat="1" ht="15" customHeight="1"/>
    <row r="261" customFormat="1" ht="15" customHeight="1"/>
    <row r="262" customFormat="1" ht="15" customHeight="1"/>
    <row r="263" customFormat="1" ht="15" customHeight="1"/>
    <row r="264" customFormat="1" ht="15" customHeight="1"/>
    <row r="265" customFormat="1" ht="15" customHeight="1"/>
    <row r="266" customFormat="1" ht="15" customHeight="1"/>
    <row r="267" customFormat="1" ht="15" customHeight="1"/>
    <row r="268" customFormat="1" ht="15" customHeight="1"/>
    <row r="269" customFormat="1" ht="15" customHeight="1"/>
    <row r="270" customFormat="1" ht="15" customHeight="1"/>
    <row r="271" customFormat="1" ht="15" customHeight="1"/>
    <row r="272" customFormat="1" ht="15" customHeight="1"/>
    <row r="273" customFormat="1" ht="15" customHeight="1"/>
    <row r="274" customFormat="1" ht="15" customHeight="1"/>
    <row r="275" customFormat="1" ht="15" customHeight="1"/>
    <row r="276" customFormat="1" ht="15" customHeight="1"/>
    <row r="277" customFormat="1" ht="15" customHeight="1"/>
    <row r="278" customFormat="1" ht="15" customHeight="1"/>
    <row r="279" customFormat="1" ht="15" customHeight="1"/>
    <row r="280" customFormat="1" ht="15" customHeight="1"/>
    <row r="281" customFormat="1" ht="15" customHeight="1"/>
    <row r="282" customFormat="1" ht="15" customHeight="1"/>
    <row r="283" customFormat="1" ht="15" customHeight="1"/>
    <row r="284" customFormat="1" ht="15" customHeight="1"/>
    <row r="285" customFormat="1" ht="15" customHeight="1"/>
    <row r="286" customFormat="1" ht="15" customHeight="1"/>
  </sheetData>
  <sheetProtection algorithmName="SHA-512" hashValue="QxZVelPEd90KlE5hTBoWd6kArj3LIJqBZWNI4blpja3r/JvoXv8FnSONwL5bst+HLFikPahetfWHMykiGJLc0g==" saltValue="6bDnof8Wv4Gf3iObYtIxO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39997558519241921"/>
  </sheetPr>
  <dimension ref="A1:R73"/>
  <sheetViews>
    <sheetView zoomScale="70" zoomScaleNormal="70" workbookViewId="0">
      <pane xSplit="4" ySplit="2" topLeftCell="E4" activePane="bottomRight" state="frozen"/>
      <selection pane="topRight"/>
      <selection pane="bottomLeft"/>
      <selection pane="bottomRight"/>
    </sheetView>
  </sheetViews>
  <sheetFormatPr defaultRowHeight="15" outlineLevelRow="1" outlineLevelCol="1"/>
  <cols>
    <col min="1" max="1" width="9.140625" hidden="1" customWidth="1" outlineLevel="1"/>
    <col min="2" max="2" width="37.42578125" hidden="1" customWidth="1" outlineLevel="1"/>
    <col min="3" max="3" width="4.5703125" hidden="1" customWidth="1" outlineLevel="1"/>
    <col min="4" max="4" width="52.28515625" customWidth="1" collapsed="1"/>
    <col min="5" max="8" width="12.7109375" customWidth="1"/>
    <col min="9" max="9" width="22.42578125" bestFit="1" customWidth="1"/>
    <col min="10" max="13" width="12.7109375" customWidth="1"/>
    <col min="14" max="14" width="18.28515625" bestFit="1" customWidth="1"/>
    <col min="15" max="15" width="23.28515625" bestFit="1" customWidth="1"/>
    <col min="16" max="16" width="49.7109375" bestFit="1" customWidth="1"/>
    <col min="18" max="18" width="18.140625" bestFit="1" customWidth="1"/>
    <col min="252" max="252" width="11" bestFit="1" customWidth="1"/>
    <col min="253" max="253" width="4.5703125" customWidth="1"/>
    <col min="254" max="254" width="43.140625" customWidth="1"/>
    <col min="255" max="258" width="12.7109375" customWidth="1"/>
    <col min="259" max="259" width="22.42578125" bestFit="1" customWidth="1"/>
    <col min="260" max="263" width="12.7109375" customWidth="1"/>
    <col min="264" max="264" width="15.5703125" bestFit="1" customWidth="1"/>
    <col min="265" max="265" width="23.28515625" bestFit="1" customWidth="1"/>
    <col min="266" max="266" width="15.85546875" bestFit="1" customWidth="1"/>
    <col min="267" max="267" width="15.5703125" bestFit="1" customWidth="1"/>
    <col min="268" max="268" width="7.28515625" bestFit="1" customWidth="1"/>
    <col min="508" max="508" width="11" bestFit="1" customWidth="1"/>
    <col min="509" max="509" width="4.5703125" customWidth="1"/>
    <col min="510" max="510" width="43.140625" customWidth="1"/>
    <col min="511" max="514" width="12.7109375" customWidth="1"/>
    <col min="515" max="515" width="22.42578125" bestFit="1" customWidth="1"/>
    <col min="516" max="519" width="12.7109375" customWidth="1"/>
    <col min="520" max="520" width="15.5703125" bestFit="1" customWidth="1"/>
    <col min="521" max="521" width="23.28515625" bestFit="1" customWidth="1"/>
    <col min="522" max="522" width="15.85546875" bestFit="1" customWidth="1"/>
    <col min="523" max="523" width="15.5703125" bestFit="1" customWidth="1"/>
    <col min="524" max="524" width="7.28515625" bestFit="1" customWidth="1"/>
    <col min="764" max="764" width="11" bestFit="1" customWidth="1"/>
    <col min="765" max="765" width="4.5703125" customWidth="1"/>
    <col min="766" max="766" width="43.140625" customWidth="1"/>
    <col min="767" max="770" width="12.7109375" customWidth="1"/>
    <col min="771" max="771" width="22.42578125" bestFit="1" customWidth="1"/>
    <col min="772" max="775" width="12.7109375" customWidth="1"/>
    <col min="776" max="776" width="15.5703125" bestFit="1" customWidth="1"/>
    <col min="777" max="777" width="23.28515625" bestFit="1" customWidth="1"/>
    <col min="778" max="778" width="15.85546875" bestFit="1" customWidth="1"/>
    <col min="779" max="779" width="15.5703125" bestFit="1" customWidth="1"/>
    <col min="780" max="780" width="7.28515625" bestFit="1" customWidth="1"/>
    <col min="1020" max="1020" width="11" bestFit="1" customWidth="1"/>
    <col min="1021" max="1021" width="4.5703125" customWidth="1"/>
    <col min="1022" max="1022" width="43.140625" customWidth="1"/>
    <col min="1023" max="1026" width="12.7109375" customWidth="1"/>
    <col min="1027" max="1027" width="22.42578125" bestFit="1" customWidth="1"/>
    <col min="1028" max="1031" width="12.7109375" customWidth="1"/>
    <col min="1032" max="1032" width="15.5703125" bestFit="1" customWidth="1"/>
    <col min="1033" max="1033" width="23.28515625" bestFit="1" customWidth="1"/>
    <col min="1034" max="1034" width="15.85546875" bestFit="1" customWidth="1"/>
    <col min="1035" max="1035" width="15.5703125" bestFit="1" customWidth="1"/>
    <col min="1036" max="1036" width="7.28515625" bestFit="1" customWidth="1"/>
    <col min="1276" max="1276" width="11" bestFit="1" customWidth="1"/>
    <col min="1277" max="1277" width="4.5703125" customWidth="1"/>
    <col min="1278" max="1278" width="43.140625" customWidth="1"/>
    <col min="1279" max="1282" width="12.7109375" customWidth="1"/>
    <col min="1283" max="1283" width="22.42578125" bestFit="1" customWidth="1"/>
    <col min="1284" max="1287" width="12.7109375" customWidth="1"/>
    <col min="1288" max="1288" width="15.5703125" bestFit="1" customWidth="1"/>
    <col min="1289" max="1289" width="23.28515625" bestFit="1" customWidth="1"/>
    <col min="1290" max="1290" width="15.85546875" bestFit="1" customWidth="1"/>
    <col min="1291" max="1291" width="15.5703125" bestFit="1" customWidth="1"/>
    <col min="1292" max="1292" width="7.28515625" bestFit="1" customWidth="1"/>
    <col min="1532" max="1532" width="11" bestFit="1" customWidth="1"/>
    <col min="1533" max="1533" width="4.5703125" customWidth="1"/>
    <col min="1534" max="1534" width="43.140625" customWidth="1"/>
    <col min="1535" max="1538" width="12.7109375" customWidth="1"/>
    <col min="1539" max="1539" width="22.42578125" bestFit="1" customWidth="1"/>
    <col min="1540" max="1543" width="12.7109375" customWidth="1"/>
    <col min="1544" max="1544" width="15.5703125" bestFit="1" customWidth="1"/>
    <col min="1545" max="1545" width="23.28515625" bestFit="1" customWidth="1"/>
    <col min="1546" max="1546" width="15.85546875" bestFit="1" customWidth="1"/>
    <col min="1547" max="1547" width="15.5703125" bestFit="1" customWidth="1"/>
    <col min="1548" max="1548" width="7.28515625" bestFit="1" customWidth="1"/>
    <col min="1788" max="1788" width="11" bestFit="1" customWidth="1"/>
    <col min="1789" max="1789" width="4.5703125" customWidth="1"/>
    <col min="1790" max="1790" width="43.140625" customWidth="1"/>
    <col min="1791" max="1794" width="12.7109375" customWidth="1"/>
    <col min="1795" max="1795" width="22.42578125" bestFit="1" customWidth="1"/>
    <col min="1796" max="1799" width="12.7109375" customWidth="1"/>
    <col min="1800" max="1800" width="15.5703125" bestFit="1" customWidth="1"/>
    <col min="1801" max="1801" width="23.28515625" bestFit="1" customWidth="1"/>
    <col min="1802" max="1802" width="15.85546875" bestFit="1" customWidth="1"/>
    <col min="1803" max="1803" width="15.5703125" bestFit="1" customWidth="1"/>
    <col min="1804" max="1804" width="7.28515625" bestFit="1" customWidth="1"/>
    <col min="2044" max="2044" width="11" bestFit="1" customWidth="1"/>
    <col min="2045" max="2045" width="4.5703125" customWidth="1"/>
    <col min="2046" max="2046" width="43.140625" customWidth="1"/>
    <col min="2047" max="2050" width="12.7109375" customWidth="1"/>
    <col min="2051" max="2051" width="22.42578125" bestFit="1" customWidth="1"/>
    <col min="2052" max="2055" width="12.7109375" customWidth="1"/>
    <col min="2056" max="2056" width="15.5703125" bestFit="1" customWidth="1"/>
    <col min="2057" max="2057" width="23.28515625" bestFit="1" customWidth="1"/>
    <col min="2058" max="2058" width="15.85546875" bestFit="1" customWidth="1"/>
    <col min="2059" max="2059" width="15.5703125" bestFit="1" customWidth="1"/>
    <col min="2060" max="2060" width="7.28515625" bestFit="1" customWidth="1"/>
    <col min="2300" max="2300" width="11" bestFit="1" customWidth="1"/>
    <col min="2301" max="2301" width="4.5703125" customWidth="1"/>
    <col min="2302" max="2302" width="43.140625" customWidth="1"/>
    <col min="2303" max="2306" width="12.7109375" customWidth="1"/>
    <col min="2307" max="2307" width="22.42578125" bestFit="1" customWidth="1"/>
    <col min="2308" max="2311" width="12.7109375" customWidth="1"/>
    <col min="2312" max="2312" width="15.5703125" bestFit="1" customWidth="1"/>
    <col min="2313" max="2313" width="23.28515625" bestFit="1" customWidth="1"/>
    <col min="2314" max="2314" width="15.85546875" bestFit="1" customWidth="1"/>
    <col min="2315" max="2315" width="15.5703125" bestFit="1" customWidth="1"/>
    <col min="2316" max="2316" width="7.28515625" bestFit="1" customWidth="1"/>
    <col min="2556" max="2556" width="11" bestFit="1" customWidth="1"/>
    <col min="2557" max="2557" width="4.5703125" customWidth="1"/>
    <col min="2558" max="2558" width="43.140625" customWidth="1"/>
    <col min="2559" max="2562" width="12.7109375" customWidth="1"/>
    <col min="2563" max="2563" width="22.42578125" bestFit="1" customWidth="1"/>
    <col min="2564" max="2567" width="12.7109375" customWidth="1"/>
    <col min="2568" max="2568" width="15.5703125" bestFit="1" customWidth="1"/>
    <col min="2569" max="2569" width="23.28515625" bestFit="1" customWidth="1"/>
    <col min="2570" max="2570" width="15.85546875" bestFit="1" customWidth="1"/>
    <col min="2571" max="2571" width="15.5703125" bestFit="1" customWidth="1"/>
    <col min="2572" max="2572" width="7.28515625" bestFit="1" customWidth="1"/>
    <col min="2812" max="2812" width="11" bestFit="1" customWidth="1"/>
    <col min="2813" max="2813" width="4.5703125" customWidth="1"/>
    <col min="2814" max="2814" width="43.140625" customWidth="1"/>
    <col min="2815" max="2818" width="12.7109375" customWidth="1"/>
    <col min="2819" max="2819" width="22.42578125" bestFit="1" customWidth="1"/>
    <col min="2820" max="2823" width="12.7109375" customWidth="1"/>
    <col min="2824" max="2824" width="15.5703125" bestFit="1" customWidth="1"/>
    <col min="2825" max="2825" width="23.28515625" bestFit="1" customWidth="1"/>
    <col min="2826" max="2826" width="15.85546875" bestFit="1" customWidth="1"/>
    <col min="2827" max="2827" width="15.5703125" bestFit="1" customWidth="1"/>
    <col min="2828" max="2828" width="7.28515625" bestFit="1" customWidth="1"/>
    <col min="3068" max="3068" width="11" bestFit="1" customWidth="1"/>
    <col min="3069" max="3069" width="4.5703125" customWidth="1"/>
    <col min="3070" max="3070" width="43.140625" customWidth="1"/>
    <col min="3071" max="3074" width="12.7109375" customWidth="1"/>
    <col min="3075" max="3075" width="22.42578125" bestFit="1" customWidth="1"/>
    <col min="3076" max="3079" width="12.7109375" customWidth="1"/>
    <col min="3080" max="3080" width="15.5703125" bestFit="1" customWidth="1"/>
    <col min="3081" max="3081" width="23.28515625" bestFit="1" customWidth="1"/>
    <col min="3082" max="3082" width="15.85546875" bestFit="1" customWidth="1"/>
    <col min="3083" max="3083" width="15.5703125" bestFit="1" customWidth="1"/>
    <col min="3084" max="3084" width="7.28515625" bestFit="1" customWidth="1"/>
    <col min="3324" max="3324" width="11" bestFit="1" customWidth="1"/>
    <col min="3325" max="3325" width="4.5703125" customWidth="1"/>
    <col min="3326" max="3326" width="43.140625" customWidth="1"/>
    <col min="3327" max="3330" width="12.7109375" customWidth="1"/>
    <col min="3331" max="3331" width="22.42578125" bestFit="1" customWidth="1"/>
    <col min="3332" max="3335" width="12.7109375" customWidth="1"/>
    <col min="3336" max="3336" width="15.5703125" bestFit="1" customWidth="1"/>
    <col min="3337" max="3337" width="23.28515625" bestFit="1" customWidth="1"/>
    <col min="3338" max="3338" width="15.85546875" bestFit="1" customWidth="1"/>
    <col min="3339" max="3339" width="15.5703125" bestFit="1" customWidth="1"/>
    <col min="3340" max="3340" width="7.28515625" bestFit="1" customWidth="1"/>
    <col min="3580" max="3580" width="11" bestFit="1" customWidth="1"/>
    <col min="3581" max="3581" width="4.5703125" customWidth="1"/>
    <col min="3582" max="3582" width="43.140625" customWidth="1"/>
    <col min="3583" max="3586" width="12.7109375" customWidth="1"/>
    <col min="3587" max="3587" width="22.42578125" bestFit="1" customWidth="1"/>
    <col min="3588" max="3591" width="12.7109375" customWidth="1"/>
    <col min="3592" max="3592" width="15.5703125" bestFit="1" customWidth="1"/>
    <col min="3593" max="3593" width="23.28515625" bestFit="1" customWidth="1"/>
    <col min="3594" max="3594" width="15.85546875" bestFit="1" customWidth="1"/>
    <col min="3595" max="3595" width="15.5703125" bestFit="1" customWidth="1"/>
    <col min="3596" max="3596" width="7.28515625" bestFit="1" customWidth="1"/>
    <col min="3836" max="3836" width="11" bestFit="1" customWidth="1"/>
    <col min="3837" max="3837" width="4.5703125" customWidth="1"/>
    <col min="3838" max="3838" width="43.140625" customWidth="1"/>
    <col min="3839" max="3842" width="12.7109375" customWidth="1"/>
    <col min="3843" max="3843" width="22.42578125" bestFit="1" customWidth="1"/>
    <col min="3844" max="3847" width="12.7109375" customWidth="1"/>
    <col min="3848" max="3848" width="15.5703125" bestFit="1" customWidth="1"/>
    <col min="3849" max="3849" width="23.28515625" bestFit="1" customWidth="1"/>
    <col min="3850" max="3850" width="15.85546875" bestFit="1" customWidth="1"/>
    <col min="3851" max="3851" width="15.5703125" bestFit="1" customWidth="1"/>
    <col min="3852" max="3852" width="7.28515625" bestFit="1" customWidth="1"/>
    <col min="4092" max="4092" width="11" bestFit="1" customWidth="1"/>
    <col min="4093" max="4093" width="4.5703125" customWidth="1"/>
    <col min="4094" max="4094" width="43.140625" customWidth="1"/>
    <col min="4095" max="4098" width="12.7109375" customWidth="1"/>
    <col min="4099" max="4099" width="22.42578125" bestFit="1" customWidth="1"/>
    <col min="4100" max="4103" width="12.7109375" customWidth="1"/>
    <col min="4104" max="4104" width="15.5703125" bestFit="1" customWidth="1"/>
    <col min="4105" max="4105" width="23.28515625" bestFit="1" customWidth="1"/>
    <col min="4106" max="4106" width="15.85546875" bestFit="1" customWidth="1"/>
    <col min="4107" max="4107" width="15.5703125" bestFit="1" customWidth="1"/>
    <col min="4108" max="4108" width="7.28515625" bestFit="1" customWidth="1"/>
    <col min="4348" max="4348" width="11" bestFit="1" customWidth="1"/>
    <col min="4349" max="4349" width="4.5703125" customWidth="1"/>
    <col min="4350" max="4350" width="43.140625" customWidth="1"/>
    <col min="4351" max="4354" width="12.7109375" customWidth="1"/>
    <col min="4355" max="4355" width="22.42578125" bestFit="1" customWidth="1"/>
    <col min="4356" max="4359" width="12.7109375" customWidth="1"/>
    <col min="4360" max="4360" width="15.5703125" bestFit="1" customWidth="1"/>
    <col min="4361" max="4361" width="23.28515625" bestFit="1" customWidth="1"/>
    <col min="4362" max="4362" width="15.85546875" bestFit="1" customWidth="1"/>
    <col min="4363" max="4363" width="15.5703125" bestFit="1" customWidth="1"/>
    <col min="4364" max="4364" width="7.28515625" bestFit="1" customWidth="1"/>
    <col min="4604" max="4604" width="11" bestFit="1" customWidth="1"/>
    <col min="4605" max="4605" width="4.5703125" customWidth="1"/>
    <col min="4606" max="4606" width="43.140625" customWidth="1"/>
    <col min="4607" max="4610" width="12.7109375" customWidth="1"/>
    <col min="4611" max="4611" width="22.42578125" bestFit="1" customWidth="1"/>
    <col min="4612" max="4615" width="12.7109375" customWidth="1"/>
    <col min="4616" max="4616" width="15.5703125" bestFit="1" customWidth="1"/>
    <col min="4617" max="4617" width="23.28515625" bestFit="1" customWidth="1"/>
    <col min="4618" max="4618" width="15.85546875" bestFit="1" customWidth="1"/>
    <col min="4619" max="4619" width="15.5703125" bestFit="1" customWidth="1"/>
    <col min="4620" max="4620" width="7.28515625" bestFit="1" customWidth="1"/>
    <col min="4860" max="4860" width="11" bestFit="1" customWidth="1"/>
    <col min="4861" max="4861" width="4.5703125" customWidth="1"/>
    <col min="4862" max="4862" width="43.140625" customWidth="1"/>
    <col min="4863" max="4866" width="12.7109375" customWidth="1"/>
    <col min="4867" max="4867" width="22.42578125" bestFit="1" customWidth="1"/>
    <col min="4868" max="4871" width="12.7109375" customWidth="1"/>
    <col min="4872" max="4872" width="15.5703125" bestFit="1" customWidth="1"/>
    <col min="4873" max="4873" width="23.28515625" bestFit="1" customWidth="1"/>
    <col min="4874" max="4874" width="15.85546875" bestFit="1" customWidth="1"/>
    <col min="4875" max="4875" width="15.5703125" bestFit="1" customWidth="1"/>
    <col min="4876" max="4876" width="7.28515625" bestFit="1" customWidth="1"/>
    <col min="5116" max="5116" width="11" bestFit="1" customWidth="1"/>
    <col min="5117" max="5117" width="4.5703125" customWidth="1"/>
    <col min="5118" max="5118" width="43.140625" customWidth="1"/>
    <col min="5119" max="5122" width="12.7109375" customWidth="1"/>
    <col min="5123" max="5123" width="22.42578125" bestFit="1" customWidth="1"/>
    <col min="5124" max="5127" width="12.7109375" customWidth="1"/>
    <col min="5128" max="5128" width="15.5703125" bestFit="1" customWidth="1"/>
    <col min="5129" max="5129" width="23.28515625" bestFit="1" customWidth="1"/>
    <col min="5130" max="5130" width="15.85546875" bestFit="1" customWidth="1"/>
    <col min="5131" max="5131" width="15.5703125" bestFit="1" customWidth="1"/>
    <col min="5132" max="5132" width="7.28515625" bestFit="1" customWidth="1"/>
    <col min="5372" max="5372" width="11" bestFit="1" customWidth="1"/>
    <col min="5373" max="5373" width="4.5703125" customWidth="1"/>
    <col min="5374" max="5374" width="43.140625" customWidth="1"/>
    <col min="5375" max="5378" width="12.7109375" customWidth="1"/>
    <col min="5379" max="5379" width="22.42578125" bestFit="1" customWidth="1"/>
    <col min="5380" max="5383" width="12.7109375" customWidth="1"/>
    <col min="5384" max="5384" width="15.5703125" bestFit="1" customWidth="1"/>
    <col min="5385" max="5385" width="23.28515625" bestFit="1" customWidth="1"/>
    <col min="5386" max="5386" width="15.85546875" bestFit="1" customWidth="1"/>
    <col min="5387" max="5387" width="15.5703125" bestFit="1" customWidth="1"/>
    <col min="5388" max="5388" width="7.28515625" bestFit="1" customWidth="1"/>
    <col min="5628" max="5628" width="11" bestFit="1" customWidth="1"/>
    <col min="5629" max="5629" width="4.5703125" customWidth="1"/>
    <col min="5630" max="5630" width="43.140625" customWidth="1"/>
    <col min="5631" max="5634" width="12.7109375" customWidth="1"/>
    <col min="5635" max="5635" width="22.42578125" bestFit="1" customWidth="1"/>
    <col min="5636" max="5639" width="12.7109375" customWidth="1"/>
    <col min="5640" max="5640" width="15.5703125" bestFit="1" customWidth="1"/>
    <col min="5641" max="5641" width="23.28515625" bestFit="1" customWidth="1"/>
    <col min="5642" max="5642" width="15.85546875" bestFit="1" customWidth="1"/>
    <col min="5643" max="5643" width="15.5703125" bestFit="1" customWidth="1"/>
    <col min="5644" max="5644" width="7.28515625" bestFit="1" customWidth="1"/>
    <col min="5884" max="5884" width="11" bestFit="1" customWidth="1"/>
    <col min="5885" max="5885" width="4.5703125" customWidth="1"/>
    <col min="5886" max="5886" width="43.140625" customWidth="1"/>
    <col min="5887" max="5890" width="12.7109375" customWidth="1"/>
    <col min="5891" max="5891" width="22.42578125" bestFit="1" customWidth="1"/>
    <col min="5892" max="5895" width="12.7109375" customWidth="1"/>
    <col min="5896" max="5896" width="15.5703125" bestFit="1" customWidth="1"/>
    <col min="5897" max="5897" width="23.28515625" bestFit="1" customWidth="1"/>
    <col min="5898" max="5898" width="15.85546875" bestFit="1" customWidth="1"/>
    <col min="5899" max="5899" width="15.5703125" bestFit="1" customWidth="1"/>
    <col min="5900" max="5900" width="7.28515625" bestFit="1" customWidth="1"/>
    <col min="6140" max="6140" width="11" bestFit="1" customWidth="1"/>
    <col min="6141" max="6141" width="4.5703125" customWidth="1"/>
    <col min="6142" max="6142" width="43.140625" customWidth="1"/>
    <col min="6143" max="6146" width="12.7109375" customWidth="1"/>
    <col min="6147" max="6147" width="22.42578125" bestFit="1" customWidth="1"/>
    <col min="6148" max="6151" width="12.7109375" customWidth="1"/>
    <col min="6152" max="6152" width="15.5703125" bestFit="1" customWidth="1"/>
    <col min="6153" max="6153" width="23.28515625" bestFit="1" customWidth="1"/>
    <col min="6154" max="6154" width="15.85546875" bestFit="1" customWidth="1"/>
    <col min="6155" max="6155" width="15.5703125" bestFit="1" customWidth="1"/>
    <col min="6156" max="6156" width="7.28515625" bestFit="1" customWidth="1"/>
    <col min="6396" max="6396" width="11" bestFit="1" customWidth="1"/>
    <col min="6397" max="6397" width="4.5703125" customWidth="1"/>
    <col min="6398" max="6398" width="43.140625" customWidth="1"/>
    <col min="6399" max="6402" width="12.7109375" customWidth="1"/>
    <col min="6403" max="6403" width="22.42578125" bestFit="1" customWidth="1"/>
    <col min="6404" max="6407" width="12.7109375" customWidth="1"/>
    <col min="6408" max="6408" width="15.5703125" bestFit="1" customWidth="1"/>
    <col min="6409" max="6409" width="23.28515625" bestFit="1" customWidth="1"/>
    <col min="6410" max="6410" width="15.85546875" bestFit="1" customWidth="1"/>
    <col min="6411" max="6411" width="15.5703125" bestFit="1" customWidth="1"/>
    <col min="6412" max="6412" width="7.28515625" bestFit="1" customWidth="1"/>
    <col min="6652" max="6652" width="11" bestFit="1" customWidth="1"/>
    <col min="6653" max="6653" width="4.5703125" customWidth="1"/>
    <col min="6654" max="6654" width="43.140625" customWidth="1"/>
    <col min="6655" max="6658" width="12.7109375" customWidth="1"/>
    <col min="6659" max="6659" width="22.42578125" bestFit="1" customWidth="1"/>
    <col min="6660" max="6663" width="12.7109375" customWidth="1"/>
    <col min="6664" max="6664" width="15.5703125" bestFit="1" customWidth="1"/>
    <col min="6665" max="6665" width="23.28515625" bestFit="1" customWidth="1"/>
    <col min="6666" max="6666" width="15.85546875" bestFit="1" customWidth="1"/>
    <col min="6667" max="6667" width="15.5703125" bestFit="1" customWidth="1"/>
    <col min="6668" max="6668" width="7.28515625" bestFit="1" customWidth="1"/>
    <col min="6908" max="6908" width="11" bestFit="1" customWidth="1"/>
    <col min="6909" max="6909" width="4.5703125" customWidth="1"/>
    <col min="6910" max="6910" width="43.140625" customWidth="1"/>
    <col min="6911" max="6914" width="12.7109375" customWidth="1"/>
    <col min="6915" max="6915" width="22.42578125" bestFit="1" customWidth="1"/>
    <col min="6916" max="6919" width="12.7109375" customWidth="1"/>
    <col min="6920" max="6920" width="15.5703125" bestFit="1" customWidth="1"/>
    <col min="6921" max="6921" width="23.28515625" bestFit="1" customWidth="1"/>
    <col min="6922" max="6922" width="15.85546875" bestFit="1" customWidth="1"/>
    <col min="6923" max="6923" width="15.5703125" bestFit="1" customWidth="1"/>
    <col min="6924" max="6924" width="7.28515625" bestFit="1" customWidth="1"/>
    <col min="7164" max="7164" width="11" bestFit="1" customWidth="1"/>
    <col min="7165" max="7165" width="4.5703125" customWidth="1"/>
    <col min="7166" max="7166" width="43.140625" customWidth="1"/>
    <col min="7167" max="7170" width="12.7109375" customWidth="1"/>
    <col min="7171" max="7171" width="22.42578125" bestFit="1" customWidth="1"/>
    <col min="7172" max="7175" width="12.7109375" customWidth="1"/>
    <col min="7176" max="7176" width="15.5703125" bestFit="1" customWidth="1"/>
    <col min="7177" max="7177" width="23.28515625" bestFit="1" customWidth="1"/>
    <col min="7178" max="7178" width="15.85546875" bestFit="1" customWidth="1"/>
    <col min="7179" max="7179" width="15.5703125" bestFit="1" customWidth="1"/>
    <col min="7180" max="7180" width="7.28515625" bestFit="1" customWidth="1"/>
    <col min="7420" max="7420" width="11" bestFit="1" customWidth="1"/>
    <col min="7421" max="7421" width="4.5703125" customWidth="1"/>
    <col min="7422" max="7422" width="43.140625" customWidth="1"/>
    <col min="7423" max="7426" width="12.7109375" customWidth="1"/>
    <col min="7427" max="7427" width="22.42578125" bestFit="1" customWidth="1"/>
    <col min="7428" max="7431" width="12.7109375" customWidth="1"/>
    <col min="7432" max="7432" width="15.5703125" bestFit="1" customWidth="1"/>
    <col min="7433" max="7433" width="23.28515625" bestFit="1" customWidth="1"/>
    <col min="7434" max="7434" width="15.85546875" bestFit="1" customWidth="1"/>
    <col min="7435" max="7435" width="15.5703125" bestFit="1" customWidth="1"/>
    <col min="7436" max="7436" width="7.28515625" bestFit="1" customWidth="1"/>
    <col min="7676" max="7676" width="11" bestFit="1" customWidth="1"/>
    <col min="7677" max="7677" width="4.5703125" customWidth="1"/>
    <col min="7678" max="7678" width="43.140625" customWidth="1"/>
    <col min="7679" max="7682" width="12.7109375" customWidth="1"/>
    <col min="7683" max="7683" width="22.42578125" bestFit="1" customWidth="1"/>
    <col min="7684" max="7687" width="12.7109375" customWidth="1"/>
    <col min="7688" max="7688" width="15.5703125" bestFit="1" customWidth="1"/>
    <col min="7689" max="7689" width="23.28515625" bestFit="1" customWidth="1"/>
    <col min="7690" max="7690" width="15.85546875" bestFit="1" customWidth="1"/>
    <col min="7691" max="7691" width="15.5703125" bestFit="1" customWidth="1"/>
    <col min="7692" max="7692" width="7.28515625" bestFit="1" customWidth="1"/>
    <col min="7932" max="7932" width="11" bestFit="1" customWidth="1"/>
    <col min="7933" max="7933" width="4.5703125" customWidth="1"/>
    <col min="7934" max="7934" width="43.140625" customWidth="1"/>
    <col min="7935" max="7938" width="12.7109375" customWidth="1"/>
    <col min="7939" max="7939" width="22.42578125" bestFit="1" customWidth="1"/>
    <col min="7940" max="7943" width="12.7109375" customWidth="1"/>
    <col min="7944" max="7944" width="15.5703125" bestFit="1" customWidth="1"/>
    <col min="7945" max="7945" width="23.28515625" bestFit="1" customWidth="1"/>
    <col min="7946" max="7946" width="15.85546875" bestFit="1" customWidth="1"/>
    <col min="7947" max="7947" width="15.5703125" bestFit="1" customWidth="1"/>
    <col min="7948" max="7948" width="7.28515625" bestFit="1" customWidth="1"/>
    <col min="8188" max="8188" width="11" bestFit="1" customWidth="1"/>
    <col min="8189" max="8189" width="4.5703125" customWidth="1"/>
    <col min="8190" max="8190" width="43.140625" customWidth="1"/>
    <col min="8191" max="8194" width="12.7109375" customWidth="1"/>
    <col min="8195" max="8195" width="22.42578125" bestFit="1" customWidth="1"/>
    <col min="8196" max="8199" width="12.7109375" customWidth="1"/>
    <col min="8200" max="8200" width="15.5703125" bestFit="1" customWidth="1"/>
    <col min="8201" max="8201" width="23.28515625" bestFit="1" customWidth="1"/>
    <col min="8202" max="8202" width="15.85546875" bestFit="1" customWidth="1"/>
    <col min="8203" max="8203" width="15.5703125" bestFit="1" customWidth="1"/>
    <col min="8204" max="8204" width="7.28515625" bestFit="1" customWidth="1"/>
    <col min="8444" max="8444" width="11" bestFit="1" customWidth="1"/>
    <col min="8445" max="8445" width="4.5703125" customWidth="1"/>
    <col min="8446" max="8446" width="43.140625" customWidth="1"/>
    <col min="8447" max="8450" width="12.7109375" customWidth="1"/>
    <col min="8451" max="8451" width="22.42578125" bestFit="1" customWidth="1"/>
    <col min="8452" max="8455" width="12.7109375" customWidth="1"/>
    <col min="8456" max="8456" width="15.5703125" bestFit="1" customWidth="1"/>
    <col min="8457" max="8457" width="23.28515625" bestFit="1" customWidth="1"/>
    <col min="8458" max="8458" width="15.85546875" bestFit="1" customWidth="1"/>
    <col min="8459" max="8459" width="15.5703125" bestFit="1" customWidth="1"/>
    <col min="8460" max="8460" width="7.28515625" bestFit="1" customWidth="1"/>
    <col min="8700" max="8700" width="11" bestFit="1" customWidth="1"/>
    <col min="8701" max="8701" width="4.5703125" customWidth="1"/>
    <col min="8702" max="8702" width="43.140625" customWidth="1"/>
    <col min="8703" max="8706" width="12.7109375" customWidth="1"/>
    <col min="8707" max="8707" width="22.42578125" bestFit="1" customWidth="1"/>
    <col min="8708" max="8711" width="12.7109375" customWidth="1"/>
    <col min="8712" max="8712" width="15.5703125" bestFit="1" customWidth="1"/>
    <col min="8713" max="8713" width="23.28515625" bestFit="1" customWidth="1"/>
    <col min="8714" max="8714" width="15.85546875" bestFit="1" customWidth="1"/>
    <col min="8715" max="8715" width="15.5703125" bestFit="1" customWidth="1"/>
    <col min="8716" max="8716" width="7.28515625" bestFit="1" customWidth="1"/>
    <col min="8956" max="8956" width="11" bestFit="1" customWidth="1"/>
    <col min="8957" max="8957" width="4.5703125" customWidth="1"/>
    <col min="8958" max="8958" width="43.140625" customWidth="1"/>
    <col min="8959" max="8962" width="12.7109375" customWidth="1"/>
    <col min="8963" max="8963" width="22.42578125" bestFit="1" customWidth="1"/>
    <col min="8964" max="8967" width="12.7109375" customWidth="1"/>
    <col min="8968" max="8968" width="15.5703125" bestFit="1" customWidth="1"/>
    <col min="8969" max="8969" width="23.28515625" bestFit="1" customWidth="1"/>
    <col min="8970" max="8970" width="15.85546875" bestFit="1" customWidth="1"/>
    <col min="8971" max="8971" width="15.5703125" bestFit="1" customWidth="1"/>
    <col min="8972" max="8972" width="7.28515625" bestFit="1" customWidth="1"/>
    <col min="9212" max="9212" width="11" bestFit="1" customWidth="1"/>
    <col min="9213" max="9213" width="4.5703125" customWidth="1"/>
    <col min="9214" max="9214" width="43.140625" customWidth="1"/>
    <col min="9215" max="9218" width="12.7109375" customWidth="1"/>
    <col min="9219" max="9219" width="22.42578125" bestFit="1" customWidth="1"/>
    <col min="9220" max="9223" width="12.7109375" customWidth="1"/>
    <col min="9224" max="9224" width="15.5703125" bestFit="1" customWidth="1"/>
    <col min="9225" max="9225" width="23.28515625" bestFit="1" customWidth="1"/>
    <col min="9226" max="9226" width="15.85546875" bestFit="1" customWidth="1"/>
    <col min="9227" max="9227" width="15.5703125" bestFit="1" customWidth="1"/>
    <col min="9228" max="9228" width="7.28515625" bestFit="1" customWidth="1"/>
    <col min="9468" max="9468" width="11" bestFit="1" customWidth="1"/>
    <col min="9469" max="9469" width="4.5703125" customWidth="1"/>
    <col min="9470" max="9470" width="43.140625" customWidth="1"/>
    <col min="9471" max="9474" width="12.7109375" customWidth="1"/>
    <col min="9475" max="9475" width="22.42578125" bestFit="1" customWidth="1"/>
    <col min="9476" max="9479" width="12.7109375" customWidth="1"/>
    <col min="9480" max="9480" width="15.5703125" bestFit="1" customWidth="1"/>
    <col min="9481" max="9481" width="23.28515625" bestFit="1" customWidth="1"/>
    <col min="9482" max="9482" width="15.85546875" bestFit="1" customWidth="1"/>
    <col min="9483" max="9483" width="15.5703125" bestFit="1" customWidth="1"/>
    <col min="9484" max="9484" width="7.28515625" bestFit="1" customWidth="1"/>
    <col min="9724" max="9724" width="11" bestFit="1" customWidth="1"/>
    <col min="9725" max="9725" width="4.5703125" customWidth="1"/>
    <col min="9726" max="9726" width="43.140625" customWidth="1"/>
    <col min="9727" max="9730" width="12.7109375" customWidth="1"/>
    <col min="9731" max="9731" width="22.42578125" bestFit="1" customWidth="1"/>
    <col min="9732" max="9735" width="12.7109375" customWidth="1"/>
    <col min="9736" max="9736" width="15.5703125" bestFit="1" customWidth="1"/>
    <col min="9737" max="9737" width="23.28515625" bestFit="1" customWidth="1"/>
    <col min="9738" max="9738" width="15.85546875" bestFit="1" customWidth="1"/>
    <col min="9739" max="9739" width="15.5703125" bestFit="1" customWidth="1"/>
    <col min="9740" max="9740" width="7.28515625" bestFit="1" customWidth="1"/>
    <col min="9980" max="9980" width="11" bestFit="1" customWidth="1"/>
    <col min="9981" max="9981" width="4.5703125" customWidth="1"/>
    <col min="9982" max="9982" width="43.140625" customWidth="1"/>
    <col min="9983" max="9986" width="12.7109375" customWidth="1"/>
    <col min="9987" max="9987" width="22.42578125" bestFit="1" customWidth="1"/>
    <col min="9988" max="9991" width="12.7109375" customWidth="1"/>
    <col min="9992" max="9992" width="15.5703125" bestFit="1" customWidth="1"/>
    <col min="9993" max="9993" width="23.28515625" bestFit="1" customWidth="1"/>
    <col min="9994" max="9994" width="15.85546875" bestFit="1" customWidth="1"/>
    <col min="9995" max="9995" width="15.5703125" bestFit="1" customWidth="1"/>
    <col min="9996" max="9996" width="7.28515625" bestFit="1" customWidth="1"/>
    <col min="10236" max="10236" width="11" bestFit="1" customWidth="1"/>
    <col min="10237" max="10237" width="4.5703125" customWidth="1"/>
    <col min="10238" max="10238" width="43.140625" customWidth="1"/>
    <col min="10239" max="10242" width="12.7109375" customWidth="1"/>
    <col min="10243" max="10243" width="22.42578125" bestFit="1" customWidth="1"/>
    <col min="10244" max="10247" width="12.7109375" customWidth="1"/>
    <col min="10248" max="10248" width="15.5703125" bestFit="1" customWidth="1"/>
    <col min="10249" max="10249" width="23.28515625" bestFit="1" customWidth="1"/>
    <col min="10250" max="10250" width="15.85546875" bestFit="1" customWidth="1"/>
    <col min="10251" max="10251" width="15.5703125" bestFit="1" customWidth="1"/>
    <col min="10252" max="10252" width="7.28515625" bestFit="1" customWidth="1"/>
    <col min="10492" max="10492" width="11" bestFit="1" customWidth="1"/>
    <col min="10493" max="10493" width="4.5703125" customWidth="1"/>
    <col min="10494" max="10494" width="43.140625" customWidth="1"/>
    <col min="10495" max="10498" width="12.7109375" customWidth="1"/>
    <col min="10499" max="10499" width="22.42578125" bestFit="1" customWidth="1"/>
    <col min="10500" max="10503" width="12.7109375" customWidth="1"/>
    <col min="10504" max="10504" width="15.5703125" bestFit="1" customWidth="1"/>
    <col min="10505" max="10505" width="23.28515625" bestFit="1" customWidth="1"/>
    <col min="10506" max="10506" width="15.85546875" bestFit="1" customWidth="1"/>
    <col min="10507" max="10507" width="15.5703125" bestFit="1" customWidth="1"/>
    <col min="10508" max="10508" width="7.28515625" bestFit="1" customWidth="1"/>
    <col min="10748" max="10748" width="11" bestFit="1" customWidth="1"/>
    <col min="10749" max="10749" width="4.5703125" customWidth="1"/>
    <col min="10750" max="10750" width="43.140625" customWidth="1"/>
    <col min="10751" max="10754" width="12.7109375" customWidth="1"/>
    <col min="10755" max="10755" width="22.42578125" bestFit="1" customWidth="1"/>
    <col min="10756" max="10759" width="12.7109375" customWidth="1"/>
    <col min="10760" max="10760" width="15.5703125" bestFit="1" customWidth="1"/>
    <col min="10761" max="10761" width="23.28515625" bestFit="1" customWidth="1"/>
    <col min="10762" max="10762" width="15.85546875" bestFit="1" customWidth="1"/>
    <col min="10763" max="10763" width="15.5703125" bestFit="1" customWidth="1"/>
    <col min="10764" max="10764" width="7.28515625" bestFit="1" customWidth="1"/>
    <col min="11004" max="11004" width="11" bestFit="1" customWidth="1"/>
    <col min="11005" max="11005" width="4.5703125" customWidth="1"/>
    <col min="11006" max="11006" width="43.140625" customWidth="1"/>
    <col min="11007" max="11010" width="12.7109375" customWidth="1"/>
    <col min="11011" max="11011" width="22.42578125" bestFit="1" customWidth="1"/>
    <col min="11012" max="11015" width="12.7109375" customWidth="1"/>
    <col min="11016" max="11016" width="15.5703125" bestFit="1" customWidth="1"/>
    <col min="11017" max="11017" width="23.28515625" bestFit="1" customWidth="1"/>
    <col min="11018" max="11018" width="15.85546875" bestFit="1" customWidth="1"/>
    <col min="11019" max="11019" width="15.5703125" bestFit="1" customWidth="1"/>
    <col min="11020" max="11020" width="7.28515625" bestFit="1" customWidth="1"/>
    <col min="11260" max="11260" width="11" bestFit="1" customWidth="1"/>
    <col min="11261" max="11261" width="4.5703125" customWidth="1"/>
    <col min="11262" max="11262" width="43.140625" customWidth="1"/>
    <col min="11263" max="11266" width="12.7109375" customWidth="1"/>
    <col min="11267" max="11267" width="22.42578125" bestFit="1" customWidth="1"/>
    <col min="11268" max="11271" width="12.7109375" customWidth="1"/>
    <col min="11272" max="11272" width="15.5703125" bestFit="1" customWidth="1"/>
    <col min="11273" max="11273" width="23.28515625" bestFit="1" customWidth="1"/>
    <col min="11274" max="11274" width="15.85546875" bestFit="1" customWidth="1"/>
    <col min="11275" max="11275" width="15.5703125" bestFit="1" customWidth="1"/>
    <col min="11276" max="11276" width="7.28515625" bestFit="1" customWidth="1"/>
    <col min="11516" max="11516" width="11" bestFit="1" customWidth="1"/>
    <col min="11517" max="11517" width="4.5703125" customWidth="1"/>
    <col min="11518" max="11518" width="43.140625" customWidth="1"/>
    <col min="11519" max="11522" width="12.7109375" customWidth="1"/>
    <col min="11523" max="11523" width="22.42578125" bestFit="1" customWidth="1"/>
    <col min="11524" max="11527" width="12.7109375" customWidth="1"/>
    <col min="11528" max="11528" width="15.5703125" bestFit="1" customWidth="1"/>
    <col min="11529" max="11529" width="23.28515625" bestFit="1" customWidth="1"/>
    <col min="11530" max="11530" width="15.85546875" bestFit="1" customWidth="1"/>
    <col min="11531" max="11531" width="15.5703125" bestFit="1" customWidth="1"/>
    <col min="11532" max="11532" width="7.28515625" bestFit="1" customWidth="1"/>
    <col min="11772" max="11772" width="11" bestFit="1" customWidth="1"/>
    <col min="11773" max="11773" width="4.5703125" customWidth="1"/>
    <col min="11774" max="11774" width="43.140625" customWidth="1"/>
    <col min="11775" max="11778" width="12.7109375" customWidth="1"/>
    <col min="11779" max="11779" width="22.42578125" bestFit="1" customWidth="1"/>
    <col min="11780" max="11783" width="12.7109375" customWidth="1"/>
    <col min="11784" max="11784" width="15.5703125" bestFit="1" customWidth="1"/>
    <col min="11785" max="11785" width="23.28515625" bestFit="1" customWidth="1"/>
    <col min="11786" max="11786" width="15.85546875" bestFit="1" customWidth="1"/>
    <col min="11787" max="11787" width="15.5703125" bestFit="1" customWidth="1"/>
    <col min="11788" max="11788" width="7.28515625" bestFit="1" customWidth="1"/>
    <col min="12028" max="12028" width="11" bestFit="1" customWidth="1"/>
    <col min="12029" max="12029" width="4.5703125" customWidth="1"/>
    <col min="12030" max="12030" width="43.140625" customWidth="1"/>
    <col min="12031" max="12034" width="12.7109375" customWidth="1"/>
    <col min="12035" max="12035" width="22.42578125" bestFit="1" customWidth="1"/>
    <col min="12036" max="12039" width="12.7109375" customWidth="1"/>
    <col min="12040" max="12040" width="15.5703125" bestFit="1" customWidth="1"/>
    <col min="12041" max="12041" width="23.28515625" bestFit="1" customWidth="1"/>
    <col min="12042" max="12042" width="15.85546875" bestFit="1" customWidth="1"/>
    <col min="12043" max="12043" width="15.5703125" bestFit="1" customWidth="1"/>
    <col min="12044" max="12044" width="7.28515625" bestFit="1" customWidth="1"/>
    <col min="12284" max="12284" width="11" bestFit="1" customWidth="1"/>
    <col min="12285" max="12285" width="4.5703125" customWidth="1"/>
    <col min="12286" max="12286" width="43.140625" customWidth="1"/>
    <col min="12287" max="12290" width="12.7109375" customWidth="1"/>
    <col min="12291" max="12291" width="22.42578125" bestFit="1" customWidth="1"/>
    <col min="12292" max="12295" width="12.7109375" customWidth="1"/>
    <col min="12296" max="12296" width="15.5703125" bestFit="1" customWidth="1"/>
    <col min="12297" max="12297" width="23.28515625" bestFit="1" customWidth="1"/>
    <col min="12298" max="12298" width="15.85546875" bestFit="1" customWidth="1"/>
    <col min="12299" max="12299" width="15.5703125" bestFit="1" customWidth="1"/>
    <col min="12300" max="12300" width="7.28515625" bestFit="1" customWidth="1"/>
    <col min="12540" max="12540" width="11" bestFit="1" customWidth="1"/>
    <col min="12541" max="12541" width="4.5703125" customWidth="1"/>
    <col min="12542" max="12542" width="43.140625" customWidth="1"/>
    <col min="12543" max="12546" width="12.7109375" customWidth="1"/>
    <col min="12547" max="12547" width="22.42578125" bestFit="1" customWidth="1"/>
    <col min="12548" max="12551" width="12.7109375" customWidth="1"/>
    <col min="12552" max="12552" width="15.5703125" bestFit="1" customWidth="1"/>
    <col min="12553" max="12553" width="23.28515625" bestFit="1" customWidth="1"/>
    <col min="12554" max="12554" width="15.85546875" bestFit="1" customWidth="1"/>
    <col min="12555" max="12555" width="15.5703125" bestFit="1" customWidth="1"/>
    <col min="12556" max="12556" width="7.28515625" bestFit="1" customWidth="1"/>
    <col min="12796" max="12796" width="11" bestFit="1" customWidth="1"/>
    <col min="12797" max="12797" width="4.5703125" customWidth="1"/>
    <col min="12798" max="12798" width="43.140625" customWidth="1"/>
    <col min="12799" max="12802" width="12.7109375" customWidth="1"/>
    <col min="12803" max="12803" width="22.42578125" bestFit="1" customWidth="1"/>
    <col min="12804" max="12807" width="12.7109375" customWidth="1"/>
    <col min="12808" max="12808" width="15.5703125" bestFit="1" customWidth="1"/>
    <col min="12809" max="12809" width="23.28515625" bestFit="1" customWidth="1"/>
    <col min="12810" max="12810" width="15.85546875" bestFit="1" customWidth="1"/>
    <col min="12811" max="12811" width="15.5703125" bestFit="1" customWidth="1"/>
    <col min="12812" max="12812" width="7.28515625" bestFit="1" customWidth="1"/>
    <col min="13052" max="13052" width="11" bestFit="1" customWidth="1"/>
    <col min="13053" max="13053" width="4.5703125" customWidth="1"/>
    <col min="13054" max="13054" width="43.140625" customWidth="1"/>
    <col min="13055" max="13058" width="12.7109375" customWidth="1"/>
    <col min="13059" max="13059" width="22.42578125" bestFit="1" customWidth="1"/>
    <col min="13060" max="13063" width="12.7109375" customWidth="1"/>
    <col min="13064" max="13064" width="15.5703125" bestFit="1" customWidth="1"/>
    <col min="13065" max="13065" width="23.28515625" bestFit="1" customWidth="1"/>
    <col min="13066" max="13066" width="15.85546875" bestFit="1" customWidth="1"/>
    <col min="13067" max="13067" width="15.5703125" bestFit="1" customWidth="1"/>
    <col min="13068" max="13068" width="7.28515625" bestFit="1" customWidth="1"/>
    <col min="13308" max="13308" width="11" bestFit="1" customWidth="1"/>
    <col min="13309" max="13309" width="4.5703125" customWidth="1"/>
    <col min="13310" max="13310" width="43.140625" customWidth="1"/>
    <col min="13311" max="13314" width="12.7109375" customWidth="1"/>
    <col min="13315" max="13315" width="22.42578125" bestFit="1" customWidth="1"/>
    <col min="13316" max="13319" width="12.7109375" customWidth="1"/>
    <col min="13320" max="13320" width="15.5703125" bestFit="1" customWidth="1"/>
    <col min="13321" max="13321" width="23.28515625" bestFit="1" customWidth="1"/>
    <col min="13322" max="13322" width="15.85546875" bestFit="1" customWidth="1"/>
    <col min="13323" max="13323" width="15.5703125" bestFit="1" customWidth="1"/>
    <col min="13324" max="13324" width="7.28515625" bestFit="1" customWidth="1"/>
    <col min="13564" max="13564" width="11" bestFit="1" customWidth="1"/>
    <col min="13565" max="13565" width="4.5703125" customWidth="1"/>
    <col min="13566" max="13566" width="43.140625" customWidth="1"/>
    <col min="13567" max="13570" width="12.7109375" customWidth="1"/>
    <col min="13571" max="13571" width="22.42578125" bestFit="1" customWidth="1"/>
    <col min="13572" max="13575" width="12.7109375" customWidth="1"/>
    <col min="13576" max="13576" width="15.5703125" bestFit="1" customWidth="1"/>
    <col min="13577" max="13577" width="23.28515625" bestFit="1" customWidth="1"/>
    <col min="13578" max="13578" width="15.85546875" bestFit="1" customWidth="1"/>
    <col min="13579" max="13579" width="15.5703125" bestFit="1" customWidth="1"/>
    <col min="13580" max="13580" width="7.28515625" bestFit="1" customWidth="1"/>
    <col min="13820" max="13820" width="11" bestFit="1" customWidth="1"/>
    <col min="13821" max="13821" width="4.5703125" customWidth="1"/>
    <col min="13822" max="13822" width="43.140625" customWidth="1"/>
    <col min="13823" max="13826" width="12.7109375" customWidth="1"/>
    <col min="13827" max="13827" width="22.42578125" bestFit="1" customWidth="1"/>
    <col min="13828" max="13831" width="12.7109375" customWidth="1"/>
    <col min="13832" max="13832" width="15.5703125" bestFit="1" customWidth="1"/>
    <col min="13833" max="13833" width="23.28515625" bestFit="1" customWidth="1"/>
    <col min="13834" max="13834" width="15.85546875" bestFit="1" customWidth="1"/>
    <col min="13835" max="13835" width="15.5703125" bestFit="1" customWidth="1"/>
    <col min="13836" max="13836" width="7.28515625" bestFit="1" customWidth="1"/>
    <col min="14076" max="14076" width="11" bestFit="1" customWidth="1"/>
    <col min="14077" max="14077" width="4.5703125" customWidth="1"/>
    <col min="14078" max="14078" width="43.140625" customWidth="1"/>
    <col min="14079" max="14082" width="12.7109375" customWidth="1"/>
    <col min="14083" max="14083" width="22.42578125" bestFit="1" customWidth="1"/>
    <col min="14084" max="14087" width="12.7109375" customWidth="1"/>
    <col min="14088" max="14088" width="15.5703125" bestFit="1" customWidth="1"/>
    <col min="14089" max="14089" width="23.28515625" bestFit="1" customWidth="1"/>
    <col min="14090" max="14090" width="15.85546875" bestFit="1" customWidth="1"/>
    <col min="14091" max="14091" width="15.5703125" bestFit="1" customWidth="1"/>
    <col min="14092" max="14092" width="7.28515625" bestFit="1" customWidth="1"/>
    <col min="14332" max="14332" width="11" bestFit="1" customWidth="1"/>
    <col min="14333" max="14333" width="4.5703125" customWidth="1"/>
    <col min="14334" max="14334" width="43.140625" customWidth="1"/>
    <col min="14335" max="14338" width="12.7109375" customWidth="1"/>
    <col min="14339" max="14339" width="22.42578125" bestFit="1" customWidth="1"/>
    <col min="14340" max="14343" width="12.7109375" customWidth="1"/>
    <col min="14344" max="14344" width="15.5703125" bestFit="1" customWidth="1"/>
    <col min="14345" max="14345" width="23.28515625" bestFit="1" customWidth="1"/>
    <col min="14346" max="14346" width="15.85546875" bestFit="1" customWidth="1"/>
    <col min="14347" max="14347" width="15.5703125" bestFit="1" customWidth="1"/>
    <col min="14348" max="14348" width="7.28515625" bestFit="1" customWidth="1"/>
    <col min="14588" max="14588" width="11" bestFit="1" customWidth="1"/>
    <col min="14589" max="14589" width="4.5703125" customWidth="1"/>
    <col min="14590" max="14590" width="43.140625" customWidth="1"/>
    <col min="14591" max="14594" width="12.7109375" customWidth="1"/>
    <col min="14595" max="14595" width="22.42578125" bestFit="1" customWidth="1"/>
    <col min="14596" max="14599" width="12.7109375" customWidth="1"/>
    <col min="14600" max="14600" width="15.5703125" bestFit="1" customWidth="1"/>
    <col min="14601" max="14601" width="23.28515625" bestFit="1" customWidth="1"/>
    <col min="14602" max="14602" width="15.85546875" bestFit="1" customWidth="1"/>
    <col min="14603" max="14603" width="15.5703125" bestFit="1" customWidth="1"/>
    <col min="14604" max="14604" width="7.28515625" bestFit="1" customWidth="1"/>
    <col min="14844" max="14844" width="11" bestFit="1" customWidth="1"/>
    <col min="14845" max="14845" width="4.5703125" customWidth="1"/>
    <col min="14846" max="14846" width="43.140625" customWidth="1"/>
    <col min="14847" max="14850" width="12.7109375" customWidth="1"/>
    <col min="14851" max="14851" width="22.42578125" bestFit="1" customWidth="1"/>
    <col min="14852" max="14855" width="12.7109375" customWidth="1"/>
    <col min="14856" max="14856" width="15.5703125" bestFit="1" customWidth="1"/>
    <col min="14857" max="14857" width="23.28515625" bestFit="1" customWidth="1"/>
    <col min="14858" max="14858" width="15.85546875" bestFit="1" customWidth="1"/>
    <col min="14859" max="14859" width="15.5703125" bestFit="1" customWidth="1"/>
    <col min="14860" max="14860" width="7.28515625" bestFit="1" customWidth="1"/>
    <col min="15100" max="15100" width="11" bestFit="1" customWidth="1"/>
    <col min="15101" max="15101" width="4.5703125" customWidth="1"/>
    <col min="15102" max="15102" width="43.140625" customWidth="1"/>
    <col min="15103" max="15106" width="12.7109375" customWidth="1"/>
    <col min="15107" max="15107" width="22.42578125" bestFit="1" customWidth="1"/>
    <col min="15108" max="15111" width="12.7109375" customWidth="1"/>
    <col min="15112" max="15112" width="15.5703125" bestFit="1" customWidth="1"/>
    <col min="15113" max="15113" width="23.28515625" bestFit="1" customWidth="1"/>
    <col min="15114" max="15114" width="15.85546875" bestFit="1" customWidth="1"/>
    <col min="15115" max="15115" width="15.5703125" bestFit="1" customWidth="1"/>
    <col min="15116" max="15116" width="7.28515625" bestFit="1" customWidth="1"/>
    <col min="15356" max="15356" width="11" bestFit="1" customWidth="1"/>
    <col min="15357" max="15357" width="4.5703125" customWidth="1"/>
    <col min="15358" max="15358" width="43.140625" customWidth="1"/>
    <col min="15359" max="15362" width="12.7109375" customWidth="1"/>
    <col min="15363" max="15363" width="22.42578125" bestFit="1" customWidth="1"/>
    <col min="15364" max="15367" width="12.7109375" customWidth="1"/>
    <col min="15368" max="15368" width="15.5703125" bestFit="1" customWidth="1"/>
    <col min="15369" max="15369" width="23.28515625" bestFit="1" customWidth="1"/>
    <col min="15370" max="15370" width="15.85546875" bestFit="1" customWidth="1"/>
    <col min="15371" max="15371" width="15.5703125" bestFit="1" customWidth="1"/>
    <col min="15372" max="15372" width="7.28515625" bestFit="1" customWidth="1"/>
    <col min="15612" max="15612" width="11" bestFit="1" customWidth="1"/>
    <col min="15613" max="15613" width="4.5703125" customWidth="1"/>
    <col min="15614" max="15614" width="43.140625" customWidth="1"/>
    <col min="15615" max="15618" width="12.7109375" customWidth="1"/>
    <col min="15619" max="15619" width="22.42578125" bestFit="1" customWidth="1"/>
    <col min="15620" max="15623" width="12.7109375" customWidth="1"/>
    <col min="15624" max="15624" width="15.5703125" bestFit="1" customWidth="1"/>
    <col min="15625" max="15625" width="23.28515625" bestFit="1" customWidth="1"/>
    <col min="15626" max="15626" width="15.85546875" bestFit="1" customWidth="1"/>
    <col min="15627" max="15627" width="15.5703125" bestFit="1" customWidth="1"/>
    <col min="15628" max="15628" width="7.28515625" bestFit="1" customWidth="1"/>
    <col min="15868" max="15868" width="11" bestFit="1" customWidth="1"/>
    <col min="15869" max="15869" width="4.5703125" customWidth="1"/>
    <col min="15870" max="15870" width="43.140625" customWidth="1"/>
    <col min="15871" max="15874" width="12.7109375" customWidth="1"/>
    <col min="15875" max="15875" width="22.42578125" bestFit="1" customWidth="1"/>
    <col min="15876" max="15879" width="12.7109375" customWidth="1"/>
    <col min="15880" max="15880" width="15.5703125" bestFit="1" customWidth="1"/>
    <col min="15881" max="15881" width="23.28515625" bestFit="1" customWidth="1"/>
    <col min="15882" max="15882" width="15.85546875" bestFit="1" customWidth="1"/>
    <col min="15883" max="15883" width="15.5703125" bestFit="1" customWidth="1"/>
    <col min="15884" max="15884" width="7.28515625" bestFit="1" customWidth="1"/>
    <col min="16124" max="16124" width="11" bestFit="1" customWidth="1"/>
    <col min="16125" max="16125" width="4.5703125" customWidth="1"/>
    <col min="16126" max="16126" width="43.140625" customWidth="1"/>
    <col min="16127" max="16130" width="12.7109375" customWidth="1"/>
    <col min="16131" max="16131" width="22.42578125" bestFit="1" customWidth="1"/>
    <col min="16132" max="16135" width="12.7109375" customWidth="1"/>
    <col min="16136" max="16136" width="15.5703125" bestFit="1" customWidth="1"/>
    <col min="16137" max="16137" width="23.28515625" bestFit="1" customWidth="1"/>
    <col min="16138" max="16138" width="15.85546875" bestFit="1" customWidth="1"/>
    <col min="16139" max="16139" width="15.5703125" bestFit="1" customWidth="1"/>
    <col min="16140" max="16140" width="7.28515625" bestFit="1" customWidth="1"/>
  </cols>
  <sheetData>
    <row r="1" spans="1:16" ht="18">
      <c r="D1" s="784" t="s">
        <v>128</v>
      </c>
      <c r="E1" s="86"/>
      <c r="I1" s="788" t="s">
        <v>129</v>
      </c>
      <c r="J1" s="789">
        <v>1</v>
      </c>
      <c r="K1" t="s">
        <v>130</v>
      </c>
      <c r="O1" s="789">
        <f>'Scale-Up'!O70/'K-12 Output Tables'!E21</f>
        <v>0.9949201289712416</v>
      </c>
      <c r="P1" t="s">
        <v>131</v>
      </c>
    </row>
    <row r="2" spans="1:16" ht="13.5" customHeight="1">
      <c r="D2" s="784"/>
      <c r="E2" s="86"/>
    </row>
    <row r="3" spans="1:16" ht="75" hidden="1" outlineLevel="1">
      <c r="D3" s="784"/>
      <c r="E3" s="1059" t="s">
        <v>132</v>
      </c>
      <c r="F3" s="770"/>
      <c r="G3" s="777" t="s">
        <v>133</v>
      </c>
      <c r="H3" s="777" t="s">
        <v>134</v>
      </c>
      <c r="I3" s="788" t="str">
        <f>'1.Years'!A$7</f>
        <v>2022-23</v>
      </c>
      <c r="J3" s="788"/>
      <c r="K3" s="770"/>
      <c r="L3" s="770"/>
      <c r="M3" s="770"/>
      <c r="N3" s="770"/>
      <c r="O3" s="770"/>
    </row>
    <row r="4" spans="1:16" ht="13.5" customHeight="1" collapsed="1">
      <c r="D4" s="784"/>
      <c r="E4" s="86"/>
      <c r="F4" s="778" t="s">
        <v>89</v>
      </c>
      <c r="G4" s="86"/>
      <c r="H4" s="778" t="s">
        <v>135</v>
      </c>
      <c r="I4" s="86"/>
      <c r="J4" s="86"/>
      <c r="K4" s="86"/>
      <c r="L4" s="86"/>
      <c r="M4" s="86"/>
      <c r="N4" s="86"/>
      <c r="O4" s="86"/>
    </row>
    <row r="5" spans="1:16" ht="13.5" customHeight="1">
      <c r="D5" s="784"/>
      <c r="E5" s="86"/>
      <c r="F5" s="778" t="s">
        <v>93</v>
      </c>
      <c r="G5" s="778"/>
      <c r="H5" s="778" t="s">
        <v>89</v>
      </c>
      <c r="I5" s="778"/>
      <c r="J5" s="86"/>
      <c r="K5" s="86"/>
      <c r="L5" s="86"/>
      <c r="M5" s="86"/>
      <c r="N5" s="86"/>
      <c r="O5" s="86"/>
    </row>
    <row r="6" spans="1:16">
      <c r="E6" s="778" t="s">
        <v>94</v>
      </c>
      <c r="F6" s="778" t="s">
        <v>94</v>
      </c>
      <c r="G6" s="779" t="s">
        <v>95</v>
      </c>
      <c r="H6" s="778" t="s">
        <v>93</v>
      </c>
      <c r="I6" s="778"/>
      <c r="J6" s="86"/>
      <c r="K6" s="86"/>
      <c r="L6" s="86"/>
      <c r="M6" s="86"/>
      <c r="N6" s="778" t="s">
        <v>94</v>
      </c>
      <c r="O6" s="805" t="s">
        <v>95</v>
      </c>
    </row>
    <row r="7" spans="1:16">
      <c r="E7" s="778" t="s">
        <v>97</v>
      </c>
      <c r="F7" s="778" t="s">
        <v>97</v>
      </c>
      <c r="G7" s="778" t="s">
        <v>98</v>
      </c>
      <c r="H7" s="779" t="s">
        <v>95</v>
      </c>
      <c r="I7" s="778" t="s">
        <v>136</v>
      </c>
      <c r="J7" s="86"/>
      <c r="K7" s="86"/>
      <c r="L7" s="86"/>
      <c r="M7" s="86"/>
      <c r="N7" s="778" t="s">
        <v>137</v>
      </c>
      <c r="O7" s="778" t="s">
        <v>137</v>
      </c>
    </row>
    <row r="8" spans="1:16" ht="30">
      <c r="E8" s="770"/>
      <c r="F8" s="770"/>
      <c r="G8" s="1059" t="s">
        <v>138</v>
      </c>
      <c r="H8" s="770"/>
      <c r="I8" s="770"/>
      <c r="J8" s="770"/>
      <c r="K8" s="770"/>
      <c r="L8" s="770"/>
      <c r="M8" s="770"/>
      <c r="N8" s="770"/>
      <c r="O8" s="770"/>
    </row>
    <row r="9" spans="1:16">
      <c r="C9" s="1" t="s">
        <v>139</v>
      </c>
      <c r="D9" t="s">
        <v>99</v>
      </c>
      <c r="E9" s="1060"/>
      <c r="F9" s="1060"/>
      <c r="G9" s="1060">
        <v>238957.01848758373</v>
      </c>
      <c r="H9" s="1061">
        <f ca="1">VLOOKUP($H$3, INDIRECT("'" &amp; LEFT($D9,1) &amp; "S_Detail'!$A$1:$AA$178"), MATCH(I$3, INDIRECT("'" &amp; LEFT($D9,1) &amp; "S_Detail'!$U$4:$AA$4"), 0)+20, 0)</f>
        <v>17904.965070212776</v>
      </c>
      <c r="I9" s="1061">
        <f ca="1">+H9*G9</f>
        <v>4278517069.3023753</v>
      </c>
      <c r="J9" s="1061"/>
      <c r="K9" s="1061"/>
      <c r="L9" s="1061"/>
      <c r="M9" s="804" t="s">
        <v>140</v>
      </c>
      <c r="N9" s="1062"/>
      <c r="O9" s="1063">
        <f>+G9/G13</f>
        <v>0.43384493606005881</v>
      </c>
    </row>
    <row r="10" spans="1:16">
      <c r="C10" s="785" t="s">
        <v>141</v>
      </c>
      <c r="D10" t="s">
        <v>100</v>
      </c>
      <c r="E10" s="1060"/>
      <c r="F10" s="1060"/>
      <c r="G10" s="1060">
        <v>133782.97631735177</v>
      </c>
      <c r="H10" s="1061">
        <f ca="1">VLOOKUP($H$3, INDIRECT("'" &amp; LEFT($D10,1) &amp; "S_Detail'!$A$1:$AA$178"), MATCH(I$3, INDIRECT("'" &amp; LEFT($D10,1) &amp; "S_Detail'!$U$4:$AA$4"), 0)+20, 0)</f>
        <v>17527.524578566907</v>
      </c>
      <c r="I10" s="1061">
        <f ca="1">+H10*G10</f>
        <v>2344884405.5962176</v>
      </c>
      <c r="J10" s="1061"/>
      <c r="K10" s="1061"/>
      <c r="L10" s="1061"/>
      <c r="M10" s="804" t="s">
        <v>140</v>
      </c>
      <c r="N10" s="1062"/>
      <c r="O10" s="1063">
        <f>+G10/G13</f>
        <v>0.24289333359480994</v>
      </c>
    </row>
    <row r="11" spans="1:16">
      <c r="C11" s="785" t="s">
        <v>142</v>
      </c>
      <c r="D11" t="s">
        <v>101</v>
      </c>
      <c r="E11" s="1060"/>
      <c r="F11" s="1060"/>
      <c r="G11" s="1060">
        <v>178049.0051950645</v>
      </c>
      <c r="H11" s="1061">
        <f ca="1">VLOOKUP($H$3, INDIRECT("'" &amp; LEFT($D11,1) &amp; "S_Detail'!$A$1:$AA$178"), MATCH(I$3, INDIRECT("'" &amp; LEFT($D11,1) &amp; "S_Detail'!$U$4:$AA$4"), 0)+20, 0)</f>
        <v>16713.825013759681</v>
      </c>
      <c r="I11" s="1061">
        <f ca="1">+H11*G11</f>
        <v>2975879916.7042961</v>
      </c>
      <c r="J11" s="1061"/>
      <c r="K11" s="1061"/>
      <c r="L11" s="1061"/>
      <c r="M11" s="804" t="s">
        <v>140</v>
      </c>
      <c r="N11" s="1062"/>
      <c r="O11" s="1063">
        <f>+G11/G13</f>
        <v>0.32326173034513128</v>
      </c>
    </row>
    <row r="12" spans="1:16">
      <c r="E12" s="1060"/>
      <c r="F12" s="1060"/>
      <c r="G12" s="1060"/>
      <c r="H12" s="1061"/>
      <c r="I12" s="1061"/>
      <c r="J12" s="1061"/>
      <c r="K12" s="1061"/>
      <c r="L12" s="1061"/>
      <c r="M12" s="770"/>
      <c r="N12" s="770"/>
      <c r="O12" s="770"/>
    </row>
    <row r="13" spans="1:16">
      <c r="D13" t="s">
        <v>143</v>
      </c>
      <c r="E13" s="1060">
        <f ca="1">VLOOKUP($E3, '11.Enrollment'!$B$1:$I$15, MATCH(I3, '11.Enrollment'!$B$2:$I$2,0),0)</f>
        <v>669954</v>
      </c>
      <c r="F13" s="1061">
        <f ca="1">+I13/E13</f>
        <v>14380.511783798425</v>
      </c>
      <c r="G13" s="1060">
        <f>SUM(G9:G11)</f>
        <v>550789</v>
      </c>
      <c r="H13" s="1061">
        <f ca="1">+I13/G13</f>
        <v>17491.782500381978</v>
      </c>
      <c r="I13" s="1061">
        <f ca="1">SUM(I9:I12)+35000000</f>
        <v>9634281391.60289</v>
      </c>
      <c r="J13" s="1061"/>
      <c r="K13" s="1061"/>
      <c r="L13" s="1061"/>
      <c r="M13" s="1064" t="s">
        <v>144</v>
      </c>
      <c r="N13" s="1061">
        <v>7287766177</v>
      </c>
      <c r="O13" s="770">
        <f ca="1">+I13/N13</f>
        <v>1.3219800358041716</v>
      </c>
    </row>
    <row r="14" spans="1:16">
      <c r="D14" t="s">
        <v>145</v>
      </c>
      <c r="E14" s="1060"/>
      <c r="F14" s="1061"/>
      <c r="G14" s="1060"/>
      <c r="H14" s="1061"/>
      <c r="I14" s="1061">
        <f ca="1">G13*INDEX(ES_Detail!$A$1:$AA$179,MATCH("diff",ES_Detail!A$1:A$179,0),MATCH(I3,ES_Detail!$A$4:$AA$4,0))</f>
        <v>643045083.99658084</v>
      </c>
      <c r="J14" s="1061"/>
      <c r="K14" s="1061"/>
      <c r="L14" s="1061"/>
      <c r="M14" s="1064" t="s">
        <v>144</v>
      </c>
      <c r="N14" s="1061">
        <v>270110614</v>
      </c>
      <c r="O14" s="770">
        <f ca="1">+I14/N14</f>
        <v>2.3806731415470437</v>
      </c>
    </row>
    <row r="15" spans="1:16">
      <c r="D15" t="s">
        <v>146</v>
      </c>
      <c r="E15" s="1060"/>
      <c r="F15" s="1061"/>
      <c r="G15" s="1060"/>
      <c r="H15" s="1061"/>
      <c r="I15" s="1061">
        <f ca="1">+I13+I14</f>
        <v>10277326475.59947</v>
      </c>
      <c r="J15" s="1061"/>
      <c r="K15" s="1061"/>
      <c r="L15" s="1061"/>
      <c r="M15" s="770"/>
      <c r="N15" s="1061">
        <f>SUM(N13:N14)</f>
        <v>7557876791</v>
      </c>
      <c r="O15" s="770"/>
    </row>
    <row r="16" spans="1:16">
      <c r="A16" t="s">
        <v>147</v>
      </c>
      <c r="E16" s="1060"/>
      <c r="F16" s="1061"/>
      <c r="G16" s="1060"/>
      <c r="H16" s="770"/>
      <c r="I16" s="1061"/>
      <c r="J16" s="781"/>
      <c r="K16" s="781"/>
      <c r="L16" s="781"/>
      <c r="M16" s="770"/>
      <c r="N16" s="770"/>
      <c r="O16" s="770"/>
    </row>
    <row r="17" spans="2:16" ht="15.75" thickBot="1">
      <c r="E17" s="1060"/>
      <c r="F17" s="1061"/>
      <c r="G17" s="1060"/>
      <c r="H17" s="1065" t="s">
        <v>148</v>
      </c>
      <c r="I17" s="781">
        <f ca="1">+I15-N15</f>
        <v>2719449684.5994701</v>
      </c>
      <c r="J17" s="770"/>
      <c r="K17" s="770"/>
      <c r="L17" s="770" t="s">
        <v>149</v>
      </c>
      <c r="M17" s="770"/>
      <c r="N17" s="781">
        <v>2291630550.6755257</v>
      </c>
      <c r="O17" s="1061">
        <f ca="1">I17-N17</f>
        <v>427819133.92394447</v>
      </c>
    </row>
    <row r="18" spans="2:16" ht="16.5" thickTop="1" thickBot="1">
      <c r="D18" s="786" t="s">
        <v>150</v>
      </c>
      <c r="E18" s="770"/>
      <c r="F18" s="770"/>
      <c r="G18" s="770"/>
      <c r="H18" s="1065" t="s">
        <v>151</v>
      </c>
      <c r="I18" s="790">
        <f ca="1">+I17/N15</f>
        <v>0.35981662043469931</v>
      </c>
      <c r="J18" s="770"/>
      <c r="K18" s="770"/>
      <c r="L18" s="770"/>
      <c r="M18" s="770"/>
      <c r="N18" s="770"/>
      <c r="O18" s="1066">
        <f ca="1">O17/N15</f>
        <v>5.6605730121638928E-2</v>
      </c>
    </row>
    <row r="19" spans="2:16" ht="16.5" thickTop="1" thickBot="1">
      <c r="D19" s="786" t="s">
        <v>152</v>
      </c>
      <c r="E19" s="770"/>
      <c r="F19" s="770"/>
      <c r="G19" s="770"/>
      <c r="H19" s="770"/>
      <c r="I19" s="770"/>
      <c r="J19" s="770"/>
      <c r="K19" s="770"/>
      <c r="L19" s="770"/>
      <c r="M19" s="770"/>
      <c r="N19" s="770"/>
      <c r="O19" s="770"/>
    </row>
    <row r="20" spans="2:16" ht="18">
      <c r="D20" s="6"/>
      <c r="E20" s="1067"/>
      <c r="F20" s="1068"/>
      <c r="G20" s="1068"/>
      <c r="H20" s="1068"/>
      <c r="I20" s="842" t="str">
        <f>'1.Years'!B$7</f>
        <v>2023-24</v>
      </c>
      <c r="J20" s="1067"/>
      <c r="K20" s="843"/>
      <c r="L20" s="1068"/>
      <c r="M20" s="1068"/>
      <c r="N20" s="853" t="str">
        <f>'1.Years'!C$7</f>
        <v>2024-25</v>
      </c>
      <c r="O20" s="844" t="s">
        <v>84</v>
      </c>
    </row>
    <row r="21" spans="2:16">
      <c r="D21" s="845"/>
      <c r="E21" s="845"/>
      <c r="F21" s="778" t="s">
        <v>89</v>
      </c>
      <c r="G21" s="86"/>
      <c r="H21" s="86"/>
      <c r="I21" s="86"/>
      <c r="J21" s="845"/>
      <c r="K21" s="778" t="s">
        <v>89</v>
      </c>
      <c r="L21" s="86"/>
      <c r="M21" s="86"/>
      <c r="N21" s="846"/>
      <c r="O21" s="846"/>
    </row>
    <row r="22" spans="2:16">
      <c r="D22" s="845"/>
      <c r="E22" s="845"/>
      <c r="F22" s="778" t="s">
        <v>93</v>
      </c>
      <c r="G22" s="778"/>
      <c r="H22" s="778" t="s">
        <v>89</v>
      </c>
      <c r="I22" s="778"/>
      <c r="J22" s="845"/>
      <c r="K22" s="778" t="s">
        <v>93</v>
      </c>
      <c r="L22" s="778"/>
      <c r="M22" s="778" t="s">
        <v>89</v>
      </c>
      <c r="N22" s="854"/>
      <c r="O22" s="846"/>
    </row>
    <row r="23" spans="2:16">
      <c r="D23" s="845"/>
      <c r="E23" s="855" t="s">
        <v>94</v>
      </c>
      <c r="F23" s="778" t="s">
        <v>94</v>
      </c>
      <c r="G23" s="779" t="s">
        <v>95</v>
      </c>
      <c r="H23" s="778" t="s">
        <v>93</v>
      </c>
      <c r="I23" s="778"/>
      <c r="J23" s="855" t="s">
        <v>94</v>
      </c>
      <c r="K23" s="778" t="s">
        <v>94</v>
      </c>
      <c r="L23" s="779" t="s">
        <v>95</v>
      </c>
      <c r="M23" s="778" t="s">
        <v>93</v>
      </c>
      <c r="N23" s="854"/>
      <c r="O23" s="846"/>
    </row>
    <row r="24" spans="2:16" ht="15.75" thickBot="1">
      <c r="D24" s="849"/>
      <c r="E24" s="856" t="s">
        <v>97</v>
      </c>
      <c r="F24" s="780" t="s">
        <v>97</v>
      </c>
      <c r="G24" s="780" t="s">
        <v>98</v>
      </c>
      <c r="H24" s="795" t="s">
        <v>95</v>
      </c>
      <c r="I24" s="780" t="s">
        <v>89</v>
      </c>
      <c r="J24" s="856" t="s">
        <v>97</v>
      </c>
      <c r="K24" s="780" t="s">
        <v>97</v>
      </c>
      <c r="L24" s="780" t="s">
        <v>98</v>
      </c>
      <c r="M24" s="795" t="s">
        <v>95</v>
      </c>
      <c r="N24" s="857" t="s">
        <v>89</v>
      </c>
      <c r="O24" s="852"/>
    </row>
    <row r="25" spans="2:16">
      <c r="B25" s="66" t="s">
        <v>153</v>
      </c>
      <c r="C25" s="1" t="s">
        <v>139</v>
      </c>
      <c r="D25" s="635" t="s">
        <v>99</v>
      </c>
      <c r="E25" s="1069"/>
      <c r="F25" s="1060"/>
      <c r="G25" s="1060">
        <f>VLOOKUP($C25, '11.Enrollment'!$A$1:$I$15, MATCH(I20, '11.Enrollment'!$A$2:$I$2,0),0)</f>
        <v>237725</v>
      </c>
      <c r="H25" s="1061">
        <f ca="1">VLOOKUP($H$3, INDIRECT("'" &amp; LEFT($D25,1) &amp; "S_Detail'!$A$1:$AA$178"), MATCH(I20, INDIRECT("'" &amp; LEFT($D25,1) &amp; "S_Detail'!$U$4:$AA$4"), 0)+20, 0)</f>
        <v>18857.364772853172</v>
      </c>
      <c r="I25" s="1061">
        <f ca="1">+H25*G25</f>
        <v>4482867040.6265202</v>
      </c>
      <c r="J25" s="1069"/>
      <c r="K25" s="1061"/>
      <c r="L25" s="1060">
        <f>VLOOKUP($C25, '11.Enrollment'!$A$1:$I$15, MATCH(N20, '11.Enrollment'!$A$2:$I$2,0),0)</f>
        <v>237417.94187751829</v>
      </c>
      <c r="M25" s="1061">
        <f ca="1">VLOOKUP($H$3, INDIRECT("'" &amp; LEFT($D25,1) &amp; "S_Detail'!$A$1:$AA$178"), MATCH(N20, INDIRECT("'" &amp; LEFT($D25,1) &amp; "S_Detail'!$U$4:$AA$4"), 0)+20, 0)</f>
        <v>19326.396714551342</v>
      </c>
      <c r="N25" s="1070">
        <f ca="1">+L25*M25</f>
        <v>4588433331.8772106</v>
      </c>
      <c r="O25" s="847">
        <f ca="1">+I25+N25</f>
        <v>9071300372.5037308</v>
      </c>
    </row>
    <row r="26" spans="2:16">
      <c r="B26" t="s">
        <v>154</v>
      </c>
      <c r="C26" s="785" t="s">
        <v>141</v>
      </c>
      <c r="D26" s="635" t="s">
        <v>100</v>
      </c>
      <c r="E26" s="1069"/>
      <c r="F26" s="1060"/>
      <c r="G26" s="1060">
        <f>VLOOKUP($C26, '11.Enrollment'!$A$1:$I$15, MATCH(I20, '11.Enrollment'!$A$2:$I$2,0),0)</f>
        <v>126509</v>
      </c>
      <c r="H26" s="1061">
        <f ca="1">VLOOKUP($H$3, INDIRECT("'" &amp; LEFT($D26,1) &amp; "S_Detail'!$A$1:$AA$178"), MATCH(I20, INDIRECT("'" &amp; LEFT($D26,1) &amp; "S_Detail'!$U$4:$AA$4"), 0)+20, 0)</f>
        <v>18439.816896111603</v>
      </c>
      <c r="I26" s="1061">
        <f ca="1">+H26*G26</f>
        <v>2332802795.7101827</v>
      </c>
      <c r="J26" s="1069"/>
      <c r="K26" s="1061"/>
      <c r="L26" s="1060">
        <f>VLOOKUP($C26, '11.Enrollment'!$A$1:$I$15, MATCH(N20, '11.Enrollment'!$A$2:$I$2,0),0)</f>
        <v>126345.59431689119</v>
      </c>
      <c r="M26" s="1061">
        <f ca="1">VLOOKUP($H$3, INDIRECT("'" &amp; LEFT($D26,1) &amp; "S_Detail'!$A$1:$AA$178"), MATCH(N20, INDIRECT("'" &amp; LEFT($D26,1) &amp; "S_Detail'!$U$4:$AA$4"), 0)+20, 0)</f>
        <v>18894.496411533091</v>
      </c>
      <c r="N26" s="1070">
        <f ca="1">+L26*M26</f>
        <v>2387236378.4335165</v>
      </c>
      <c r="O26" s="847">
        <f ca="1">+I26+N26</f>
        <v>4720039174.1436996</v>
      </c>
    </row>
    <row r="27" spans="2:16">
      <c r="B27" t="s">
        <v>155</v>
      </c>
      <c r="C27" s="785" t="s">
        <v>142</v>
      </c>
      <c r="D27" s="635" t="s">
        <v>101</v>
      </c>
      <c r="E27" s="1069"/>
      <c r="F27" s="1060"/>
      <c r="G27" s="1060">
        <f>VLOOKUP($C27, '11.Enrollment'!$A$1:$I$15, MATCH(I20, '11.Enrollment'!$A$2:$I$2,0),0)</f>
        <v>176360.25999999998</v>
      </c>
      <c r="H27" s="1061">
        <f ca="1">VLOOKUP($H$3, INDIRECT("'" &amp; LEFT($D27,1) &amp; "S_Detail'!$A$1:$AA$178"), MATCH(I20, INDIRECT("'" &amp; LEFT($D27,1) &amp; "S_Detail'!$U$4:$AA$4"), 0)+20, 0)</f>
        <v>17618.616672395128</v>
      </c>
      <c r="I27" s="1061">
        <f ca="1">+H27*G27</f>
        <v>3107223817.1839395</v>
      </c>
      <c r="J27" s="1069"/>
      <c r="K27" s="1061"/>
      <c r="L27" s="1060">
        <f>VLOOKUP($C27, '11.Enrollment'!$A$1:$I$15, MATCH(N20, '11.Enrollment'!$A$2:$I$2,0),0)</f>
        <v>176132.46380559049</v>
      </c>
      <c r="M27" s="1061">
        <f ca="1">VLOOKUP($H$3, INDIRECT("'" &amp; LEFT($D27,1) &amp; "S_Detail'!$A$1:$AA$178"), MATCH(N20, INDIRECT("'" &amp; LEFT($D27,1) &amp; "S_Detail'!$U$4:$AA$4"), 0)+20, 0)</f>
        <v>18042.977521197361</v>
      </c>
      <c r="N27" s="1070">
        <f ca="1">+L27*M27</f>
        <v>3177954085.1973772</v>
      </c>
      <c r="O27" s="847">
        <f ca="1">+I27+N27</f>
        <v>6285177902.3813171</v>
      </c>
    </row>
    <row r="28" spans="2:16">
      <c r="B28" t="s">
        <v>156</v>
      </c>
      <c r="D28" s="635"/>
      <c r="E28" s="1069"/>
      <c r="F28" s="1060"/>
      <c r="G28" s="1060"/>
      <c r="H28" s="1061"/>
      <c r="I28" s="1061"/>
      <c r="J28" s="1069"/>
      <c r="K28" s="1060"/>
      <c r="L28" s="1060"/>
      <c r="M28" s="1061"/>
      <c r="N28" s="1070"/>
      <c r="O28" s="1071"/>
    </row>
    <row r="29" spans="2:16">
      <c r="D29" s="635" t="s">
        <v>106</v>
      </c>
      <c r="E29" s="1069">
        <f ca="1">VLOOKUP($E$3, '11.Enrollment'!$B$1:$I$15, MATCH(I20, '11.Enrollment'!$B$2:$I$2,0),0)</f>
        <v>669062</v>
      </c>
      <c r="F29" s="1061">
        <f ca="1">+I29/E29</f>
        <v>14831.052508617498</v>
      </c>
      <c r="G29" s="1060">
        <f>SUM(G25:G27)</f>
        <v>540594.26</v>
      </c>
      <c r="H29" s="1061">
        <f ca="1">+I29/G29</f>
        <v>18355.529068178861</v>
      </c>
      <c r="I29" s="1061">
        <f ca="1">SUM(I25:I28)</f>
        <v>9922893653.5206413</v>
      </c>
      <c r="J29" s="1069">
        <f ca="1">VLOOKUP($E$3, '11.Enrollment'!$B$1:$I$15, MATCH(N20, '11.Enrollment'!$B$2:$I$2,0),0)</f>
        <v>666960</v>
      </c>
      <c r="K29" s="1061">
        <f ca="1">+N29/J29</f>
        <v>15223.737248872652</v>
      </c>
      <c r="L29" s="1060">
        <f>SUM(L25:L27)</f>
        <v>539896</v>
      </c>
      <c r="M29" s="1061">
        <f ca="1">+N29/L29</f>
        <v>18806.629046164639</v>
      </c>
      <c r="N29" s="1070">
        <f ca="1">SUM(N25:N28)</f>
        <v>10153623795.508104</v>
      </c>
      <c r="O29" s="847">
        <f ca="1">+I29+N29</f>
        <v>20076517449.028748</v>
      </c>
    </row>
    <row r="30" spans="2:16">
      <c r="D30" s="859" t="s">
        <v>107</v>
      </c>
      <c r="E30" s="1072"/>
      <c r="F30" s="1164"/>
      <c r="G30" s="1165"/>
      <c r="H30" s="1164"/>
      <c r="I30" s="1164">
        <f ca="1">G29*INDEX(ES_Detail!$A$1:$AA$179,MATCH("diff",ES_Detail!$A$1:$A$179,0),MATCH(I20,ES_Detail!$A$4:$AA$4,0))</f>
        <v>681388894.49890864</v>
      </c>
      <c r="J30" s="1072"/>
      <c r="K30" s="1164"/>
      <c r="L30" s="1165"/>
      <c r="M30" s="1164"/>
      <c r="N30" s="1073">
        <f ca="1">L29*INDEX(ES_Detail!$A$1:$AA$179,MATCH("diff",ES_Detail!$A$1:$A$179,0),MATCH(N20,ES_Detail!$A$4:$AA$4,0))</f>
        <v>694651407.51432526</v>
      </c>
      <c r="O30" s="860">
        <f ca="1">+I30+N30</f>
        <v>1376040302.0132339</v>
      </c>
    </row>
    <row r="31" spans="2:16">
      <c r="D31" s="845" t="s">
        <v>108</v>
      </c>
      <c r="E31" s="1074"/>
      <c r="F31" s="1061"/>
      <c r="G31" s="1060"/>
      <c r="H31" s="1061"/>
      <c r="I31" s="781">
        <f ca="1">+I29+I30</f>
        <v>10604282548.01955</v>
      </c>
      <c r="J31" s="1074"/>
      <c r="K31" s="1075"/>
      <c r="L31" s="1060"/>
      <c r="M31" s="1061"/>
      <c r="N31" s="848">
        <f ca="1">+N29+N30</f>
        <v>10848275203.02243</v>
      </c>
      <c r="O31" s="848">
        <f ca="1">SUM(O29:O30)</f>
        <v>21452557751.041981</v>
      </c>
      <c r="P31" s="4"/>
    </row>
    <row r="32" spans="2:16">
      <c r="B32" s="800" t="s">
        <v>157</v>
      </c>
      <c r="D32" s="635" t="s">
        <v>111</v>
      </c>
      <c r="E32" s="1076"/>
      <c r="F32" s="770"/>
      <c r="G32" s="770"/>
      <c r="H32" s="770"/>
      <c r="I32" s="1061">
        <f ca="1">VLOOKUP($B32, '12.RevenueForecasts'!$A$2:$F$18, MATCH(I20, '12.RevenueForecasts'!$A$2:$D$2,0),0)</f>
        <v>1111371241.6895525</v>
      </c>
      <c r="J32" s="1074"/>
      <c r="K32" s="1061"/>
      <c r="L32" s="1060"/>
      <c r="M32" s="1061"/>
      <c r="N32" s="1070">
        <f ca="1">VLOOKUP($B32, '12.RevenueForecasts'!$A$2:$F$18, MATCH(N20, '12.RevenueForecasts'!$A$2:$D$2,0),0)</f>
        <v>1193757354.8921523</v>
      </c>
      <c r="O32" s="1070">
        <f ca="1">+I32+N32</f>
        <v>2305128596.5817051</v>
      </c>
    </row>
    <row r="33" spans="2:16">
      <c r="B33" s="800" t="s">
        <v>158</v>
      </c>
      <c r="D33" s="635" t="s">
        <v>114</v>
      </c>
      <c r="E33" s="1076"/>
      <c r="F33" s="770"/>
      <c r="G33" s="770"/>
      <c r="H33" s="770"/>
      <c r="I33" s="1061">
        <f ca="1">VLOOKUP($B33, '12.RevenueForecasts'!$A$2:$F$18, MATCH(I20, '12.RevenueForecasts'!$A$2:$D$2,0),0)</f>
        <v>1237068995.4663041</v>
      </c>
      <c r="J33" s="1074"/>
      <c r="K33" s="1061"/>
      <c r="L33" s="1060"/>
      <c r="M33" s="1061"/>
      <c r="N33" s="1070">
        <f ca="1">VLOOKUP($B33, '12.RevenueForecasts'!$A$2:$F$18, MATCH(N20, '12.RevenueForecasts'!$A$2:$D$2,0),0)</f>
        <v>1385691278.7770898</v>
      </c>
      <c r="O33" s="1070">
        <f ca="1">+I33+N33</f>
        <v>2622760274.2433939</v>
      </c>
    </row>
    <row r="34" spans="2:16">
      <c r="B34" s="800" t="s">
        <v>159</v>
      </c>
      <c r="D34" s="635" t="s">
        <v>116</v>
      </c>
      <c r="E34" s="1076"/>
      <c r="F34" s="770"/>
      <c r="G34" s="770"/>
      <c r="H34" s="770"/>
      <c r="I34" s="1061">
        <f ca="1">VLOOKUP($B34, '12.RevenueForecasts'!$A$2:$F$18, MATCH(I20, '12.RevenueForecasts'!$A$2:$D$2,0),0)</f>
        <v>30054299.827482749</v>
      </c>
      <c r="J34" s="1074"/>
      <c r="K34" s="1061"/>
      <c r="L34" s="1060"/>
      <c r="M34" s="1061"/>
      <c r="N34" s="1070">
        <f ca="1">VLOOKUP($B34, '12.RevenueForecasts'!$A$2:$F$18, MATCH(N20, '12.RevenueForecasts'!$A$2:$D$2,0),0)</f>
        <v>31156714.257713411</v>
      </c>
      <c r="O34" s="1070">
        <f ca="1">+I34+N34</f>
        <v>61211014.08519616</v>
      </c>
    </row>
    <row r="35" spans="2:16">
      <c r="B35" t="s">
        <v>160</v>
      </c>
      <c r="D35" s="859" t="s">
        <v>119</v>
      </c>
      <c r="E35" s="1077"/>
      <c r="F35" s="1166"/>
      <c r="G35" s="1166"/>
      <c r="H35" s="1166"/>
      <c r="I35" s="1164">
        <f ca="1">VLOOKUP($B35, '7.PayrollBenefits'!$C$1:$CZ$16, MATCH(I20,'7.PayrollBenefits'!$C$2:$J$2,0),0)</f>
        <v>132231281.20214039</v>
      </c>
      <c r="J35" s="1072"/>
      <c r="K35" s="1164"/>
      <c r="L35" s="1165"/>
      <c r="M35" s="1164"/>
      <c r="N35" s="1073">
        <f ca="1">VLOOKUP($B35, '7.PayrollBenefits'!$C$1:$CZ$16, MATCH(N20,'7.PayrollBenefits'!$C$2:$J$2,0),0)</f>
        <v>131394228.69521201</v>
      </c>
      <c r="O35" s="1073">
        <f ca="1">+I35+N35</f>
        <v>263625509.8973524</v>
      </c>
    </row>
    <row r="36" spans="2:16">
      <c r="D36" s="845" t="s">
        <v>161</v>
      </c>
      <c r="E36" s="1076"/>
      <c r="F36" s="770"/>
      <c r="G36" s="770"/>
      <c r="H36" s="770"/>
      <c r="I36" s="781">
        <f ca="1">+I31-I32-I33-I34-I35</f>
        <v>8093556729.8340702</v>
      </c>
      <c r="J36" s="1074"/>
      <c r="K36" s="1061"/>
      <c r="L36" s="1060"/>
      <c r="M36" s="1061"/>
      <c r="N36" s="848">
        <f ca="1">+N31-N32-N33-N34-N35</f>
        <v>8106275626.4002619</v>
      </c>
      <c r="O36" s="848">
        <f ca="1">+O31-O32-O33-O34-O35</f>
        <v>16199832356.234333</v>
      </c>
    </row>
    <row r="37" spans="2:16">
      <c r="B37" t="s">
        <v>162</v>
      </c>
      <c r="D37" s="7" t="s">
        <v>122</v>
      </c>
      <c r="E37" s="1076"/>
      <c r="F37" s="770"/>
      <c r="G37" s="770"/>
      <c r="H37" s="770"/>
      <c r="I37" s="5">
        <f ca="1">I36*VLOOKUP($B37, '12.RevenueForecasts'!$A$2:$F$18,MATCH('Scale-Up'!I20,'12.RevenueForecasts'!$A$2:$D$2,0),0)</f>
        <v>7709112785.1669521</v>
      </c>
      <c r="J37" s="1074"/>
      <c r="K37" s="1061"/>
      <c r="L37" s="1060"/>
      <c r="M37" s="1061"/>
      <c r="N37" s="847">
        <f ca="1">N36*VLOOKUP($B37, '12.RevenueForecasts'!$A$2:$F$18,MATCH('Scale-Up'!N20,'12.RevenueForecasts'!$A$2:$D$2,0),0)</f>
        <v>7721227534.1462498</v>
      </c>
      <c r="O37" s="847">
        <f ca="1">+N37+I37</f>
        <v>15430340319.313202</v>
      </c>
    </row>
    <row r="38" spans="2:16">
      <c r="D38" s="7" t="s">
        <v>125</v>
      </c>
      <c r="E38" s="1076"/>
      <c r="F38" s="770"/>
      <c r="G38" s="770"/>
      <c r="H38" s="770"/>
      <c r="I38" s="5">
        <f ca="1">I36-I37</f>
        <v>384443944.66711807</v>
      </c>
      <c r="J38" s="1074"/>
      <c r="K38" s="1061"/>
      <c r="L38" s="1060"/>
      <c r="M38" s="1061"/>
      <c r="N38" s="847">
        <f ca="1">N36-N37</f>
        <v>385048092.25401211</v>
      </c>
      <c r="O38" s="847">
        <f ca="1">+N38+I38</f>
        <v>769492036.92113018</v>
      </c>
    </row>
    <row r="39" spans="2:16">
      <c r="B39" s="787" t="s">
        <v>163</v>
      </c>
      <c r="D39" s="635" t="s">
        <v>126</v>
      </c>
      <c r="E39" s="1076"/>
      <c r="F39" s="770"/>
      <c r="G39" s="770"/>
      <c r="H39" s="770"/>
      <c r="I39" s="5">
        <f>VLOOKUP($B39, '12.RevenueForecasts'!$A$2:$F$18, MATCH(I20, '12.RevenueForecasts'!$A$2:$D$2,0),0)</f>
        <v>2541514029</v>
      </c>
      <c r="J39" s="1074"/>
      <c r="K39" s="1061"/>
      <c r="L39" s="1060"/>
      <c r="M39" s="1061"/>
      <c r="N39" s="1070">
        <f>VLOOKUP($B39, '12.RevenueForecasts'!$A$2:$F$18, MATCH(N20, '12.RevenueForecasts'!$A$2:$D$2,0),0)</f>
        <v>2649101039</v>
      </c>
      <c r="O39" s="1070">
        <f>+N39+I39</f>
        <v>5190615068</v>
      </c>
    </row>
    <row r="40" spans="2:16">
      <c r="B40" s="8" t="s">
        <v>164</v>
      </c>
      <c r="D40" s="635" t="s">
        <v>165</v>
      </c>
      <c r="E40" s="1076"/>
      <c r="F40" s="770"/>
      <c r="G40" s="770"/>
      <c r="H40" s="770"/>
      <c r="I40" s="5">
        <f ca="1">VLOOKUP($B40, 'K-12_assumptions'!$A$1:$L$189, MATCH(I20, 'K-12_assumptions'!$A$6:$L$6,0),0)*(10^6)</f>
        <v>55000000</v>
      </c>
      <c r="J40" s="1074"/>
      <c r="K40" s="1061"/>
      <c r="L40" s="1060"/>
      <c r="M40" s="1061"/>
      <c r="N40" s="1070">
        <f ca="1">VLOOKUP($B40, 'K-12_assumptions'!$A$1:$L$189, MATCH(N20, 'K-12_assumptions'!$A$6:$L$6,0),0)*(10^6)</f>
        <v>55000000</v>
      </c>
      <c r="O40" s="1070">
        <f ca="1">+N40+I40</f>
        <v>110000000</v>
      </c>
    </row>
    <row r="41" spans="2:16" ht="15.75" thickBot="1">
      <c r="D41" s="858" t="s">
        <v>166</v>
      </c>
      <c r="E41" s="1078"/>
      <c r="F41" s="1079"/>
      <c r="G41" s="1079"/>
      <c r="H41" s="1079"/>
      <c r="I41" s="1080"/>
      <c r="J41" s="1081"/>
      <c r="K41" s="1080"/>
      <c r="L41" s="1082"/>
      <c r="M41" s="1080"/>
      <c r="N41" s="1083"/>
      <c r="O41" s="1083">
        <v>0</v>
      </c>
    </row>
    <row r="42" spans="2:16" ht="16.5" thickTop="1" thickBot="1">
      <c r="D42" s="849" t="s">
        <v>167</v>
      </c>
      <c r="E42" s="1084"/>
      <c r="F42" s="1084"/>
      <c r="G42" s="1084"/>
      <c r="H42" s="1084"/>
      <c r="I42" s="850">
        <f ca="1">+I36-I39+I40</f>
        <v>5607042700.8340702</v>
      </c>
      <c r="J42" s="1085"/>
      <c r="K42" s="1086"/>
      <c r="L42" s="1087"/>
      <c r="M42" s="1086"/>
      <c r="N42" s="851">
        <f ca="1">+N36-N39+N40</f>
        <v>5512174587.4002619</v>
      </c>
      <c r="O42" s="851">
        <f ca="1">+O36-O39+O40</f>
        <v>11119217288.234333</v>
      </c>
    </row>
    <row r="43" spans="2:16">
      <c r="D43" s="86"/>
      <c r="E43" s="770"/>
      <c r="F43" s="770"/>
      <c r="G43" s="770"/>
      <c r="H43" s="796" t="s">
        <v>168</v>
      </c>
      <c r="I43" s="1058">
        <f>0.49*O43</f>
        <v>4998000000</v>
      </c>
      <c r="J43" s="770"/>
      <c r="K43" s="770"/>
      <c r="L43" s="770"/>
      <c r="M43" s="796" t="s">
        <v>168</v>
      </c>
      <c r="N43" s="781">
        <f>0.51*O43</f>
        <v>5202000000</v>
      </c>
      <c r="O43" s="1061">
        <v>10200000000</v>
      </c>
      <c r="P43" t="s">
        <v>169</v>
      </c>
    </row>
    <row r="44" spans="2:16">
      <c r="D44" s="86"/>
      <c r="E44" s="770"/>
      <c r="F44" s="770"/>
      <c r="G44" s="770"/>
      <c r="H44" s="770"/>
      <c r="I44" s="1088">
        <f ca="1">+I42-I43</f>
        <v>609042700.83407021</v>
      </c>
      <c r="J44" s="770"/>
      <c r="K44" s="770"/>
      <c r="L44" s="770"/>
      <c r="M44" s="796"/>
      <c r="N44" s="1088">
        <f ca="1">+N42-N43</f>
        <v>310174587.40026188</v>
      </c>
      <c r="O44" s="1088">
        <f ca="1">+O42-O43</f>
        <v>919217288.23433304</v>
      </c>
    </row>
    <row r="45" spans="2:16" ht="15.95" customHeight="1">
      <c r="E45" s="770"/>
      <c r="F45" s="770"/>
      <c r="G45" s="770"/>
      <c r="H45" s="770"/>
      <c r="I45" s="1089">
        <f ca="1">+I44/I43</f>
        <v>0.12185728308004606</v>
      </c>
      <c r="J45" s="770"/>
      <c r="K45" s="770"/>
      <c r="L45" s="1090"/>
      <c r="M45" s="770"/>
      <c r="N45" s="1089">
        <f ca="1">+N44/N43</f>
        <v>5.9626026028500936E-2</v>
      </c>
      <c r="O45" s="1089">
        <f ca="1">+O44/O43</f>
        <v>9.0119341983758136E-2</v>
      </c>
    </row>
    <row r="46" spans="2:16" ht="15.75" thickBot="1">
      <c r="E46" s="770"/>
      <c r="F46" s="770"/>
      <c r="G46" s="770"/>
      <c r="H46" s="770"/>
      <c r="I46" s="770"/>
      <c r="J46" s="792"/>
      <c r="K46" s="770"/>
      <c r="L46" s="770"/>
      <c r="M46" s="770"/>
      <c r="N46" s="770"/>
      <c r="O46" s="770"/>
    </row>
    <row r="47" spans="2:16" ht="18">
      <c r="D47" s="6"/>
      <c r="E47" s="1067"/>
      <c r="F47" s="1068"/>
      <c r="G47" s="1068"/>
      <c r="H47" s="1068"/>
      <c r="I47" s="842" t="str">
        <f>'1.Years'!D$7</f>
        <v>2025-26</v>
      </c>
      <c r="J47" s="1067"/>
      <c r="K47" s="843"/>
      <c r="L47" s="1068"/>
      <c r="M47" s="1068"/>
      <c r="N47" s="853" t="str">
        <f>'1.Years'!E$7</f>
        <v>2026-27</v>
      </c>
      <c r="O47" s="844" t="s">
        <v>84</v>
      </c>
    </row>
    <row r="48" spans="2:16">
      <c r="D48" s="845"/>
      <c r="E48" s="845"/>
      <c r="F48" s="778" t="s">
        <v>89</v>
      </c>
      <c r="G48" s="86"/>
      <c r="H48" s="86"/>
      <c r="I48" s="86"/>
      <c r="J48" s="845"/>
      <c r="K48" s="778" t="s">
        <v>89</v>
      </c>
      <c r="L48" s="86"/>
      <c r="M48" s="86"/>
      <c r="N48" s="846"/>
      <c r="O48" s="846"/>
    </row>
    <row r="49" spans="1:16">
      <c r="D49" s="845"/>
      <c r="E49" s="845"/>
      <c r="F49" s="778" t="s">
        <v>93</v>
      </c>
      <c r="G49" s="778"/>
      <c r="H49" s="778" t="s">
        <v>89</v>
      </c>
      <c r="I49" s="778"/>
      <c r="J49" s="845"/>
      <c r="K49" s="778" t="s">
        <v>93</v>
      </c>
      <c r="L49" s="778"/>
      <c r="M49" s="778" t="s">
        <v>89</v>
      </c>
      <c r="N49" s="854"/>
      <c r="O49" s="846"/>
    </row>
    <row r="50" spans="1:16">
      <c r="D50" s="845"/>
      <c r="E50" s="855" t="s">
        <v>94</v>
      </c>
      <c r="F50" s="778" t="s">
        <v>94</v>
      </c>
      <c r="G50" s="779" t="s">
        <v>95</v>
      </c>
      <c r="H50" s="778" t="s">
        <v>93</v>
      </c>
      <c r="I50" s="778"/>
      <c r="J50" s="855" t="s">
        <v>94</v>
      </c>
      <c r="K50" s="778" t="s">
        <v>94</v>
      </c>
      <c r="L50" s="779" t="s">
        <v>95</v>
      </c>
      <c r="M50" s="778" t="s">
        <v>93</v>
      </c>
      <c r="N50" s="854"/>
      <c r="O50" s="846"/>
    </row>
    <row r="51" spans="1:16" ht="15.75" thickBot="1">
      <c r="D51" s="849"/>
      <c r="E51" s="856" t="s">
        <v>97</v>
      </c>
      <c r="F51" s="780" t="s">
        <v>97</v>
      </c>
      <c r="G51" s="780" t="s">
        <v>98</v>
      </c>
      <c r="H51" s="795" t="s">
        <v>95</v>
      </c>
      <c r="I51" s="780" t="s">
        <v>89</v>
      </c>
      <c r="J51" s="856" t="s">
        <v>97</v>
      </c>
      <c r="K51" s="780" t="s">
        <v>97</v>
      </c>
      <c r="L51" s="780" t="s">
        <v>98</v>
      </c>
      <c r="M51" s="795" t="s">
        <v>95</v>
      </c>
      <c r="N51" s="857" t="s">
        <v>89</v>
      </c>
      <c r="O51" s="852"/>
    </row>
    <row r="52" spans="1:16">
      <c r="C52" s="1" t="s">
        <v>139</v>
      </c>
      <c r="D52" s="635" t="s">
        <v>99</v>
      </c>
      <c r="E52" s="1069"/>
      <c r="F52" s="1060"/>
      <c r="G52" s="1060">
        <f>VLOOKUP($C52, '11.Enrollment'!$A$1:$I$15, MATCH(I47, '11.Enrollment'!$A$2:$I$2,0),0)</f>
        <v>237243.80184872847</v>
      </c>
      <c r="H52" s="1061">
        <f ca="1">VLOOKUP($H$3, INDIRECT("'" &amp; LEFT($D52,1) &amp; "S_Detail'!$A$1:$AA$178"), MATCH(I47, INDIRECT("'" &amp; LEFT($D52,1) &amp; "S_Detail'!$U$4:$AA$4"), 0)+20, 0)</f>
        <v>22583.819540268611</v>
      </c>
      <c r="I52" s="1061">
        <f ca="1">+G52*H52</f>
        <v>5357871207.9989281</v>
      </c>
      <c r="J52" s="1069"/>
      <c r="K52" s="1061"/>
      <c r="L52" s="1060">
        <f>VLOOKUP($C52, '11.Enrollment'!$A$1:$I$15, MATCH(N47, '11.Enrollment'!$A$2:$I$2,0),0)</f>
        <v>237023.92807500399</v>
      </c>
      <c r="M52" s="1061">
        <f ca="1">VLOOKUP($H$3, INDIRECT("'" &amp; LEFT($D52,1) &amp; "S_Detail'!$A$1:$AA$178"), MATCH(N47, INDIRECT("'" &amp; LEFT($D52,1) &amp; "S_Detail'!$U$4:$AA$4"), 0)+20, 0)</f>
        <v>23264.201369110062</v>
      </c>
      <c r="N52" s="1070">
        <f ca="1">+L52*M52</f>
        <v>5514172392.0343523</v>
      </c>
      <c r="O52" s="1071"/>
    </row>
    <row r="53" spans="1:16">
      <c r="C53" s="785" t="s">
        <v>141</v>
      </c>
      <c r="D53" s="635" t="s">
        <v>100</v>
      </c>
      <c r="E53" s="1069"/>
      <c r="F53" s="1060"/>
      <c r="G53" s="1060">
        <f>VLOOKUP($C53, '11.Enrollment'!$A$1:$I$15, MATCH(I47, '11.Enrollment'!$A$2:$I$2,0),0)</f>
        <v>126252.92303325603</v>
      </c>
      <c r="H53" s="1061">
        <f ca="1">VLOOKUP($H$3, INDIRECT("'" &amp; LEFT($D53,1) &amp; "S_Detail'!$A$1:$AA$178"), MATCH(I47, INDIRECT("'" &amp; LEFT($D53,1) &amp; "S_Detail'!$U$4:$AA$4"), 0)+20, 0)</f>
        <v>21202.610266370444</v>
      </c>
      <c r="I53" s="1061">
        <f ca="1">+G53*H53</f>
        <v>2676891522.0641918</v>
      </c>
      <c r="J53" s="1069"/>
      <c r="K53" s="1061"/>
      <c r="L53" s="1060">
        <f>VLOOKUP($C53, '11.Enrollment'!$A$1:$I$15, MATCH(N47, '11.Enrollment'!$A$2:$I$2,0),0)</f>
        <v>126135.91383674699</v>
      </c>
      <c r="M53" s="1061">
        <f ca="1">VLOOKUP($H$3, INDIRECT("'" &amp; LEFT($D53,1) &amp; "S_Detail'!$A$1:$AA$178"), MATCH(N47, INDIRECT("'" &amp; LEFT($D53,1) &amp; "S_Detail'!$U$4:$AA$4"), 0)+20, 0)</f>
        <v>21834.958467421624</v>
      </c>
      <c r="N53" s="1070">
        <f ca="1">+L53*M53</f>
        <v>2754172439.8756428</v>
      </c>
      <c r="O53" s="1071"/>
    </row>
    <row r="54" spans="1:16">
      <c r="C54" s="785" t="s">
        <v>142</v>
      </c>
      <c r="D54" s="635" t="s">
        <v>101</v>
      </c>
      <c r="E54" s="1069"/>
      <c r="F54" s="1060"/>
      <c r="G54" s="1060">
        <f>VLOOKUP($C54, '11.Enrollment'!$A$1:$I$15, MATCH(I47, '11.Enrollment'!$A$2:$I$2,0),0)</f>
        <v>176003.27511801547</v>
      </c>
      <c r="H54" s="1061">
        <f ca="1">VLOOKUP($H$3, INDIRECT("'" &amp; LEFT($D54,1) &amp; "S_Detail'!$A$1:$AA$178"), MATCH(I47, INDIRECT("'" &amp; LEFT($D54,1) &amp; "S_Detail'!$U$4:$AA$4"), 0)+20, 0)</f>
        <v>20076.73421719921</v>
      </c>
      <c r="I54" s="1061">
        <f ca="1">+G54*H54</f>
        <v>3533570975.9009876</v>
      </c>
      <c r="J54" s="1069"/>
      <c r="K54" s="1061"/>
      <c r="L54" s="1060">
        <f>VLOOKUP($C54, '11.Enrollment'!$A$1:$I$15, MATCH(N47, '11.Enrollment'!$A$2:$I$2,0),0)</f>
        <v>175840.15808824901</v>
      </c>
      <c r="M54" s="1061">
        <f ca="1">VLOOKUP($H$3, INDIRECT("'" &amp; LEFT($D54,1) &amp; "S_Detail'!$A$1:$AA$178"), MATCH(N47, INDIRECT("'" &amp; LEFT($D54,1) &amp; "S_Detail'!$U$4:$AA$4"), 0)+20, 0)</f>
        <v>20669.609037271104</v>
      </c>
      <c r="N54" s="1070">
        <f ca="1">+L54*M54</f>
        <v>3634547320.7360516</v>
      </c>
      <c r="O54" s="1071"/>
    </row>
    <row r="55" spans="1:16">
      <c r="D55" s="635"/>
      <c r="E55" s="1069"/>
      <c r="F55" s="1060"/>
      <c r="G55" s="1060"/>
      <c r="H55" s="1061"/>
      <c r="I55" s="1061"/>
      <c r="J55" s="1069"/>
      <c r="K55" s="1060"/>
      <c r="L55" s="1060"/>
      <c r="M55" s="1061"/>
      <c r="N55" s="1070"/>
      <c r="O55" s="1071"/>
    </row>
    <row r="56" spans="1:16">
      <c r="A56" s="1" t="s">
        <v>96</v>
      </c>
      <c r="D56" s="635" t="s">
        <v>106</v>
      </c>
      <c r="E56" s="1069">
        <f ca="1">VLOOKUP($E$3, '11.Enrollment'!$B$1:$I$15, MATCH(I47, '11.Enrollment'!$B$2:$I$2,0),0)</f>
        <v>666500</v>
      </c>
      <c r="F56" s="1061">
        <f ca="1">+I56/E56</f>
        <v>17356.839768888385</v>
      </c>
      <c r="G56" s="1060">
        <f>SUM(G52:G54)</f>
        <v>539500</v>
      </c>
      <c r="H56" s="1061">
        <f ca="1">+I56/G56</f>
        <v>21442.694543028931</v>
      </c>
      <c r="I56" s="1061">
        <f ca="1">SUM(I52:I55)*J1</f>
        <v>11568333705.964108</v>
      </c>
      <c r="J56" s="1069">
        <f ca="1">VLOOKUP($E$3, '11.Enrollment'!$B$1:$I$15, MATCH(N47, '11.Enrollment'!$B$2:$I$2,0),0)</f>
        <v>665000</v>
      </c>
      <c r="K56" s="1061">
        <f ca="1">+N56/J56</f>
        <v>17899.085943828639</v>
      </c>
      <c r="L56" s="1060">
        <f>SUM(L52:L54)</f>
        <v>539000</v>
      </c>
      <c r="M56" s="1061">
        <f ca="1">+N56/L56</f>
        <v>22083.287852775597</v>
      </c>
      <c r="N56" s="1070">
        <f ca="1">SUM(N52:N55)*J1</f>
        <v>11902892152.646046</v>
      </c>
      <c r="O56" s="847">
        <f ca="1">+I56+N56</f>
        <v>23471225858.610153</v>
      </c>
      <c r="P56" s="801"/>
    </row>
    <row r="57" spans="1:16">
      <c r="A57" s="1" t="s">
        <v>102</v>
      </c>
      <c r="B57" s="1"/>
      <c r="D57" s="859" t="s">
        <v>107</v>
      </c>
      <c r="E57" s="1072"/>
      <c r="F57" s="1164"/>
      <c r="G57" s="1165"/>
      <c r="H57" s="1164"/>
      <c r="I57" s="1164">
        <f ca="1">G56*INDEX(ES_Detail!$A$1:$AA$179,MATCH("diff",ES_Detail!$A$1:$A$179,0),MATCH(I47,ES_Detail!$A$4:$AA$4,0))</f>
        <v>716066890.0632149</v>
      </c>
      <c r="J57" s="1072"/>
      <c r="K57" s="1164"/>
      <c r="L57" s="1165"/>
      <c r="M57" s="1164"/>
      <c r="N57" s="1073">
        <f ca="1">L56*INDEX(ES_Detail!$A$1:$AA$179,MATCH("diff",ES_Detail!$A$1:$A$179,0),MATCH(N47,ES_Detail!$A$4:$AA$4,0))</f>
        <v>746216737.92088675</v>
      </c>
      <c r="O57" s="860">
        <f ca="1">+I57+N57</f>
        <v>1462283627.9841018</v>
      </c>
      <c r="P57" s="801"/>
    </row>
    <row r="58" spans="1:16">
      <c r="D58" s="845" t="s">
        <v>108</v>
      </c>
      <c r="E58" s="1074"/>
      <c r="F58" s="1061"/>
      <c r="G58" s="1060"/>
      <c r="H58" s="1061"/>
      <c r="I58" s="781">
        <f ca="1">+I57+I56</f>
        <v>12284400596.027323</v>
      </c>
      <c r="J58" s="1074"/>
      <c r="K58" s="1075"/>
      <c r="L58" s="1060"/>
      <c r="M58" s="1061"/>
      <c r="N58" s="848">
        <f ca="1">+N57+N56</f>
        <v>12649108890.566933</v>
      </c>
      <c r="O58" s="848">
        <f ca="1">+O56+O57</f>
        <v>24933509486.594254</v>
      </c>
      <c r="P58" s="4"/>
    </row>
    <row r="59" spans="1:16">
      <c r="A59" s="1" t="s">
        <v>109</v>
      </c>
      <c r="B59" s="800" t="s">
        <v>157</v>
      </c>
      <c r="D59" s="635" t="s">
        <v>111</v>
      </c>
      <c r="E59" s="1076"/>
      <c r="F59" s="770"/>
      <c r="G59" s="770"/>
      <c r="H59" s="770"/>
      <c r="I59" s="1061">
        <f ca="1">VLOOKUP($B59, '12.RevenueForecasts'!$A$2:$H$18, MATCH(I47, '12.RevenueForecasts'!$A$2:$G$2,0),0)</f>
        <v>1277564608.6363163</v>
      </c>
      <c r="J59" s="1074"/>
      <c r="K59" s="1061"/>
      <c r="L59" s="1060"/>
      <c r="M59" s="1061"/>
      <c r="N59" s="1070">
        <f ca="1">VLOOKUP($B59, '12.RevenueForecasts'!$A$2:$H$18, MATCH(N47, '12.RevenueForecasts'!$A$2:$G$2,0),0)</f>
        <v>1364482647.4373989</v>
      </c>
      <c r="O59" s="1070">
        <f ca="1">+I59+N59</f>
        <v>2642047256.0737152</v>
      </c>
      <c r="P59" s="801"/>
    </row>
    <row r="60" spans="1:16">
      <c r="A60" s="1" t="s">
        <v>112</v>
      </c>
      <c r="B60" s="800" t="s">
        <v>158</v>
      </c>
      <c r="D60" s="635" t="s">
        <v>114</v>
      </c>
      <c r="E60" s="1076"/>
      <c r="F60" s="770"/>
      <c r="G60" s="770"/>
      <c r="H60" s="770"/>
      <c r="I60" s="1061">
        <f ca="1">VLOOKUP($B60, '12.RevenueForecasts'!$A$2:$H$18, MATCH(I47, '12.RevenueForecasts'!$A$2:$G$2,0),0)</f>
        <v>1573749597.9923267</v>
      </c>
      <c r="J60" s="1074"/>
      <c r="K60" s="1061"/>
      <c r="L60" s="1060"/>
      <c r="M60" s="1061"/>
      <c r="N60" s="1070">
        <f ca="1">VLOOKUP($B60, '12.RevenueForecasts'!$A$2:$H$18, MATCH(N47, '12.RevenueForecasts'!$A$2:$G$2,0),0)</f>
        <v>1807264391.8834498</v>
      </c>
      <c r="O60" s="1070">
        <f ca="1">+I60+N60</f>
        <v>3381013989.8757763</v>
      </c>
      <c r="P60" s="869"/>
    </row>
    <row r="61" spans="1:16">
      <c r="A61" s="1" t="s">
        <v>115</v>
      </c>
      <c r="B61" s="800" t="s">
        <v>159</v>
      </c>
      <c r="D61" s="635" t="s">
        <v>116</v>
      </c>
      <c r="E61" s="1076"/>
      <c r="F61" s="770"/>
      <c r="G61" s="770"/>
      <c r="H61" s="770"/>
      <c r="I61" s="1061">
        <f ca="1">VLOOKUP($B61, '12.RevenueForecasts'!$A$2:$H$18, MATCH(I47, '12.RevenueForecasts'!$A$2:$G$2,0),0)</f>
        <v>32299566.082358748</v>
      </c>
      <c r="J61" s="1074"/>
      <c r="K61" s="1061"/>
      <c r="L61" s="1060"/>
      <c r="M61" s="1061"/>
      <c r="N61" s="1070">
        <f ca="1">VLOOKUP($B61, '12.RevenueForecasts'!$A$2:$H$18, MATCH(N47, '12.RevenueForecasts'!$A$2:$G$2,0),0)</f>
        <v>33484338.575605132</v>
      </c>
      <c r="O61" s="1070">
        <f ca="1">+I61+N61</f>
        <v>65783904.657963879</v>
      </c>
      <c r="P61" s="861"/>
    </row>
    <row r="62" spans="1:16">
      <c r="A62" s="1" t="s">
        <v>117</v>
      </c>
      <c r="B62" t="s">
        <v>160</v>
      </c>
      <c r="D62" s="859" t="s">
        <v>119</v>
      </c>
      <c r="E62" s="1077"/>
      <c r="F62" s="1166"/>
      <c r="G62" s="1166"/>
      <c r="H62" s="1166"/>
      <c r="I62" s="1164">
        <f ca="1">VLOOKUP($B62, '7.PayrollBenefits'!$C$1:$CZ$16, MATCH(I47,'7.PayrollBenefits'!$C$2:$J$2,0),0)</f>
        <v>-97292248.81893748</v>
      </c>
      <c r="J62" s="1072"/>
      <c r="K62" s="1164"/>
      <c r="L62" s="1165"/>
      <c r="M62" s="1164"/>
      <c r="N62" s="1073">
        <f ca="1">VLOOKUP($B62, '7.PayrollBenefits'!$C$1:$CZ$16, MATCH(N47,'7.PayrollBenefits'!$C$2:$J$2,0),0)</f>
        <v>-93626355.448566198</v>
      </c>
      <c r="O62" s="1073">
        <f ca="1">+I62+N62</f>
        <v>-190918604.26750368</v>
      </c>
      <c r="P62" s="862"/>
    </row>
    <row r="63" spans="1:16" s="770" customFormat="1">
      <c r="A63"/>
      <c r="D63" s="845" t="s">
        <v>121</v>
      </c>
      <c r="E63" s="1076"/>
      <c r="I63" s="781">
        <f ca="1">+I58-I59-I60-I61-I62</f>
        <v>9498079072.1352577</v>
      </c>
      <c r="J63" s="1074"/>
      <c r="K63" s="1061"/>
      <c r="L63" s="1060"/>
      <c r="M63" s="1061"/>
      <c r="N63" s="848">
        <f ca="1">+N58-N59-N60-N61-N62</f>
        <v>9537503868.1190453</v>
      </c>
      <c r="O63" s="848">
        <f ca="1">+O58-O59-O60-O61-O62</f>
        <v>19035582940.254299</v>
      </c>
      <c r="P63" s="831"/>
    </row>
    <row r="64" spans="1:16">
      <c r="B64" t="s">
        <v>162</v>
      </c>
      <c r="D64" s="7" t="s">
        <v>122</v>
      </c>
      <c r="E64" s="1076"/>
      <c r="F64" s="770"/>
      <c r="G64" s="770"/>
      <c r="H64" s="770"/>
      <c r="I64" s="867">
        <f ca="1">I63*VLOOKUP($B64, '12.RevenueForecasts'!$A$2:$H$18,MATCH('Scale-Up'!I47,'12.RevenueForecasts'!$A$2:$G$2,0),0)</f>
        <v>9046920316.2088337</v>
      </c>
      <c r="J64" s="1074"/>
      <c r="K64" s="1061"/>
      <c r="L64" s="1060"/>
      <c r="M64" s="1061"/>
      <c r="N64" s="868">
        <f ca="1">N63*VLOOKUP($B64, '12.RevenueForecasts'!$A$2:$H$18,MATCH('Scale-Up'!N47,'12.RevenueForecasts'!$A$2:$G$2,0),0)</f>
        <v>9084472434.3833904</v>
      </c>
      <c r="O64" s="847">
        <f ca="1">+I64+N64</f>
        <v>18131392750.592224</v>
      </c>
      <c r="P64" s="861"/>
    </row>
    <row r="65" spans="1:18">
      <c r="D65" s="7" t="s">
        <v>125</v>
      </c>
      <c r="E65" s="1076"/>
      <c r="F65" s="770"/>
      <c r="G65" s="770"/>
      <c r="H65" s="770"/>
      <c r="I65" s="5">
        <f ca="1">I63-I64</f>
        <v>451158755.92642403</v>
      </c>
      <c r="J65" s="1074"/>
      <c r="K65" s="1061"/>
      <c r="L65" s="1060"/>
      <c r="M65" s="1061"/>
      <c r="N65" s="847">
        <f ca="1">N63-N64</f>
        <v>453031433.73565483</v>
      </c>
      <c r="O65" s="847">
        <f ca="1">+I65+N65</f>
        <v>904190189.66207886</v>
      </c>
      <c r="P65" s="861"/>
    </row>
    <row r="66" spans="1:18">
      <c r="A66" s="1" t="s">
        <v>123</v>
      </c>
      <c r="B66" s="787" t="s">
        <v>163</v>
      </c>
      <c r="D66" s="635" t="s">
        <v>126</v>
      </c>
      <c r="E66" s="1076"/>
      <c r="F66" s="770"/>
      <c r="G66" s="770"/>
      <c r="H66" s="770"/>
      <c r="I66" s="1061">
        <f>VLOOKUP($B66, '12.RevenueForecasts'!$A$2:$H$18, MATCH(I47, '12.RevenueForecasts'!$A$2:$G$2,0),0)</f>
        <v>2754358493</v>
      </c>
      <c r="J66" s="1074"/>
      <c r="K66" s="1061"/>
      <c r="L66" s="1060"/>
      <c r="M66" s="1061"/>
      <c r="N66" s="1070">
        <f>VLOOKUP($B66, '12.RevenueForecasts'!$A$2:$H$18, MATCH(N47, '12.RevenueForecasts'!$A$2:$G$2,0),0)</f>
        <v>2864291997</v>
      </c>
      <c r="O66" s="1070">
        <f>+I66+N66</f>
        <v>5618650490</v>
      </c>
      <c r="P66" s="801"/>
    </row>
    <row r="67" spans="1:18">
      <c r="A67" s="1" t="s">
        <v>104</v>
      </c>
      <c r="B67" s="8" t="s">
        <v>164</v>
      </c>
      <c r="D67" s="635" t="s">
        <v>170</v>
      </c>
      <c r="E67" s="1076"/>
      <c r="F67" s="770"/>
      <c r="G67" s="770"/>
      <c r="H67" s="770"/>
      <c r="I67" s="1061">
        <f ca="1">VLOOKUP($B67, 'K-12_assumptions'!$A$1:$L$189, MATCH(I47, 'K-12_assumptions'!$A$6:$L$6,0),0)*(10^6)</f>
        <v>55000000</v>
      </c>
      <c r="J67" s="1074"/>
      <c r="K67" s="1061"/>
      <c r="L67" s="1060"/>
      <c r="M67" s="1061"/>
      <c r="N67" s="1070">
        <f ca="1">VLOOKUP($B67, 'K-12_assumptions'!$A$1:$L$189, MATCH(N47, 'K-12_assumptions'!$A$6:$L$6,0),0)*(10^6)</f>
        <v>55000000</v>
      </c>
      <c r="O67" s="1070">
        <f ca="1">+I67+N67</f>
        <v>110000000</v>
      </c>
      <c r="P67" s="801"/>
    </row>
    <row r="68" spans="1:18" ht="15.75" thickBot="1">
      <c r="D68" s="858" t="s">
        <v>166</v>
      </c>
      <c r="E68" s="1078"/>
      <c r="F68" s="1079"/>
      <c r="G68" s="1079"/>
      <c r="H68" s="1079"/>
      <c r="I68" s="1080"/>
      <c r="J68" s="1081"/>
      <c r="K68" s="1080"/>
      <c r="L68" s="1082"/>
      <c r="M68" s="1080"/>
      <c r="N68" s="1083"/>
      <c r="O68" s="1083">
        <v>0</v>
      </c>
    </row>
    <row r="69" spans="1:18" ht="16.5" thickTop="1" thickBot="1">
      <c r="D69" s="849" t="s">
        <v>171</v>
      </c>
      <c r="E69" s="1084"/>
      <c r="F69" s="1084"/>
      <c r="G69" s="1084"/>
      <c r="H69" s="1084"/>
      <c r="I69" s="850">
        <f ca="1">+I63-I66+I67</f>
        <v>6798720579.1352577</v>
      </c>
      <c r="J69" s="1085"/>
      <c r="K69" s="1086"/>
      <c r="L69" s="1087"/>
      <c r="M69" s="1086"/>
      <c r="N69" s="851">
        <f ca="1">+N63-N66+N67</f>
        <v>6728211871.1190453</v>
      </c>
      <c r="O69" s="851">
        <f ca="1">+O63-O66+O67</f>
        <v>13526932450.254299</v>
      </c>
      <c r="P69" s="801"/>
    </row>
    <row r="70" spans="1:18">
      <c r="D70" s="86"/>
      <c r="E70" s="770"/>
      <c r="F70" s="770"/>
      <c r="G70" s="770"/>
      <c r="H70" s="796" t="s">
        <v>168</v>
      </c>
      <c r="I70" s="1058">
        <f>0.49*O70</f>
        <v>5524540855.4494238</v>
      </c>
      <c r="J70" s="770"/>
      <c r="K70" s="770"/>
      <c r="L70" s="770"/>
      <c r="M70" s="796" t="s">
        <v>168</v>
      </c>
      <c r="N70" s="781">
        <f>0.51*O70</f>
        <v>5750032318.9371557</v>
      </c>
      <c r="O70" s="1091">
        <v>11274573174.38658</v>
      </c>
      <c r="P70" t="s">
        <v>172</v>
      </c>
      <c r="R70" s="913"/>
    </row>
    <row r="71" spans="1:18">
      <c r="D71" s="86"/>
      <c r="E71" s="770"/>
      <c r="F71" s="770"/>
      <c r="G71" s="770"/>
      <c r="H71" s="770"/>
      <c r="I71" s="1088">
        <f ca="1">+I69-I70</f>
        <v>1274179723.6858339</v>
      </c>
      <c r="J71" s="770"/>
      <c r="K71" s="770"/>
      <c r="L71" s="770"/>
      <c r="M71" s="796"/>
      <c r="N71" s="1088">
        <f ca="1">+N69-N70</f>
        <v>978179552.18188953</v>
      </c>
      <c r="O71" s="1088">
        <f ca="1">+O69-O70</f>
        <v>2252359275.8677197</v>
      </c>
    </row>
    <row r="72" spans="1:18" ht="15.95" customHeight="1">
      <c r="E72" s="770"/>
      <c r="F72" s="770"/>
      <c r="G72" s="770"/>
      <c r="H72" s="770"/>
      <c r="I72" s="1089">
        <f ca="1">+I71/I70</f>
        <v>0.23063993135809271</v>
      </c>
      <c r="J72" s="770"/>
      <c r="K72" s="770"/>
      <c r="L72" s="1090"/>
      <c r="M72" s="770"/>
      <c r="N72" s="1089">
        <f ca="1">+N71/N70</f>
        <v>0.17011722681285688</v>
      </c>
      <c r="O72" s="1092">
        <f ca="1">+O71/O70</f>
        <v>0.19977335204002211</v>
      </c>
      <c r="P72" s="11"/>
    </row>
    <row r="73" spans="1:18">
      <c r="D73" s="86"/>
      <c r="E73" s="783"/>
      <c r="F73" s="4"/>
      <c r="G73" s="782"/>
      <c r="H73" s="4"/>
      <c r="I73" s="781"/>
      <c r="J73" s="793"/>
      <c r="K73" s="794"/>
    </row>
  </sheetData>
  <sheetProtection algorithmName="SHA-512" hashValue="eatClAktZkbQ2fir0mxa3stODBjVycS1iGYH+BN0fkpQD3It7DC2rQjF4u5eDAMXZLObEpPp2cJ97B9FLYKCOA==" saltValue="/KfY9CuAKqbRRIBHDAG6kA==" spinCount="100000" sheet="1" objects="1" scenarios="1"/>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tint="0.39997558519241921"/>
  </sheetPr>
  <dimension ref="A1:R41"/>
  <sheetViews>
    <sheetView zoomScale="80" zoomScaleNormal="80" workbookViewId="0"/>
  </sheetViews>
  <sheetFormatPr defaultRowHeight="12.75"/>
  <cols>
    <col min="1" max="7" width="12.7109375" style="799" customWidth="1"/>
    <col min="8" max="8" width="8.7109375" style="799" customWidth="1"/>
    <col min="9" max="9" width="12.7109375" style="799" customWidth="1"/>
    <col min="10" max="13" width="12.7109375" style="108" customWidth="1"/>
    <col min="14" max="15" width="10.7109375" style="108" customWidth="1"/>
    <col min="16" max="16" width="9.5703125" style="108" bestFit="1" customWidth="1"/>
    <col min="17" max="17" width="9.140625" style="108"/>
    <col min="18" max="253" width="9.140625" style="799"/>
    <col min="254" max="260" width="12.7109375" style="799" customWidth="1"/>
    <col min="261" max="261" width="8.7109375" style="799" customWidth="1"/>
    <col min="262" max="266" width="12.7109375" style="799" customWidth="1"/>
    <col min="267" max="268" width="10.7109375" style="799" customWidth="1"/>
    <col min="269" max="269" width="9.5703125" style="799" bestFit="1" customWidth="1"/>
    <col min="270" max="509" width="9.140625" style="799"/>
    <col min="510" max="516" width="12.7109375" style="799" customWidth="1"/>
    <col min="517" max="517" width="8.7109375" style="799" customWidth="1"/>
    <col min="518" max="522" width="12.7109375" style="799" customWidth="1"/>
    <col min="523" max="524" width="10.7109375" style="799" customWidth="1"/>
    <col min="525" max="525" width="9.5703125" style="799" bestFit="1" customWidth="1"/>
    <col min="526" max="765" width="9.140625" style="799"/>
    <col min="766" max="772" width="12.7109375" style="799" customWidth="1"/>
    <col min="773" max="773" width="8.7109375" style="799" customWidth="1"/>
    <col min="774" max="778" width="12.7109375" style="799" customWidth="1"/>
    <col min="779" max="780" width="10.7109375" style="799" customWidth="1"/>
    <col min="781" max="781" width="9.5703125" style="799" bestFit="1" customWidth="1"/>
    <col min="782" max="1021" width="9.140625" style="799"/>
    <col min="1022" max="1028" width="12.7109375" style="799" customWidth="1"/>
    <col min="1029" max="1029" width="8.7109375" style="799" customWidth="1"/>
    <col min="1030" max="1034" width="12.7109375" style="799" customWidth="1"/>
    <col min="1035" max="1036" width="10.7109375" style="799" customWidth="1"/>
    <col min="1037" max="1037" width="9.5703125" style="799" bestFit="1" customWidth="1"/>
    <col min="1038" max="1277" width="9.140625" style="799"/>
    <col min="1278" max="1284" width="12.7109375" style="799" customWidth="1"/>
    <col min="1285" max="1285" width="8.7109375" style="799" customWidth="1"/>
    <col min="1286" max="1290" width="12.7109375" style="799" customWidth="1"/>
    <col min="1291" max="1292" width="10.7109375" style="799" customWidth="1"/>
    <col min="1293" max="1293" width="9.5703125" style="799" bestFit="1" customWidth="1"/>
    <col min="1294" max="1533" width="9.140625" style="799"/>
    <col min="1534" max="1540" width="12.7109375" style="799" customWidth="1"/>
    <col min="1541" max="1541" width="8.7109375" style="799" customWidth="1"/>
    <col min="1542" max="1546" width="12.7109375" style="799" customWidth="1"/>
    <col min="1547" max="1548" width="10.7109375" style="799" customWidth="1"/>
    <col min="1549" max="1549" width="9.5703125" style="799" bestFit="1" customWidth="1"/>
    <col min="1550" max="1789" width="9.140625" style="799"/>
    <col min="1790" max="1796" width="12.7109375" style="799" customWidth="1"/>
    <col min="1797" max="1797" width="8.7109375" style="799" customWidth="1"/>
    <col min="1798" max="1802" width="12.7109375" style="799" customWidth="1"/>
    <col min="1803" max="1804" width="10.7109375" style="799" customWidth="1"/>
    <col min="1805" max="1805" width="9.5703125" style="799" bestFit="1" customWidth="1"/>
    <col min="1806" max="2045" width="9.140625" style="799"/>
    <col min="2046" max="2052" width="12.7109375" style="799" customWidth="1"/>
    <col min="2053" max="2053" width="8.7109375" style="799" customWidth="1"/>
    <col min="2054" max="2058" width="12.7109375" style="799" customWidth="1"/>
    <col min="2059" max="2060" width="10.7109375" style="799" customWidth="1"/>
    <col min="2061" max="2061" width="9.5703125" style="799" bestFit="1" customWidth="1"/>
    <col min="2062" max="2301" width="9.140625" style="799"/>
    <col min="2302" max="2308" width="12.7109375" style="799" customWidth="1"/>
    <col min="2309" max="2309" width="8.7109375" style="799" customWidth="1"/>
    <col min="2310" max="2314" width="12.7109375" style="799" customWidth="1"/>
    <col min="2315" max="2316" width="10.7109375" style="799" customWidth="1"/>
    <col min="2317" max="2317" width="9.5703125" style="799" bestFit="1" customWidth="1"/>
    <col min="2318" max="2557" width="9.140625" style="799"/>
    <col min="2558" max="2564" width="12.7109375" style="799" customWidth="1"/>
    <col min="2565" max="2565" width="8.7109375" style="799" customWidth="1"/>
    <col min="2566" max="2570" width="12.7109375" style="799" customWidth="1"/>
    <col min="2571" max="2572" width="10.7109375" style="799" customWidth="1"/>
    <col min="2573" max="2573" width="9.5703125" style="799" bestFit="1" customWidth="1"/>
    <col min="2574" max="2813" width="9.140625" style="799"/>
    <col min="2814" max="2820" width="12.7109375" style="799" customWidth="1"/>
    <col min="2821" max="2821" width="8.7109375" style="799" customWidth="1"/>
    <col min="2822" max="2826" width="12.7109375" style="799" customWidth="1"/>
    <col min="2827" max="2828" width="10.7109375" style="799" customWidth="1"/>
    <col min="2829" max="2829" width="9.5703125" style="799" bestFit="1" customWidth="1"/>
    <col min="2830" max="3069" width="9.140625" style="799"/>
    <col min="3070" max="3076" width="12.7109375" style="799" customWidth="1"/>
    <col min="3077" max="3077" width="8.7109375" style="799" customWidth="1"/>
    <col min="3078" max="3082" width="12.7109375" style="799" customWidth="1"/>
    <col min="3083" max="3084" width="10.7109375" style="799" customWidth="1"/>
    <col min="3085" max="3085" width="9.5703125" style="799" bestFit="1" customWidth="1"/>
    <col min="3086" max="3325" width="9.140625" style="799"/>
    <col min="3326" max="3332" width="12.7109375" style="799" customWidth="1"/>
    <col min="3333" max="3333" width="8.7109375" style="799" customWidth="1"/>
    <col min="3334" max="3338" width="12.7109375" style="799" customWidth="1"/>
    <col min="3339" max="3340" width="10.7109375" style="799" customWidth="1"/>
    <col min="3341" max="3341" width="9.5703125" style="799" bestFit="1" customWidth="1"/>
    <col min="3342" max="3581" width="9.140625" style="799"/>
    <col min="3582" max="3588" width="12.7109375" style="799" customWidth="1"/>
    <col min="3589" max="3589" width="8.7109375" style="799" customWidth="1"/>
    <col min="3590" max="3594" width="12.7109375" style="799" customWidth="1"/>
    <col min="3595" max="3596" width="10.7109375" style="799" customWidth="1"/>
    <col min="3597" max="3597" width="9.5703125" style="799" bestFit="1" customWidth="1"/>
    <col min="3598" max="3837" width="9.140625" style="799"/>
    <col min="3838" max="3844" width="12.7109375" style="799" customWidth="1"/>
    <col min="3845" max="3845" width="8.7109375" style="799" customWidth="1"/>
    <col min="3846" max="3850" width="12.7109375" style="799" customWidth="1"/>
    <col min="3851" max="3852" width="10.7109375" style="799" customWidth="1"/>
    <col min="3853" max="3853" width="9.5703125" style="799" bestFit="1" customWidth="1"/>
    <col min="3854" max="4093" width="9.140625" style="799"/>
    <col min="4094" max="4100" width="12.7109375" style="799" customWidth="1"/>
    <col min="4101" max="4101" width="8.7109375" style="799" customWidth="1"/>
    <col min="4102" max="4106" width="12.7109375" style="799" customWidth="1"/>
    <col min="4107" max="4108" width="10.7109375" style="799" customWidth="1"/>
    <col min="4109" max="4109" width="9.5703125" style="799" bestFit="1" customWidth="1"/>
    <col min="4110" max="4349" width="9.140625" style="799"/>
    <col min="4350" max="4356" width="12.7109375" style="799" customWidth="1"/>
    <col min="4357" max="4357" width="8.7109375" style="799" customWidth="1"/>
    <col min="4358" max="4362" width="12.7109375" style="799" customWidth="1"/>
    <col min="4363" max="4364" width="10.7109375" style="799" customWidth="1"/>
    <col min="4365" max="4365" width="9.5703125" style="799" bestFit="1" customWidth="1"/>
    <col min="4366" max="4605" width="9.140625" style="799"/>
    <col min="4606" max="4612" width="12.7109375" style="799" customWidth="1"/>
    <col min="4613" max="4613" width="8.7109375" style="799" customWidth="1"/>
    <col min="4614" max="4618" width="12.7109375" style="799" customWidth="1"/>
    <col min="4619" max="4620" width="10.7109375" style="799" customWidth="1"/>
    <col min="4621" max="4621" width="9.5703125" style="799" bestFit="1" customWidth="1"/>
    <col min="4622" max="4861" width="9.140625" style="799"/>
    <col min="4862" max="4868" width="12.7109375" style="799" customWidth="1"/>
    <col min="4869" max="4869" width="8.7109375" style="799" customWidth="1"/>
    <col min="4870" max="4874" width="12.7109375" style="799" customWidth="1"/>
    <col min="4875" max="4876" width="10.7109375" style="799" customWidth="1"/>
    <col min="4877" max="4877" width="9.5703125" style="799" bestFit="1" customWidth="1"/>
    <col min="4878" max="5117" width="9.140625" style="799"/>
    <col min="5118" max="5124" width="12.7109375" style="799" customWidth="1"/>
    <col min="5125" max="5125" width="8.7109375" style="799" customWidth="1"/>
    <col min="5126" max="5130" width="12.7109375" style="799" customWidth="1"/>
    <col min="5131" max="5132" width="10.7109375" style="799" customWidth="1"/>
    <col min="5133" max="5133" width="9.5703125" style="799" bestFit="1" customWidth="1"/>
    <col min="5134" max="5373" width="9.140625" style="799"/>
    <col min="5374" max="5380" width="12.7109375" style="799" customWidth="1"/>
    <col min="5381" max="5381" width="8.7109375" style="799" customWidth="1"/>
    <col min="5382" max="5386" width="12.7109375" style="799" customWidth="1"/>
    <col min="5387" max="5388" width="10.7109375" style="799" customWidth="1"/>
    <col min="5389" max="5389" width="9.5703125" style="799" bestFit="1" customWidth="1"/>
    <col min="5390" max="5629" width="9.140625" style="799"/>
    <col min="5630" max="5636" width="12.7109375" style="799" customWidth="1"/>
    <col min="5637" max="5637" width="8.7109375" style="799" customWidth="1"/>
    <col min="5638" max="5642" width="12.7109375" style="799" customWidth="1"/>
    <col min="5643" max="5644" width="10.7109375" style="799" customWidth="1"/>
    <col min="5645" max="5645" width="9.5703125" style="799" bestFit="1" customWidth="1"/>
    <col min="5646" max="5885" width="9.140625" style="799"/>
    <col min="5886" max="5892" width="12.7109375" style="799" customWidth="1"/>
    <col min="5893" max="5893" width="8.7109375" style="799" customWidth="1"/>
    <col min="5894" max="5898" width="12.7109375" style="799" customWidth="1"/>
    <col min="5899" max="5900" width="10.7109375" style="799" customWidth="1"/>
    <col min="5901" max="5901" width="9.5703125" style="799" bestFit="1" customWidth="1"/>
    <col min="5902" max="6141" width="9.140625" style="799"/>
    <col min="6142" max="6148" width="12.7109375" style="799" customWidth="1"/>
    <col min="6149" max="6149" width="8.7109375" style="799" customWidth="1"/>
    <col min="6150" max="6154" width="12.7109375" style="799" customWidth="1"/>
    <col min="6155" max="6156" width="10.7109375" style="799" customWidth="1"/>
    <col min="6157" max="6157" width="9.5703125" style="799" bestFit="1" customWidth="1"/>
    <col min="6158" max="6397" width="9.140625" style="799"/>
    <col min="6398" max="6404" width="12.7109375" style="799" customWidth="1"/>
    <col min="6405" max="6405" width="8.7109375" style="799" customWidth="1"/>
    <col min="6406" max="6410" width="12.7109375" style="799" customWidth="1"/>
    <col min="6411" max="6412" width="10.7109375" style="799" customWidth="1"/>
    <col min="6413" max="6413" width="9.5703125" style="799" bestFit="1" customWidth="1"/>
    <col min="6414" max="6653" width="9.140625" style="799"/>
    <col min="6654" max="6660" width="12.7109375" style="799" customWidth="1"/>
    <col min="6661" max="6661" width="8.7109375" style="799" customWidth="1"/>
    <col min="6662" max="6666" width="12.7109375" style="799" customWidth="1"/>
    <col min="6667" max="6668" width="10.7109375" style="799" customWidth="1"/>
    <col min="6669" max="6669" width="9.5703125" style="799" bestFit="1" customWidth="1"/>
    <col min="6670" max="6909" width="9.140625" style="799"/>
    <col min="6910" max="6916" width="12.7109375" style="799" customWidth="1"/>
    <col min="6917" max="6917" width="8.7109375" style="799" customWidth="1"/>
    <col min="6918" max="6922" width="12.7109375" style="799" customWidth="1"/>
    <col min="6923" max="6924" width="10.7109375" style="799" customWidth="1"/>
    <col min="6925" max="6925" width="9.5703125" style="799" bestFit="1" customWidth="1"/>
    <col min="6926" max="7165" width="9.140625" style="799"/>
    <col min="7166" max="7172" width="12.7109375" style="799" customWidth="1"/>
    <col min="7173" max="7173" width="8.7109375" style="799" customWidth="1"/>
    <col min="7174" max="7178" width="12.7109375" style="799" customWidth="1"/>
    <col min="7179" max="7180" width="10.7109375" style="799" customWidth="1"/>
    <col min="7181" max="7181" width="9.5703125" style="799" bestFit="1" customWidth="1"/>
    <col min="7182" max="7421" width="9.140625" style="799"/>
    <col min="7422" max="7428" width="12.7109375" style="799" customWidth="1"/>
    <col min="7429" max="7429" width="8.7109375" style="799" customWidth="1"/>
    <col min="7430" max="7434" width="12.7109375" style="799" customWidth="1"/>
    <col min="7435" max="7436" width="10.7109375" style="799" customWidth="1"/>
    <col min="7437" max="7437" width="9.5703125" style="799" bestFit="1" customWidth="1"/>
    <col min="7438" max="7677" width="9.140625" style="799"/>
    <col min="7678" max="7684" width="12.7109375" style="799" customWidth="1"/>
    <col min="7685" max="7685" width="8.7109375" style="799" customWidth="1"/>
    <col min="7686" max="7690" width="12.7109375" style="799" customWidth="1"/>
    <col min="7691" max="7692" width="10.7109375" style="799" customWidth="1"/>
    <col min="7693" max="7693" width="9.5703125" style="799" bestFit="1" customWidth="1"/>
    <col min="7694" max="7933" width="9.140625" style="799"/>
    <col min="7934" max="7940" width="12.7109375" style="799" customWidth="1"/>
    <col min="7941" max="7941" width="8.7109375" style="799" customWidth="1"/>
    <col min="7942" max="7946" width="12.7109375" style="799" customWidth="1"/>
    <col min="7947" max="7948" width="10.7109375" style="799" customWidth="1"/>
    <col min="7949" max="7949" width="9.5703125" style="799" bestFit="1" customWidth="1"/>
    <col min="7950" max="8189" width="9.140625" style="799"/>
    <col min="8190" max="8196" width="12.7109375" style="799" customWidth="1"/>
    <col min="8197" max="8197" width="8.7109375" style="799" customWidth="1"/>
    <col min="8198" max="8202" width="12.7109375" style="799" customWidth="1"/>
    <col min="8203" max="8204" width="10.7109375" style="799" customWidth="1"/>
    <col min="8205" max="8205" width="9.5703125" style="799" bestFit="1" customWidth="1"/>
    <col min="8206" max="8445" width="9.140625" style="799"/>
    <col min="8446" max="8452" width="12.7109375" style="799" customWidth="1"/>
    <col min="8453" max="8453" width="8.7109375" style="799" customWidth="1"/>
    <col min="8454" max="8458" width="12.7109375" style="799" customWidth="1"/>
    <col min="8459" max="8460" width="10.7109375" style="799" customWidth="1"/>
    <col min="8461" max="8461" width="9.5703125" style="799" bestFit="1" customWidth="1"/>
    <col min="8462" max="8701" width="9.140625" style="799"/>
    <col min="8702" max="8708" width="12.7109375" style="799" customWidth="1"/>
    <col min="8709" max="8709" width="8.7109375" style="799" customWidth="1"/>
    <col min="8710" max="8714" width="12.7109375" style="799" customWidth="1"/>
    <col min="8715" max="8716" width="10.7109375" style="799" customWidth="1"/>
    <col min="8717" max="8717" width="9.5703125" style="799" bestFit="1" customWidth="1"/>
    <col min="8718" max="8957" width="9.140625" style="799"/>
    <col min="8958" max="8964" width="12.7109375" style="799" customWidth="1"/>
    <col min="8965" max="8965" width="8.7109375" style="799" customWidth="1"/>
    <col min="8966" max="8970" width="12.7109375" style="799" customWidth="1"/>
    <col min="8971" max="8972" width="10.7109375" style="799" customWidth="1"/>
    <col min="8973" max="8973" width="9.5703125" style="799" bestFit="1" customWidth="1"/>
    <col min="8974" max="9213" width="9.140625" style="799"/>
    <col min="9214" max="9220" width="12.7109375" style="799" customWidth="1"/>
    <col min="9221" max="9221" width="8.7109375" style="799" customWidth="1"/>
    <col min="9222" max="9226" width="12.7109375" style="799" customWidth="1"/>
    <col min="9227" max="9228" width="10.7109375" style="799" customWidth="1"/>
    <col min="9229" max="9229" width="9.5703125" style="799" bestFit="1" customWidth="1"/>
    <col min="9230" max="9469" width="9.140625" style="799"/>
    <col min="9470" max="9476" width="12.7109375" style="799" customWidth="1"/>
    <col min="9477" max="9477" width="8.7109375" style="799" customWidth="1"/>
    <col min="9478" max="9482" width="12.7109375" style="799" customWidth="1"/>
    <col min="9483" max="9484" width="10.7109375" style="799" customWidth="1"/>
    <col min="9485" max="9485" width="9.5703125" style="799" bestFit="1" customWidth="1"/>
    <col min="9486" max="9725" width="9.140625" style="799"/>
    <col min="9726" max="9732" width="12.7109375" style="799" customWidth="1"/>
    <col min="9733" max="9733" width="8.7109375" style="799" customWidth="1"/>
    <col min="9734" max="9738" width="12.7109375" style="799" customWidth="1"/>
    <col min="9739" max="9740" width="10.7109375" style="799" customWidth="1"/>
    <col min="9741" max="9741" width="9.5703125" style="799" bestFit="1" customWidth="1"/>
    <col min="9742" max="9981" width="9.140625" style="799"/>
    <col min="9982" max="9988" width="12.7109375" style="799" customWidth="1"/>
    <col min="9989" max="9989" width="8.7109375" style="799" customWidth="1"/>
    <col min="9990" max="9994" width="12.7109375" style="799" customWidth="1"/>
    <col min="9995" max="9996" width="10.7109375" style="799" customWidth="1"/>
    <col min="9997" max="9997" width="9.5703125" style="799" bestFit="1" customWidth="1"/>
    <col min="9998" max="10237" width="9.140625" style="799"/>
    <col min="10238" max="10244" width="12.7109375" style="799" customWidth="1"/>
    <col min="10245" max="10245" width="8.7109375" style="799" customWidth="1"/>
    <col min="10246" max="10250" width="12.7109375" style="799" customWidth="1"/>
    <col min="10251" max="10252" width="10.7109375" style="799" customWidth="1"/>
    <col min="10253" max="10253" width="9.5703125" style="799" bestFit="1" customWidth="1"/>
    <col min="10254" max="10493" width="9.140625" style="799"/>
    <col min="10494" max="10500" width="12.7109375" style="799" customWidth="1"/>
    <col min="10501" max="10501" width="8.7109375" style="799" customWidth="1"/>
    <col min="10502" max="10506" width="12.7109375" style="799" customWidth="1"/>
    <col min="10507" max="10508" width="10.7109375" style="799" customWidth="1"/>
    <col min="10509" max="10509" width="9.5703125" style="799" bestFit="1" customWidth="1"/>
    <col min="10510" max="10749" width="9.140625" style="799"/>
    <col min="10750" max="10756" width="12.7109375" style="799" customWidth="1"/>
    <col min="10757" max="10757" width="8.7109375" style="799" customWidth="1"/>
    <col min="10758" max="10762" width="12.7109375" style="799" customWidth="1"/>
    <col min="10763" max="10764" width="10.7109375" style="799" customWidth="1"/>
    <col min="10765" max="10765" width="9.5703125" style="799" bestFit="1" customWidth="1"/>
    <col min="10766" max="11005" width="9.140625" style="799"/>
    <col min="11006" max="11012" width="12.7109375" style="799" customWidth="1"/>
    <col min="11013" max="11013" width="8.7109375" style="799" customWidth="1"/>
    <col min="11014" max="11018" width="12.7109375" style="799" customWidth="1"/>
    <col min="11019" max="11020" width="10.7109375" style="799" customWidth="1"/>
    <col min="11021" max="11021" width="9.5703125" style="799" bestFit="1" customWidth="1"/>
    <col min="11022" max="11261" width="9.140625" style="799"/>
    <col min="11262" max="11268" width="12.7109375" style="799" customWidth="1"/>
    <col min="11269" max="11269" width="8.7109375" style="799" customWidth="1"/>
    <col min="11270" max="11274" width="12.7109375" style="799" customWidth="1"/>
    <col min="11275" max="11276" width="10.7109375" style="799" customWidth="1"/>
    <col min="11277" max="11277" width="9.5703125" style="799" bestFit="1" customWidth="1"/>
    <col min="11278" max="11517" width="9.140625" style="799"/>
    <col min="11518" max="11524" width="12.7109375" style="799" customWidth="1"/>
    <col min="11525" max="11525" width="8.7109375" style="799" customWidth="1"/>
    <col min="11526" max="11530" width="12.7109375" style="799" customWidth="1"/>
    <col min="11531" max="11532" width="10.7109375" style="799" customWidth="1"/>
    <col min="11533" max="11533" width="9.5703125" style="799" bestFit="1" customWidth="1"/>
    <col min="11534" max="11773" width="9.140625" style="799"/>
    <col min="11774" max="11780" width="12.7109375" style="799" customWidth="1"/>
    <col min="11781" max="11781" width="8.7109375" style="799" customWidth="1"/>
    <col min="11782" max="11786" width="12.7109375" style="799" customWidth="1"/>
    <col min="11787" max="11788" width="10.7109375" style="799" customWidth="1"/>
    <col min="11789" max="11789" width="9.5703125" style="799" bestFit="1" customWidth="1"/>
    <col min="11790" max="12029" width="9.140625" style="799"/>
    <col min="12030" max="12036" width="12.7109375" style="799" customWidth="1"/>
    <col min="12037" max="12037" width="8.7109375" style="799" customWidth="1"/>
    <col min="12038" max="12042" width="12.7109375" style="799" customWidth="1"/>
    <col min="12043" max="12044" width="10.7109375" style="799" customWidth="1"/>
    <col min="12045" max="12045" width="9.5703125" style="799" bestFit="1" customWidth="1"/>
    <col min="12046" max="12285" width="9.140625" style="799"/>
    <col min="12286" max="12292" width="12.7109375" style="799" customWidth="1"/>
    <col min="12293" max="12293" width="8.7109375" style="799" customWidth="1"/>
    <col min="12294" max="12298" width="12.7109375" style="799" customWidth="1"/>
    <col min="12299" max="12300" width="10.7109375" style="799" customWidth="1"/>
    <col min="12301" max="12301" width="9.5703125" style="799" bestFit="1" customWidth="1"/>
    <col min="12302" max="12541" width="9.140625" style="799"/>
    <col min="12542" max="12548" width="12.7109375" style="799" customWidth="1"/>
    <col min="12549" max="12549" width="8.7109375" style="799" customWidth="1"/>
    <col min="12550" max="12554" width="12.7109375" style="799" customWidth="1"/>
    <col min="12555" max="12556" width="10.7109375" style="799" customWidth="1"/>
    <col min="12557" max="12557" width="9.5703125" style="799" bestFit="1" customWidth="1"/>
    <col min="12558" max="12797" width="9.140625" style="799"/>
    <col min="12798" max="12804" width="12.7109375" style="799" customWidth="1"/>
    <col min="12805" max="12805" width="8.7109375" style="799" customWidth="1"/>
    <col min="12806" max="12810" width="12.7109375" style="799" customWidth="1"/>
    <col min="12811" max="12812" width="10.7109375" style="799" customWidth="1"/>
    <col min="12813" max="12813" width="9.5703125" style="799" bestFit="1" customWidth="1"/>
    <col min="12814" max="13053" width="9.140625" style="799"/>
    <col min="13054" max="13060" width="12.7109375" style="799" customWidth="1"/>
    <col min="13061" max="13061" width="8.7109375" style="799" customWidth="1"/>
    <col min="13062" max="13066" width="12.7109375" style="799" customWidth="1"/>
    <col min="13067" max="13068" width="10.7109375" style="799" customWidth="1"/>
    <col min="13069" max="13069" width="9.5703125" style="799" bestFit="1" customWidth="1"/>
    <col min="13070" max="13309" width="9.140625" style="799"/>
    <col min="13310" max="13316" width="12.7109375" style="799" customWidth="1"/>
    <col min="13317" max="13317" width="8.7109375" style="799" customWidth="1"/>
    <col min="13318" max="13322" width="12.7109375" style="799" customWidth="1"/>
    <col min="13323" max="13324" width="10.7109375" style="799" customWidth="1"/>
    <col min="13325" max="13325" width="9.5703125" style="799" bestFit="1" customWidth="1"/>
    <col min="13326" max="13565" width="9.140625" style="799"/>
    <col min="13566" max="13572" width="12.7109375" style="799" customWidth="1"/>
    <col min="13573" max="13573" width="8.7109375" style="799" customWidth="1"/>
    <col min="13574" max="13578" width="12.7109375" style="799" customWidth="1"/>
    <col min="13579" max="13580" width="10.7109375" style="799" customWidth="1"/>
    <col min="13581" max="13581" width="9.5703125" style="799" bestFit="1" customWidth="1"/>
    <col min="13582" max="13821" width="9.140625" style="799"/>
    <col min="13822" max="13828" width="12.7109375" style="799" customWidth="1"/>
    <col min="13829" max="13829" width="8.7109375" style="799" customWidth="1"/>
    <col min="13830" max="13834" width="12.7109375" style="799" customWidth="1"/>
    <col min="13835" max="13836" width="10.7109375" style="799" customWidth="1"/>
    <col min="13837" max="13837" width="9.5703125" style="799" bestFit="1" customWidth="1"/>
    <col min="13838" max="14077" width="9.140625" style="799"/>
    <col min="14078" max="14084" width="12.7109375" style="799" customWidth="1"/>
    <col min="14085" max="14085" width="8.7109375" style="799" customWidth="1"/>
    <col min="14086" max="14090" width="12.7109375" style="799" customWidth="1"/>
    <col min="14091" max="14092" width="10.7109375" style="799" customWidth="1"/>
    <col min="14093" max="14093" width="9.5703125" style="799" bestFit="1" customWidth="1"/>
    <col min="14094" max="14333" width="9.140625" style="799"/>
    <col min="14334" max="14340" width="12.7109375" style="799" customWidth="1"/>
    <col min="14341" max="14341" width="8.7109375" style="799" customWidth="1"/>
    <col min="14342" max="14346" width="12.7109375" style="799" customWidth="1"/>
    <col min="14347" max="14348" width="10.7109375" style="799" customWidth="1"/>
    <col min="14349" max="14349" width="9.5703125" style="799" bestFit="1" customWidth="1"/>
    <col min="14350" max="14589" width="9.140625" style="799"/>
    <col min="14590" max="14596" width="12.7109375" style="799" customWidth="1"/>
    <col min="14597" max="14597" width="8.7109375" style="799" customWidth="1"/>
    <col min="14598" max="14602" width="12.7109375" style="799" customWidth="1"/>
    <col min="14603" max="14604" width="10.7109375" style="799" customWidth="1"/>
    <col min="14605" max="14605" width="9.5703125" style="799" bestFit="1" customWidth="1"/>
    <col min="14606" max="14845" width="9.140625" style="799"/>
    <col min="14846" max="14852" width="12.7109375" style="799" customWidth="1"/>
    <col min="14853" max="14853" width="8.7109375" style="799" customWidth="1"/>
    <col min="14854" max="14858" width="12.7109375" style="799" customWidth="1"/>
    <col min="14859" max="14860" width="10.7109375" style="799" customWidth="1"/>
    <col min="14861" max="14861" width="9.5703125" style="799" bestFit="1" customWidth="1"/>
    <col min="14862" max="15101" width="9.140625" style="799"/>
    <col min="15102" max="15108" width="12.7109375" style="799" customWidth="1"/>
    <col min="15109" max="15109" width="8.7109375" style="799" customWidth="1"/>
    <col min="15110" max="15114" width="12.7109375" style="799" customWidth="1"/>
    <col min="15115" max="15116" width="10.7109375" style="799" customWidth="1"/>
    <col min="15117" max="15117" width="9.5703125" style="799" bestFit="1" customWidth="1"/>
    <col min="15118" max="15357" width="9.140625" style="799"/>
    <col min="15358" max="15364" width="12.7109375" style="799" customWidth="1"/>
    <col min="15365" max="15365" width="8.7109375" style="799" customWidth="1"/>
    <col min="15366" max="15370" width="12.7109375" style="799" customWidth="1"/>
    <col min="15371" max="15372" width="10.7109375" style="799" customWidth="1"/>
    <col min="15373" max="15373" width="9.5703125" style="799" bestFit="1" customWidth="1"/>
    <col min="15374" max="15613" width="9.140625" style="799"/>
    <col min="15614" max="15620" width="12.7109375" style="799" customWidth="1"/>
    <col min="15621" max="15621" width="8.7109375" style="799" customWidth="1"/>
    <col min="15622" max="15626" width="12.7109375" style="799" customWidth="1"/>
    <col min="15627" max="15628" width="10.7109375" style="799" customWidth="1"/>
    <col min="15629" max="15629" width="9.5703125" style="799" bestFit="1" customWidth="1"/>
    <col min="15630" max="15869" width="9.140625" style="799"/>
    <col min="15870" max="15876" width="12.7109375" style="799" customWidth="1"/>
    <col min="15877" max="15877" width="8.7109375" style="799" customWidth="1"/>
    <col min="15878" max="15882" width="12.7109375" style="799" customWidth="1"/>
    <col min="15883" max="15884" width="10.7109375" style="799" customWidth="1"/>
    <col min="15885" max="15885" width="9.5703125" style="799" bestFit="1" customWidth="1"/>
    <col min="15886" max="16125" width="9.140625" style="799"/>
    <col min="16126" max="16132" width="12.7109375" style="799" customWidth="1"/>
    <col min="16133" max="16133" width="8.7109375" style="799" customWidth="1"/>
    <col min="16134" max="16138" width="12.7109375" style="799" customWidth="1"/>
    <col min="16139" max="16140" width="10.7109375" style="799" customWidth="1"/>
    <col min="16141" max="16141" width="9.5703125" style="799" bestFit="1" customWidth="1"/>
    <col min="16142" max="16384" width="9.140625" style="799"/>
  </cols>
  <sheetData>
    <row r="1" spans="1:17">
      <c r="A1" s="811" t="s">
        <v>173</v>
      </c>
      <c r="D1" s="107"/>
      <c r="E1" s="107"/>
      <c r="F1" s="107"/>
      <c r="G1" s="811" t="s">
        <v>174</v>
      </c>
      <c r="J1" s="107"/>
      <c r="K1" s="107"/>
      <c r="L1" s="107"/>
      <c r="N1" s="812" t="s">
        <v>175</v>
      </c>
    </row>
    <row r="2" spans="1:17">
      <c r="A2" s="1167"/>
      <c r="B2" s="1167" t="s">
        <v>99</v>
      </c>
      <c r="C2" s="1167" t="s">
        <v>100</v>
      </c>
      <c r="D2" s="1167" t="s">
        <v>101</v>
      </c>
      <c r="E2" s="1167" t="s">
        <v>176</v>
      </c>
      <c r="F2" s="813"/>
      <c r="G2" s="1167"/>
      <c r="H2" s="1167" t="s">
        <v>99</v>
      </c>
      <c r="I2" s="1167" t="s">
        <v>100</v>
      </c>
      <c r="J2" s="1167" t="s">
        <v>101</v>
      </c>
      <c r="K2" s="1167" t="s">
        <v>176</v>
      </c>
      <c r="L2" s="813"/>
      <c r="N2" s="1167"/>
      <c r="O2" s="1167" t="s">
        <v>99</v>
      </c>
      <c r="P2" s="1167" t="s">
        <v>100</v>
      </c>
      <c r="Q2" s="1167" t="s">
        <v>101</v>
      </c>
    </row>
    <row r="3" spans="1:17">
      <c r="A3" s="107" t="str">
        <f>+'1.Years'!A7</f>
        <v>2022-23</v>
      </c>
      <c r="B3" s="814">
        <f>+'Scale-Up'!G9/360</f>
        <v>663.76949579884365</v>
      </c>
      <c r="C3" s="814">
        <f>+'Scale-Up'!G10/500</f>
        <v>267.56595263470354</v>
      </c>
      <c r="D3" s="814">
        <f>+'Scale-Up'!G11/1000</f>
        <v>178.0490051950645</v>
      </c>
      <c r="E3" s="814">
        <f t="shared" ref="E3:E7" si="0">SUM(B3:D3)</f>
        <v>1109.3844536286117</v>
      </c>
      <c r="F3" s="814"/>
      <c r="G3" s="107" t="str">
        <f>A11</f>
        <v>2022-23</v>
      </c>
      <c r="H3" s="814">
        <f ca="1">(SUM(ES_Detail!$I$23:$I$38)-ES_Detail!$I$37)*$B$3</f>
        <v>17423.949264719646</v>
      </c>
      <c r="I3" s="814">
        <f ca="1">(SUM(MS_Detail!$I$28:$I$32)-MS_Detail!$I$30)*$C$3</f>
        <v>8227.6530435171335</v>
      </c>
      <c r="J3" s="814">
        <f ca="1">(SUM(HS_Detail!$I$28:$I$35)-HS_Detail!$I$30)*$D$3</f>
        <v>9303.0605214421194</v>
      </c>
      <c r="K3" s="814">
        <f t="shared" ref="K3:K7" ca="1" si="1">SUM(H3:J3)</f>
        <v>34954.662829678899</v>
      </c>
      <c r="L3" s="814"/>
      <c r="N3" s="107" t="str">
        <f>G19</f>
        <v>2022-23</v>
      </c>
      <c r="O3" s="816">
        <f t="shared" ref="O3:Q7" ca="1" si="2">(H19*O$11)/(H11*O$15)</f>
        <v>20</v>
      </c>
      <c r="P3" s="816">
        <f t="shared" ca="1" si="2"/>
        <v>18.97018970189702</v>
      </c>
      <c r="Q3" s="816">
        <f t="shared" ca="1" si="2"/>
        <v>22.32854864433812</v>
      </c>
    </row>
    <row r="4" spans="1:17">
      <c r="A4" s="107" t="str">
        <f>+'1.Years'!B7</f>
        <v>2023-24</v>
      </c>
      <c r="B4" s="814">
        <f>+'Scale-Up'!G25/360</f>
        <v>660.34722222222217</v>
      </c>
      <c r="C4" s="814">
        <f>+'Scale-Up'!G26/500</f>
        <v>253.018</v>
      </c>
      <c r="D4" s="814">
        <f>+'Scale-Up'!G27/1000</f>
        <v>176.36025999999998</v>
      </c>
      <c r="E4" s="814">
        <f t="shared" si="0"/>
        <v>1089.7254822222221</v>
      </c>
      <c r="F4" s="814"/>
      <c r="G4" s="107" t="str">
        <f>A12</f>
        <v>2023-24</v>
      </c>
      <c r="H4" s="814">
        <f ca="1">(SUM(ES_Detail!$J$23:$J$38)-ES_Detail!$J$37)*$B$4</f>
        <v>17334.114583333332</v>
      </c>
      <c r="I4" s="814">
        <f ca="1">(SUM(MS_Detail!$J$28:$J$32)-MS_Detail!$J$30)*$C$4</f>
        <v>7780.3035</v>
      </c>
      <c r="J4" s="814">
        <f ca="1">(SUM(HS_Detail!$J$28:$J$35)-HS_Detail!$J$30)*$D$4</f>
        <v>9214.8235849999983</v>
      </c>
      <c r="K4" s="814">
        <f t="shared" ca="1" si="1"/>
        <v>34329.241668333329</v>
      </c>
      <c r="L4" s="814"/>
      <c r="N4" s="107" t="str">
        <f>G20</f>
        <v>2023-24</v>
      </c>
      <c r="O4" s="816">
        <f t="shared" ca="1" si="2"/>
        <v>19.999999999999996</v>
      </c>
      <c r="P4" s="816">
        <f t="shared" ca="1" si="2"/>
        <v>18.97018970189702</v>
      </c>
      <c r="Q4" s="816">
        <f t="shared" ca="1" si="2"/>
        <v>22.32854864433812</v>
      </c>
    </row>
    <row r="5" spans="1:17">
      <c r="A5" s="107" t="str">
        <f>+'1.Years'!C7</f>
        <v>2024-25</v>
      </c>
      <c r="B5" s="814">
        <f>+'Scale-Up'!L25/360</f>
        <v>659.49428299310637</v>
      </c>
      <c r="C5" s="814">
        <f>+'Scale-Up'!L26/500</f>
        <v>252.69118863378239</v>
      </c>
      <c r="D5" s="814">
        <f>+'Scale-Up'!L27/1000</f>
        <v>176.1324638055905</v>
      </c>
      <c r="E5" s="814">
        <f t="shared" si="0"/>
        <v>1088.3179354324793</v>
      </c>
      <c r="F5" s="107"/>
      <c r="G5" s="107" t="str">
        <f>A13</f>
        <v>2024-25</v>
      </c>
      <c r="H5" s="814">
        <f ca="1">(SUM(ES_Detail!$K$23:$K$38)-ES_Detail!$K$37)*$B$5</f>
        <v>17311.724928569041</v>
      </c>
      <c r="I5" s="814">
        <f ca="1">(SUM(MS_Detail!$K$28:$K$32)-MS_Detail!$K$30)*$C$5</f>
        <v>7770.2540504888084</v>
      </c>
      <c r="J5" s="814">
        <f ca="1">(SUM(HS_Detail!$K$28:$K$35)-HS_Detail!$K$30)*$D$5</f>
        <v>9202.9212338421039</v>
      </c>
      <c r="K5" s="814">
        <f t="shared" ca="1" si="1"/>
        <v>34284.900212899956</v>
      </c>
      <c r="L5" s="107"/>
      <c r="N5" s="107" t="str">
        <f>G21</f>
        <v>2024-25</v>
      </c>
      <c r="O5" s="816">
        <f t="shared" ca="1" si="2"/>
        <v>20</v>
      </c>
      <c r="P5" s="816">
        <f t="shared" ca="1" si="2"/>
        <v>18.97018970189702</v>
      </c>
      <c r="Q5" s="816">
        <f t="shared" ca="1" si="2"/>
        <v>22.328548644338117</v>
      </c>
    </row>
    <row r="6" spans="1:17">
      <c r="A6" s="107" t="str">
        <f>+'1.Years'!D7</f>
        <v>2025-26</v>
      </c>
      <c r="B6" s="814">
        <f>+'Scale-Up'!G52/360</f>
        <v>659.01056069091237</v>
      </c>
      <c r="C6" s="814">
        <f>+'Scale-Up'!G53/500</f>
        <v>252.50584606651205</v>
      </c>
      <c r="D6" s="814">
        <f>+'Scale-Up'!G54/1000</f>
        <v>176.00327511801547</v>
      </c>
      <c r="E6" s="814">
        <f t="shared" si="0"/>
        <v>1087.5196818754398</v>
      </c>
      <c r="F6" s="107"/>
      <c r="G6" s="107" t="str">
        <f>A14</f>
        <v>2025-26</v>
      </c>
      <c r="H6" s="814">
        <f ca="1">(SUM(ES_Detail!$L$23:$L$38)-ES_Detail!$L$37)*$B$6</f>
        <v>19071.765626395005</v>
      </c>
      <c r="I6" s="814">
        <f ca="1">(SUM(MS_Detail!$L$28:$L$32)-MS_Detail!$L$30)*$C$6</f>
        <v>8332.6929201948969</v>
      </c>
      <c r="J6" s="814">
        <f ca="1">(SUM(HS_Detail!$L$28:$L$35)-HS_Detail!$L$30)*$D$6</f>
        <v>9900.1842253883697</v>
      </c>
      <c r="K6" s="814">
        <f t="shared" ca="1" si="1"/>
        <v>37304.642771978266</v>
      </c>
      <c r="L6" s="107"/>
      <c r="N6" s="107" t="str">
        <f>G22</f>
        <v>2025-26</v>
      </c>
      <c r="O6" s="816">
        <f t="shared" ca="1" si="2"/>
        <v>19.999999999999996</v>
      </c>
      <c r="P6" s="816">
        <f t="shared" ca="1" si="2"/>
        <v>17.676767676767675</v>
      </c>
      <c r="Q6" s="816">
        <f t="shared" ca="1" si="2"/>
        <v>20.740740740740744</v>
      </c>
    </row>
    <row r="7" spans="1:17">
      <c r="A7" s="107" t="str">
        <f>+'1.Years'!E7</f>
        <v>2026-27</v>
      </c>
      <c r="B7" s="814">
        <f>+'Scale-Up'!L52/360</f>
        <v>658.39980020834446</v>
      </c>
      <c r="C7" s="814">
        <f>+'Scale-Up'!L53/500</f>
        <v>252.27182767349396</v>
      </c>
      <c r="D7" s="814">
        <f>+'Scale-Up'!L54/1000</f>
        <v>175.84015808824901</v>
      </c>
      <c r="E7" s="814">
        <f t="shared" si="0"/>
        <v>1086.5117859700874</v>
      </c>
      <c r="F7" s="107"/>
      <c r="G7" s="107" t="str">
        <f>A15</f>
        <v>2026-27</v>
      </c>
      <c r="H7" s="814">
        <f ca="1">(SUM(ES_Detail!$M$23:$M$38)-ES_Detail!$M$37)*$B$7</f>
        <v>19054.090218029491</v>
      </c>
      <c r="I7" s="814">
        <f ca="1">(SUM(MS_Detail!$M$28:$M$32)-MS_Detail!$M$30)*$C$7</f>
        <v>8324.9703132252998</v>
      </c>
      <c r="J7" s="814">
        <f ca="1">(SUM(HS_Detail!$M$28:$M$35)-HS_Detail!$M$30)*$D$7</f>
        <v>9891.0088924640077</v>
      </c>
      <c r="K7" s="814">
        <f t="shared" ca="1" si="1"/>
        <v>37270.0694237188</v>
      </c>
      <c r="L7" s="107"/>
      <c r="N7" s="107" t="str">
        <f>G23</f>
        <v>2026-27</v>
      </c>
      <c r="O7" s="816">
        <f t="shared" ca="1" si="2"/>
        <v>20</v>
      </c>
      <c r="P7" s="816">
        <f t="shared" ca="1" si="2"/>
        <v>17.676767676767678</v>
      </c>
      <c r="Q7" s="816">
        <f t="shared" ca="1" si="2"/>
        <v>20.74074074074074</v>
      </c>
    </row>
    <row r="8" spans="1:17">
      <c r="A8" s="107"/>
      <c r="B8" s="814"/>
      <c r="C8" s="814"/>
      <c r="D8" s="814"/>
      <c r="E8" s="814"/>
      <c r="F8" s="107"/>
      <c r="H8" s="108"/>
      <c r="I8" s="108"/>
      <c r="N8" s="799"/>
      <c r="O8" s="799"/>
      <c r="P8" s="799"/>
      <c r="Q8" s="799"/>
    </row>
    <row r="9" spans="1:17">
      <c r="A9" s="812" t="s">
        <v>177</v>
      </c>
      <c r="B9" s="108"/>
      <c r="D9" s="107"/>
      <c r="E9" s="107"/>
      <c r="F9" s="107"/>
      <c r="G9" s="811" t="s">
        <v>178</v>
      </c>
      <c r="J9" s="107"/>
      <c r="K9" s="107"/>
      <c r="L9" s="107"/>
      <c r="M9" s="107"/>
      <c r="N9" s="812" t="s">
        <v>179</v>
      </c>
    </row>
    <row r="10" spans="1:17">
      <c r="A10" s="1167"/>
      <c r="B10" s="1167" t="s">
        <v>99</v>
      </c>
      <c r="C10" s="1167" t="s">
        <v>100</v>
      </c>
      <c r="D10" s="1167" t="s">
        <v>101</v>
      </c>
      <c r="E10" s="1167" t="s">
        <v>176</v>
      </c>
      <c r="F10" s="107"/>
      <c r="G10" s="1167"/>
      <c r="H10" s="1167" t="s">
        <v>99</v>
      </c>
      <c r="I10" s="1167" t="s">
        <v>100</v>
      </c>
      <c r="J10" s="1167" t="s">
        <v>101</v>
      </c>
      <c r="K10" s="1167" t="s">
        <v>176</v>
      </c>
      <c r="L10" s="813"/>
      <c r="N10" s="1167"/>
      <c r="O10" s="1167" t="s">
        <v>99</v>
      </c>
      <c r="P10" s="1167" t="s">
        <v>100</v>
      </c>
      <c r="Q10" s="1167" t="s">
        <v>101</v>
      </c>
    </row>
    <row r="11" spans="1:17">
      <c r="A11" s="107" t="str">
        <f>A3</f>
        <v>2022-23</v>
      </c>
      <c r="B11" s="814">
        <f ca="1">(SUM(ES_Detail!$I$23:$I$38)-ES_Detail!$I$37)*$B$3</f>
        <v>17423.949264719646</v>
      </c>
      <c r="C11" s="814">
        <f ca="1">(SUM(MS_Detail!$I$23:$I$38)-MS_Detail!$I$37)*$C$3</f>
        <v>8896.5679251038928</v>
      </c>
      <c r="D11" s="814">
        <f ca="1">(SUM(HS_Detail!$I$23:$I$38)-HS_Detail!$I$37)*$D$3</f>
        <v>10282.330050014974</v>
      </c>
      <c r="E11" s="814">
        <f t="shared" ref="E11:E15" ca="1" si="3">SUM(B11:D11)</f>
        <v>36602.847239838513</v>
      </c>
      <c r="F11" s="814"/>
      <c r="G11" s="107" t="str">
        <f>A3</f>
        <v>2022-23</v>
      </c>
      <c r="H11" s="814">
        <f ca="1">(SUM(ES_Detail!$I$23:$I$26))*$B$3</f>
        <v>11947.850924379185</v>
      </c>
      <c r="I11" s="814">
        <f ca="1">(SUM(MS_Detail!$I$28:$I$32)-MS_Detail!$I$30)*$C$3</f>
        <v>8227.6530435171335</v>
      </c>
      <c r="J11" s="814">
        <f ca="1">(SUM(HS_Detail!$I$28:$I$35)-HS_Detail!$I$30)*$D$3</f>
        <v>9303.0605214421194</v>
      </c>
      <c r="K11" s="814">
        <f t="shared" ref="K11:K15" ca="1" si="4">SUM(H11:J11)</f>
        <v>29478.564489338438</v>
      </c>
      <c r="L11" s="814"/>
      <c r="N11" s="107"/>
      <c r="O11" s="816">
        <v>1</v>
      </c>
      <c r="P11" s="816">
        <v>7</v>
      </c>
      <c r="Q11" s="816">
        <v>7</v>
      </c>
    </row>
    <row r="12" spans="1:17">
      <c r="A12" s="107" t="str">
        <f>A4</f>
        <v>2023-24</v>
      </c>
      <c r="B12" s="814">
        <f ca="1">(SUM(ES_Detail!$J$23:$J$38)-ES_Detail!$J$37)*$B$4</f>
        <v>17334.114583333332</v>
      </c>
      <c r="C12" s="814">
        <f ca="1">(SUM(MS_Detail!$J$23:$J$38)-MS_Detail!$J$37)*$C$4</f>
        <v>8412.8485000000001</v>
      </c>
      <c r="D12" s="814">
        <f ca="1">(SUM(HS_Detail!$J$23:$J$38)-HS_Detail!$J$37)*$D$4</f>
        <v>10184.805014999998</v>
      </c>
      <c r="E12" s="814">
        <f t="shared" ca="1" si="3"/>
        <v>35931.768098333327</v>
      </c>
      <c r="F12" s="814"/>
      <c r="G12" s="107" t="str">
        <f>A4</f>
        <v>2023-24</v>
      </c>
      <c r="H12" s="814">
        <f ca="1">(SUM(ES_Detail!$J$23:$J$26))*$B$4</f>
        <v>11886.25</v>
      </c>
      <c r="I12" s="814">
        <f ca="1">(SUM(MS_Detail!$J$28:$J$32)-MS_Detail!$J$30)*$C$4</f>
        <v>7780.3035</v>
      </c>
      <c r="J12" s="814">
        <f ca="1">(SUM(HS_Detail!$J$28:$J$35)-HS_Detail!$J$30)*$D$4</f>
        <v>9214.8235849999983</v>
      </c>
      <c r="K12" s="814">
        <f t="shared" ca="1" si="4"/>
        <v>28881.377085</v>
      </c>
      <c r="L12" s="814"/>
      <c r="N12" s="107"/>
      <c r="O12" s="816"/>
      <c r="P12" s="816"/>
      <c r="Q12" s="816"/>
    </row>
    <row r="13" spans="1:17">
      <c r="A13" s="107" t="str">
        <f>A5</f>
        <v>2024-25</v>
      </c>
      <c r="B13" s="814">
        <f ca="1">(SUM(ES_Detail!$K$23:$K$38)-ES_Detail!$K$37)*$B$5</f>
        <v>17311.724928569041</v>
      </c>
      <c r="C13" s="814">
        <f ca="1">(SUM(MS_Detail!$K$23:$K$38)-MS_Detail!$K$37)*$C$5</f>
        <v>8401.9820220732636</v>
      </c>
      <c r="D13" s="814">
        <f ca="1">(SUM(HS_Detail!$K$23:$K$38)-HS_Detail!$K$37)*$D$5</f>
        <v>10171.649784772851</v>
      </c>
      <c r="E13" s="814">
        <f t="shared" ca="1" si="3"/>
        <v>35885.35673541516</v>
      </c>
      <c r="F13" s="814"/>
      <c r="G13" s="107" t="str">
        <f>A5</f>
        <v>2024-25</v>
      </c>
      <c r="H13" s="814">
        <f ca="1">(SUM(ES_Detail!$K$23:$K$26))*$B$5</f>
        <v>11870.897093875914</v>
      </c>
      <c r="I13" s="814">
        <f ca="1">(SUM(MS_Detail!$K$28:$K$32)-MS_Detail!$K$30)*$C$5</f>
        <v>7770.2540504888084</v>
      </c>
      <c r="J13" s="814">
        <f ca="1">(SUM(HS_Detail!$K$28:$K$35)-HS_Detail!$K$30)*$D$5</f>
        <v>9202.9212338421039</v>
      </c>
      <c r="K13" s="814">
        <f t="shared" ca="1" si="4"/>
        <v>28844.072378206823</v>
      </c>
      <c r="L13" s="107"/>
      <c r="N13" s="812" t="s">
        <v>180</v>
      </c>
    </row>
    <row r="14" spans="1:17">
      <c r="A14" s="107" t="str">
        <f>A6</f>
        <v>2025-26</v>
      </c>
      <c r="B14" s="814">
        <f ca="1">(SUM(ES_Detail!$L$23:$L$38)-ES_Detail!$L$37)*$B$6</f>
        <v>19071.765626395005</v>
      </c>
      <c r="C14" s="814">
        <f ca="1">(SUM(MS_Detail!$L$23:$L$38)-MS_Detail!$L$37)*$C$6</f>
        <v>9090.2104583944347</v>
      </c>
      <c r="D14" s="814">
        <f ca="1">(SUM(HS_Detail!$L$23:$L$38)-HS_Detail!$L$37)*$D$6</f>
        <v>10956.203876096462</v>
      </c>
      <c r="E14" s="814">
        <f t="shared" ca="1" si="3"/>
        <v>39118.1799608859</v>
      </c>
      <c r="F14" s="814"/>
      <c r="G14" s="107" t="str">
        <f>A6</f>
        <v>2025-26</v>
      </c>
      <c r="H14" s="814">
        <f ca="1">(SUM(ES_Detail!$L$23:$L$26))*$B$6</f>
        <v>11862.190092436424</v>
      </c>
      <c r="I14" s="814">
        <f ca="1">(SUM(MS_Detail!$L$28:$L$32)-MS_Detail!$L$30)*$C$6</f>
        <v>8332.6929201948969</v>
      </c>
      <c r="J14" s="814">
        <f ca="1">(SUM(HS_Detail!$L$28:$L$35)-HS_Detail!$L$30)*$D$6</f>
        <v>9900.1842253883697</v>
      </c>
      <c r="K14" s="814">
        <f t="shared" ca="1" si="4"/>
        <v>30095.067238019688</v>
      </c>
      <c r="L14" s="107"/>
      <c r="N14" s="1167"/>
      <c r="O14" s="1167" t="s">
        <v>99</v>
      </c>
      <c r="P14" s="1167" t="s">
        <v>100</v>
      </c>
      <c r="Q14" s="1167" t="s">
        <v>101</v>
      </c>
    </row>
    <row r="15" spans="1:17">
      <c r="A15" s="107" t="str">
        <f>A7</f>
        <v>2026-27</v>
      </c>
      <c r="B15" s="814">
        <f ca="1">(SUM(ES_Detail!$M$23:$M$38)-ES_Detail!$M$37)*$B$7</f>
        <v>19054.090218029491</v>
      </c>
      <c r="C15" s="814">
        <f ca="1">(SUM(MS_Detail!$M$23:$M$38)-MS_Detail!$M$37)*$C$7</f>
        <v>9081.785796245782</v>
      </c>
      <c r="D15" s="814">
        <f ca="1">(SUM(HS_Detail!$M$23:$M$38)-HS_Detail!$M$37)*$D$7</f>
        <v>10946.049840993501</v>
      </c>
      <c r="E15" s="814">
        <f t="shared" ca="1" si="3"/>
        <v>39081.925855268775</v>
      </c>
      <c r="F15" s="814"/>
      <c r="G15" s="107" t="str">
        <f>A7</f>
        <v>2026-27</v>
      </c>
      <c r="H15" s="814">
        <f ca="1">(SUM(ES_Detail!$M$23:$M$26))*$B$7</f>
        <v>11851.1964037502</v>
      </c>
      <c r="I15" s="814">
        <f ca="1">(SUM(MS_Detail!$M$28:$M$32)-MS_Detail!$M$30)*$C$7</f>
        <v>8324.9703132252998</v>
      </c>
      <c r="J15" s="814">
        <f ca="1">(SUM(HS_Detail!$M$28:$M$35)-HS_Detail!$M$30)*$D$7</f>
        <v>9891.0088924640077</v>
      </c>
      <c r="K15" s="814">
        <f t="shared" ca="1" si="4"/>
        <v>30067.17560943951</v>
      </c>
      <c r="L15" s="107"/>
      <c r="N15" s="107"/>
      <c r="O15" s="816">
        <v>1</v>
      </c>
      <c r="P15" s="816">
        <v>6</v>
      </c>
      <c r="Q15" s="816">
        <v>6</v>
      </c>
    </row>
    <row r="16" spans="1:17">
      <c r="H16" s="108"/>
      <c r="I16" s="108"/>
      <c r="J16" s="815"/>
      <c r="M16" s="107"/>
      <c r="P16" s="799"/>
      <c r="Q16" s="799"/>
    </row>
    <row r="17" spans="1:18">
      <c r="A17" s="812" t="s">
        <v>181</v>
      </c>
      <c r="B17" s="108"/>
      <c r="D17" s="107"/>
      <c r="E17" s="107"/>
      <c r="G17" s="811" t="s">
        <v>182</v>
      </c>
      <c r="J17" s="107"/>
      <c r="K17" s="107"/>
      <c r="L17" s="107"/>
      <c r="M17" s="107"/>
      <c r="P17" s="799"/>
      <c r="Q17" s="799"/>
    </row>
    <row r="18" spans="1:18">
      <c r="A18" s="1167"/>
      <c r="B18" s="1167" t="s">
        <v>99</v>
      </c>
      <c r="C18" s="1167" t="s">
        <v>100</v>
      </c>
      <c r="D18" s="1167" t="s">
        <v>101</v>
      </c>
      <c r="E18" s="1167" t="s">
        <v>176</v>
      </c>
      <c r="G18" s="1167"/>
      <c r="H18" s="1167" t="s">
        <v>99</v>
      </c>
      <c r="I18" s="1167" t="s">
        <v>100</v>
      </c>
      <c r="J18" s="1167" t="s">
        <v>101</v>
      </c>
      <c r="K18" s="1167" t="s">
        <v>176</v>
      </c>
      <c r="L18" s="813"/>
      <c r="O18" s="799"/>
      <c r="P18" s="799"/>
      <c r="Q18" s="799"/>
    </row>
    <row r="19" spans="1:18">
      <c r="A19" s="107" t="str">
        <f>A11</f>
        <v>2022-23</v>
      </c>
      <c r="B19" s="814">
        <f ca="1">(SUM(ES_Detail!$I$90:$I$91))*$B$3</f>
        <v>663.76949579884365</v>
      </c>
      <c r="C19" s="814">
        <f ca="1">(SUM(MS_Detail!$I$90:$I$91))*C3</f>
        <v>535.13190526940707</v>
      </c>
      <c r="D19" s="814">
        <f ca="1">(SUM(HS_Detail!$I$90:$I$91))*D3</f>
        <v>534.14701558519346</v>
      </c>
      <c r="E19" s="814">
        <f t="shared" ref="E19:E23" ca="1" si="5">SUM(B19:D19)</f>
        <v>1733.0484166534443</v>
      </c>
      <c r="G19" s="107" t="str">
        <f>G11</f>
        <v>2022-23</v>
      </c>
      <c r="H19" s="814">
        <f>IF(VLOOKUP("kg_allday", 'K-12_assumptions'!$A$1:$L$188, MATCH($G19, 'K-12_assumptions'!$A$6:$L$6,0),0) = "Y",B3*360,B3*330)</f>
        <v>238957.0184875837</v>
      </c>
      <c r="I19" s="814">
        <f>+C3*500</f>
        <v>133782.97631735177</v>
      </c>
      <c r="J19" s="814">
        <f>+D3*1000</f>
        <v>178049.0051950645</v>
      </c>
      <c r="K19" s="814">
        <f t="shared" ref="K19:K23" si="6">SUM(H19:J19)</f>
        <v>550789</v>
      </c>
      <c r="L19" s="814"/>
      <c r="O19" s="810"/>
      <c r="P19" s="799"/>
      <c r="Q19" s="799"/>
    </row>
    <row r="20" spans="1:18">
      <c r="A20" s="107" t="str">
        <f>A12</f>
        <v>2023-24</v>
      </c>
      <c r="B20" s="814">
        <f ca="1">(SUM(ES_Detail!$J$90:$J$91))*$B$3</f>
        <v>663.76949579884365</v>
      </c>
      <c r="C20" s="814">
        <f ca="1">(SUM(MS_Detail!$J$90:$J$91))*C4</f>
        <v>506.036</v>
      </c>
      <c r="D20" s="814">
        <f ca="1">(SUM(HS_Detail!$J$90:$J$91))*D4</f>
        <v>529.08078</v>
      </c>
      <c r="E20" s="814">
        <f t="shared" ca="1" si="5"/>
        <v>1698.8862757988436</v>
      </c>
      <c r="G20" s="107" t="str">
        <f>G12</f>
        <v>2023-24</v>
      </c>
      <c r="H20" s="814">
        <f ca="1">IF(VLOOKUP("kg_allday", 'K-12_assumptions'!$A$1:$L$188, MATCH($G20, 'K-12_assumptions'!$A$6:$L$6,0),0) = "Y",B4*360,B4*330)</f>
        <v>237724.99999999997</v>
      </c>
      <c r="I20" s="814">
        <f>+C4*500</f>
        <v>126509</v>
      </c>
      <c r="J20" s="814">
        <f>+D4*1000</f>
        <v>176360.25999999998</v>
      </c>
      <c r="K20" s="814">
        <f t="shared" ca="1" si="6"/>
        <v>540594.26</v>
      </c>
      <c r="L20" s="814"/>
      <c r="O20" s="810"/>
      <c r="P20" s="799"/>
      <c r="Q20" s="799"/>
    </row>
    <row r="21" spans="1:18">
      <c r="A21" s="107" t="str">
        <f>A13</f>
        <v>2024-25</v>
      </c>
      <c r="B21" s="814">
        <f ca="1">(SUM(ES_Detail!$K$90:$K$91))*$B$3</f>
        <v>663.76949579884365</v>
      </c>
      <c r="C21" s="814">
        <f ca="1">(SUM(MS_Detail!$K$90:$K$91))*C5</f>
        <v>505.38237726756478</v>
      </c>
      <c r="D21" s="814">
        <f ca="1">(SUM(HS_Detail!$K$90:$K$91))*D5</f>
        <v>528.39739141677148</v>
      </c>
      <c r="E21" s="814">
        <f t="shared" ca="1" si="5"/>
        <v>1697.5492644831797</v>
      </c>
      <c r="G21" s="107" t="str">
        <f>G13</f>
        <v>2024-25</v>
      </c>
      <c r="H21" s="814">
        <f ca="1">IF(VLOOKUP("kg_allday", 'K-12_assumptions'!$A$1:$L$188, MATCH($G21, 'K-12_assumptions'!$A$6:$L$6,0),0) = "Y",B5*360,B5*330)</f>
        <v>237417.94187751829</v>
      </c>
      <c r="I21" s="814">
        <f>+C5*500</f>
        <v>126345.59431689119</v>
      </c>
      <c r="J21" s="814">
        <f>+D5*1000</f>
        <v>176132.46380559049</v>
      </c>
      <c r="K21" s="814">
        <f t="shared" ca="1" si="6"/>
        <v>539896</v>
      </c>
      <c r="L21" s="107"/>
      <c r="O21" s="810"/>
      <c r="P21" s="799"/>
      <c r="Q21" s="799"/>
    </row>
    <row r="22" spans="1:18">
      <c r="A22" s="107" t="str">
        <f>A14</f>
        <v>2025-26</v>
      </c>
      <c r="B22" s="814">
        <f ca="1">(SUM(ES_Detail!$L$90:$L$91))*$B$3</f>
        <v>663.76949579884365</v>
      </c>
      <c r="C22" s="814">
        <f ca="1">(SUM(MS_Detail!$L$90:$L$91))*C6</f>
        <v>505.0116921330241</v>
      </c>
      <c r="D22" s="814">
        <f ca="1">(SUM(HS_Detail!$L$90:$L$91))*D6</f>
        <v>528.00982535404637</v>
      </c>
      <c r="E22" s="814">
        <f t="shared" ca="1" si="5"/>
        <v>1696.7910132859142</v>
      </c>
      <c r="G22" s="107" t="str">
        <f>G14</f>
        <v>2025-26</v>
      </c>
      <c r="H22" s="814">
        <f ca="1">IF(VLOOKUP("kg_allday", 'K-12_assumptions'!$A$1:$L$188, MATCH($G22, 'K-12_assumptions'!$A$6:$L$6,0),0) = "Y",B6*360,B6*330)</f>
        <v>237243.80184872844</v>
      </c>
      <c r="I22" s="814">
        <f>+C6*500</f>
        <v>126252.92303325603</v>
      </c>
      <c r="J22" s="814">
        <f>+D6*1000</f>
        <v>176003.27511801547</v>
      </c>
      <c r="K22" s="814">
        <f t="shared" ca="1" si="6"/>
        <v>539500</v>
      </c>
      <c r="L22" s="107"/>
      <c r="O22" s="799"/>
      <c r="P22" s="799"/>
      <c r="Q22" s="799"/>
    </row>
    <row r="23" spans="1:18">
      <c r="A23" s="107" t="str">
        <f>A15</f>
        <v>2026-27</v>
      </c>
      <c r="B23" s="814">
        <f ca="1">(SUM(ES_Detail!$M$90:$M$91))*$B$3</f>
        <v>663.76949579884365</v>
      </c>
      <c r="C23" s="814">
        <f ca="1">(SUM(MS_Detail!$M$90:$M$91))*C7</f>
        <v>504.54365534698792</v>
      </c>
      <c r="D23" s="814">
        <f ca="1">(SUM(HS_Detail!$M$90:$M$91))*D7</f>
        <v>527.52047426474701</v>
      </c>
      <c r="E23" s="814">
        <f t="shared" ca="1" si="5"/>
        <v>1695.8336254105786</v>
      </c>
      <c r="G23" s="107" t="str">
        <f>G15</f>
        <v>2026-27</v>
      </c>
      <c r="H23" s="814">
        <f ca="1">IF(VLOOKUP("kg_allday", 'K-12_assumptions'!$A$1:$L$188, MATCH($G23, 'K-12_assumptions'!$A$6:$L$6,0),0) = "Y",B7*360,B7*330)</f>
        <v>237023.92807500402</v>
      </c>
      <c r="I23" s="814">
        <f>+C7*500</f>
        <v>126135.91383674699</v>
      </c>
      <c r="J23" s="814">
        <f>+D7*1000</f>
        <v>175840.15808824901</v>
      </c>
      <c r="K23" s="814">
        <f t="shared" ca="1" si="6"/>
        <v>539000</v>
      </c>
      <c r="L23" s="107"/>
      <c r="O23" s="810"/>
      <c r="P23" s="799"/>
      <c r="Q23" s="799"/>
    </row>
    <row r="24" spans="1:18">
      <c r="H24" s="108"/>
      <c r="I24" s="815"/>
      <c r="J24" s="815"/>
      <c r="K24" s="815"/>
      <c r="L24" s="815"/>
      <c r="M24" s="107"/>
      <c r="P24" s="799"/>
      <c r="Q24" s="799"/>
    </row>
    <row r="25" spans="1:18">
      <c r="A25" s="812" t="s">
        <v>183</v>
      </c>
      <c r="B25" s="108"/>
      <c r="D25" s="107"/>
      <c r="E25" s="107"/>
      <c r="F25" s="108"/>
      <c r="G25" s="812" t="s">
        <v>184</v>
      </c>
      <c r="H25" s="108"/>
      <c r="J25" s="107"/>
      <c r="K25" s="107"/>
      <c r="O25" s="812" t="s">
        <v>185</v>
      </c>
      <c r="P25" s="799"/>
      <c r="Q25" s="799"/>
    </row>
    <row r="26" spans="1:18">
      <c r="A26" s="1167"/>
      <c r="B26" s="1167" t="s">
        <v>99</v>
      </c>
      <c r="C26" s="1167" t="s">
        <v>100</v>
      </c>
      <c r="D26" s="1167" t="s">
        <v>101</v>
      </c>
      <c r="E26" s="1167" t="s">
        <v>176</v>
      </c>
      <c r="F26" s="108"/>
      <c r="G26" s="1167"/>
      <c r="H26" s="1167" t="s">
        <v>99</v>
      </c>
      <c r="I26" s="1167" t="s">
        <v>100</v>
      </c>
      <c r="J26" s="1167" t="s">
        <v>101</v>
      </c>
      <c r="K26" s="1168" t="s">
        <v>186</v>
      </c>
      <c r="L26" s="1168" t="s">
        <v>187</v>
      </c>
      <c r="M26" s="1168" t="s">
        <v>176</v>
      </c>
      <c r="O26" s="1169"/>
      <c r="P26" s="1167" t="s">
        <v>99</v>
      </c>
      <c r="Q26" s="1167" t="s">
        <v>100</v>
      </c>
      <c r="R26" s="1167" t="s">
        <v>101</v>
      </c>
    </row>
    <row r="27" spans="1:18">
      <c r="A27" s="107" t="str">
        <f>A19</f>
        <v>2022-23</v>
      </c>
      <c r="B27" s="814">
        <f ca="1">SUM(ES_Detail!$I$68:$I$86)*$B$3</f>
        <v>7620.0738117707251</v>
      </c>
      <c r="C27" s="814">
        <f ca="1">(SUM(MS_Detail!$I$63:$I$87)-MS_Detail!$I$68)*C3</f>
        <v>4459.4325439117256</v>
      </c>
      <c r="D27" s="814">
        <f ca="1">(SUM(HS_Detail!$I$63:$I$87)-HS_Detail!$I$68+HS_Detail!$I$38)*D3</f>
        <v>5845.9423372379515</v>
      </c>
      <c r="E27" s="814">
        <f t="shared" ref="E27:E31" ca="1" si="7">SUM(B27:D27)</f>
        <v>17925.448692920399</v>
      </c>
      <c r="F27" s="108"/>
      <c r="G27" s="107" t="str">
        <f t="shared" ref="G27:G31" si="8">A27</f>
        <v>2022-23</v>
      </c>
      <c r="H27" s="814">
        <f t="shared" ref="H27:J31" ca="1" si="9">B11+B19+B27</f>
        <v>25707.792572289214</v>
      </c>
      <c r="I27" s="814">
        <f t="shared" ca="1" si="9"/>
        <v>13891.132374285025</v>
      </c>
      <c r="J27" s="814">
        <f t="shared" ca="1" si="9"/>
        <v>16662.419402838117</v>
      </c>
      <c r="K27" s="814">
        <f t="shared" ref="K27:K31" ca="1" si="10">SUM(H27:J27)</f>
        <v>56261.344349412357</v>
      </c>
      <c r="L27" s="814">
        <f ca="1">K27*0.235</f>
        <v>13221.415922111903</v>
      </c>
      <c r="M27" s="810">
        <f ca="1">K27+L27</f>
        <v>69482.760271524254</v>
      </c>
      <c r="O27" s="107" t="str">
        <f>G27</f>
        <v>2022-23</v>
      </c>
      <c r="P27" s="799">
        <f t="shared" ref="P27:R31" ca="1" si="11">H27/B3</f>
        <v>38.729999999999997</v>
      </c>
      <c r="Q27" s="799">
        <f t="shared" ca="1" si="11"/>
        <v>51.916666666666664</v>
      </c>
      <c r="R27" s="799">
        <f t="shared" ca="1" si="11"/>
        <v>93.583333333333329</v>
      </c>
    </row>
    <row r="28" spans="1:18">
      <c r="A28" s="107" t="str">
        <f>A20</f>
        <v>2023-24</v>
      </c>
      <c r="B28" s="814">
        <f ca="1">SUM(ES_Detail!$J$68:$J$86)*$B$4</f>
        <v>7580.7861111111106</v>
      </c>
      <c r="C28" s="814">
        <f ca="1">(SUM(MS_Detail!$J$63:$J$87)-MS_Detail!$J$68)*C4</f>
        <v>4216.9666666666672</v>
      </c>
      <c r="D28" s="814">
        <f ca="1">(SUM(HS_Detail!$J$63:$J$87)-HS_Detail!$J$68+HS_Detail!$J$38)*D4</f>
        <v>5790.4952033333329</v>
      </c>
      <c r="E28" s="814">
        <f t="shared" ca="1" si="7"/>
        <v>17588.247981111112</v>
      </c>
      <c r="G28" s="107" t="str">
        <f t="shared" si="8"/>
        <v>2023-24</v>
      </c>
      <c r="H28" s="814">
        <f t="shared" ca="1" si="9"/>
        <v>25578.670190243283</v>
      </c>
      <c r="I28" s="814">
        <f t="shared" ca="1" si="9"/>
        <v>13135.851166666667</v>
      </c>
      <c r="J28" s="814">
        <f t="shared" ca="1" si="9"/>
        <v>16504.38099833333</v>
      </c>
      <c r="K28" s="814">
        <f t="shared" ca="1" si="10"/>
        <v>55218.902355243277</v>
      </c>
      <c r="L28" s="814">
        <f t="shared" ref="L28:L31" ca="1" si="12">K28*0.235</f>
        <v>12976.442053482169</v>
      </c>
      <c r="M28" s="810">
        <f t="shared" ref="M28:M31" ca="1" si="13">K28+L28</f>
        <v>68195.344408725447</v>
      </c>
      <c r="O28" s="107" t="str">
        <f t="shared" ref="O28:O31" si="14">G28</f>
        <v>2023-24</v>
      </c>
      <c r="P28" s="799">
        <f t="shared" ca="1" si="11"/>
        <v>38.73518253649209</v>
      </c>
      <c r="Q28" s="799">
        <f t="shared" ca="1" si="11"/>
        <v>51.916666666666671</v>
      </c>
      <c r="R28" s="799">
        <f t="shared" ca="1" si="11"/>
        <v>93.583333333333329</v>
      </c>
    </row>
    <row r="29" spans="1:18">
      <c r="A29" s="107" t="str">
        <f>A21</f>
        <v>2024-25</v>
      </c>
      <c r="B29" s="814">
        <f ca="1">SUM(ES_Detail!$K$68:$K$86)*$B$5</f>
        <v>7570.9943687608611</v>
      </c>
      <c r="C29" s="814">
        <f ca="1">(SUM(MS_Detail!$K$63:$K$87)-MS_Detail!$K$68)*C5</f>
        <v>4211.5198105630398</v>
      </c>
      <c r="D29" s="814">
        <f ca="1">(SUM(HS_Detail!$K$63:$K$87)-HS_Detail!$K$68+HS_Detail!$K$38)*D5</f>
        <v>5783.015894950222</v>
      </c>
      <c r="E29" s="814">
        <f t="shared" ca="1" si="7"/>
        <v>17565.530074274124</v>
      </c>
      <c r="G29" s="107" t="str">
        <f t="shared" si="8"/>
        <v>2024-25</v>
      </c>
      <c r="H29" s="814">
        <f t="shared" ca="1" si="9"/>
        <v>25546.488793128745</v>
      </c>
      <c r="I29" s="814">
        <f t="shared" ca="1" si="9"/>
        <v>13118.884209903867</v>
      </c>
      <c r="J29" s="814">
        <f t="shared" ca="1" si="9"/>
        <v>16483.063071139844</v>
      </c>
      <c r="K29" s="814">
        <f t="shared" ca="1" si="10"/>
        <v>55148.436074172452</v>
      </c>
      <c r="L29" s="814">
        <f t="shared" ca="1" si="12"/>
        <v>12959.882477430525</v>
      </c>
      <c r="M29" s="810">
        <f t="shared" ca="1" si="13"/>
        <v>68108.318551602977</v>
      </c>
      <c r="O29" s="107" t="str">
        <f t="shared" si="14"/>
        <v>2024-25</v>
      </c>
      <c r="P29" s="799">
        <f t="shared" ca="1" si="11"/>
        <v>38.736482562345095</v>
      </c>
      <c r="Q29" s="799">
        <f t="shared" ca="1" si="11"/>
        <v>51.916666666666657</v>
      </c>
      <c r="R29" s="799">
        <f t="shared" ca="1" si="11"/>
        <v>93.583333333333329</v>
      </c>
    </row>
    <row r="30" spans="1:18">
      <c r="A30" s="107" t="str">
        <f>A22</f>
        <v>2025-26</v>
      </c>
      <c r="B30" s="814">
        <f ca="1">SUM(ES_Detail!$L$68:$L$86)*$B$6</f>
        <v>8224.4517974225873</v>
      </c>
      <c r="C30" s="814">
        <f ca="1">(SUM(MS_Detail!$L$63:$L$87)-MS_Detail!$L$68)*C6</f>
        <v>4460.9366138417136</v>
      </c>
      <c r="D30" s="814">
        <f ca="1">(SUM(HS_Detail!$L$63:$L$87)-HS_Detail!$L$68+HS_Detail!$L$38)*D6</f>
        <v>5778.7741997081748</v>
      </c>
      <c r="E30" s="814">
        <f t="shared" ca="1" si="7"/>
        <v>18464.162610972475</v>
      </c>
      <c r="G30" s="107" t="str">
        <f t="shared" si="8"/>
        <v>2025-26</v>
      </c>
      <c r="H30" s="814">
        <f t="shared" ca="1" si="9"/>
        <v>27959.986919616436</v>
      </c>
      <c r="I30" s="814">
        <f t="shared" ca="1" si="9"/>
        <v>14056.158764369173</v>
      </c>
      <c r="J30" s="814">
        <f t="shared" ca="1" si="9"/>
        <v>17262.987901158685</v>
      </c>
      <c r="K30" s="814">
        <f t="shared" ca="1" si="10"/>
        <v>59279.1335851443</v>
      </c>
      <c r="L30" s="814">
        <f t="shared" ca="1" si="12"/>
        <v>13930.596392508909</v>
      </c>
      <c r="M30" s="810">
        <f t="shared" ca="1" si="13"/>
        <v>73209.729977653216</v>
      </c>
      <c r="O30" s="107" t="str">
        <f t="shared" si="14"/>
        <v>2025-26</v>
      </c>
      <c r="P30" s="799">
        <f t="shared" ca="1" si="11"/>
        <v>42.427221333604948</v>
      </c>
      <c r="Q30" s="799">
        <f t="shared" ca="1" si="11"/>
        <v>55.666666666666671</v>
      </c>
      <c r="R30" s="799">
        <f t="shared" ca="1" si="11"/>
        <v>98.083333333333343</v>
      </c>
    </row>
    <row r="31" spans="1:18">
      <c r="A31" s="107" t="str">
        <f>A23</f>
        <v>2026-27</v>
      </c>
      <c r="B31" s="814">
        <f ca="1">SUM(ES_Detail!$M$68:$M$86)*$B$7</f>
        <v>8216.8295066001392</v>
      </c>
      <c r="C31" s="814">
        <f ca="1">(SUM(MS_Detail!$M$63:$M$87)-MS_Detail!$M$68)*C7</f>
        <v>4456.8022888983933</v>
      </c>
      <c r="D31" s="814">
        <f ca="1">(SUM(HS_Detail!$M$63:$M$87)-HS_Detail!$M$68+HS_Detail!$M$38)*D7</f>
        <v>5773.4185238975097</v>
      </c>
      <c r="E31" s="814">
        <f t="shared" ca="1" si="7"/>
        <v>18447.050319396039</v>
      </c>
      <c r="F31" s="108"/>
      <c r="G31" s="107" t="str">
        <f t="shared" si="8"/>
        <v>2026-27</v>
      </c>
      <c r="H31" s="814">
        <f t="shared" ca="1" si="9"/>
        <v>27934.689220428474</v>
      </c>
      <c r="I31" s="814">
        <f t="shared" ca="1" si="9"/>
        <v>14043.131740491164</v>
      </c>
      <c r="J31" s="814">
        <f t="shared" ca="1" si="9"/>
        <v>17246.988839155758</v>
      </c>
      <c r="K31" s="814">
        <f t="shared" ca="1" si="10"/>
        <v>59224.809800075396</v>
      </c>
      <c r="L31" s="814">
        <f t="shared" ca="1" si="12"/>
        <v>13917.830303017718</v>
      </c>
      <c r="M31" s="810">
        <f t="shared" ca="1" si="13"/>
        <v>73142.640103093116</v>
      </c>
      <c r="O31" s="107" t="str">
        <f t="shared" si="14"/>
        <v>2026-27</v>
      </c>
      <c r="P31" s="799">
        <f t="shared" ca="1" si="11"/>
        <v>42.428155676214971</v>
      </c>
      <c r="Q31" s="799">
        <f t="shared" ca="1" si="11"/>
        <v>55.666666666666671</v>
      </c>
      <c r="R31" s="799">
        <f t="shared" ca="1" si="11"/>
        <v>98.083333333333343</v>
      </c>
    </row>
    <row r="32" spans="1:18">
      <c r="F32" s="108"/>
      <c r="G32" s="108"/>
      <c r="H32" s="108"/>
      <c r="Q32" s="810"/>
    </row>
    <row r="33" spans="8:18">
      <c r="H33" s="108"/>
      <c r="J33" s="799"/>
      <c r="K33" s="799"/>
      <c r="L33" s="799"/>
      <c r="O33" s="800" t="s">
        <v>188</v>
      </c>
      <c r="P33" s="799"/>
      <c r="Q33" s="799"/>
    </row>
    <row r="34" spans="8:18">
      <c r="H34" s="109"/>
      <c r="J34" s="799"/>
      <c r="K34" s="799"/>
      <c r="L34" s="799"/>
      <c r="M34" s="107"/>
      <c r="O34" s="799"/>
      <c r="P34" s="799">
        <f ca="1">CEILING(AVERAGE(P27:P31),1)</f>
        <v>41</v>
      </c>
      <c r="Q34" s="799">
        <f t="shared" ref="Q34:R34" ca="1" si="15">CEILING(AVERAGE(Q27:Q31),1)</f>
        <v>54</v>
      </c>
      <c r="R34" s="799">
        <f t="shared" ca="1" si="15"/>
        <v>96</v>
      </c>
    </row>
    <row r="35" spans="8:18">
      <c r="H35" s="810"/>
      <c r="M35" s="107"/>
      <c r="O35" s="799"/>
      <c r="P35" s="799">
        <f ca="1">B7*P34</f>
        <v>26994.391808542125</v>
      </c>
      <c r="Q35" s="799">
        <f ca="1">C7*Q34</f>
        <v>13622.678694368673</v>
      </c>
      <c r="R35" s="799">
        <f ca="1">D7*R34</f>
        <v>16880.655176471904</v>
      </c>
    </row>
    <row r="36" spans="8:18">
      <c r="H36" s="810"/>
      <c r="M36" s="107"/>
      <c r="O36" s="799"/>
      <c r="P36" s="799"/>
      <c r="Q36" s="799"/>
    </row>
    <row r="37" spans="8:18">
      <c r="H37" s="810"/>
      <c r="M37" s="107"/>
      <c r="O37" s="799"/>
      <c r="P37" s="799"/>
      <c r="Q37" s="799"/>
    </row>
    <row r="38" spans="8:18">
      <c r="H38" s="810"/>
      <c r="M38" s="107"/>
      <c r="O38" s="799"/>
      <c r="P38" s="799"/>
      <c r="Q38" s="799"/>
    </row>
    <row r="39" spans="8:18">
      <c r="H39" s="810"/>
      <c r="M39" s="107"/>
      <c r="O39" s="799"/>
      <c r="P39" s="799"/>
      <c r="Q39" s="799"/>
    </row>
    <row r="40" spans="8:18">
      <c r="H40" s="810"/>
      <c r="M40" s="107"/>
      <c r="O40" s="799"/>
      <c r="P40" s="799"/>
      <c r="Q40" s="799"/>
    </row>
    <row r="41" spans="8:18">
      <c r="H41" s="810"/>
      <c r="M41" s="107"/>
      <c r="O41" s="799"/>
      <c r="P41" s="799"/>
      <c r="Q41" s="799"/>
    </row>
  </sheetData>
  <sheetProtection algorithmName="SHA-512" hashValue="93DRLU/oTVnb6bHwHpR+JhZb36tHktMwkpMDzmvAOF2FaR6tsIaIS+xTFCGBHcYOVv14WcSSsE0zOrp1xeZ5Yw==" saltValue="nr1TvVQvelsQfKwjfIQOyg==" spinCount="100000" sheet="1" objects="1" scenarios="1"/>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sheetPr>
  <dimension ref="A1:T188"/>
  <sheetViews>
    <sheetView zoomScaleNormal="100" workbookViewId="0">
      <pane xSplit="7" ySplit="7" topLeftCell="H8" activePane="bottomRight" state="frozen"/>
      <selection pane="topRight"/>
      <selection pane="bottomLeft"/>
      <selection pane="bottomRight"/>
    </sheetView>
  </sheetViews>
  <sheetFormatPr defaultColWidth="9.140625" defaultRowHeight="12.75" outlineLevelRow="1" outlineLevelCol="1"/>
  <cols>
    <col min="1" max="1" width="20.85546875" style="10" hidden="1" customWidth="1" outlineLevel="1"/>
    <col min="2" max="2" width="4.42578125" style="10" hidden="1" customWidth="1" outlineLevel="1"/>
    <col min="3" max="3" width="64.7109375" style="1000" customWidth="1" collapsed="1"/>
    <col min="4" max="7" width="8.7109375" style="10" customWidth="1"/>
    <col min="8" max="14" width="9.7109375" style="10" customWidth="1"/>
    <col min="15" max="16384" width="9.140625" style="10"/>
  </cols>
  <sheetData>
    <row r="1" spans="1:14" ht="31.5">
      <c r="A1" s="8"/>
      <c r="B1" s="8">
        <v>1</v>
      </c>
      <c r="C1" s="989" t="s">
        <v>189</v>
      </c>
      <c r="D1" s="990" t="s">
        <v>190</v>
      </c>
      <c r="E1" s="990"/>
      <c r="F1" s="990"/>
      <c r="G1" s="990"/>
      <c r="H1" s="8"/>
      <c r="I1" s="990"/>
      <c r="J1" s="990"/>
      <c r="K1" s="990"/>
      <c r="L1" s="990"/>
      <c r="M1" s="990"/>
      <c r="N1" s="990"/>
    </row>
    <row r="2" spans="1:14">
      <c r="A2" s="8"/>
      <c r="B2" s="8">
        <v>2</v>
      </c>
      <c r="C2" s="991"/>
      <c r="D2" s="990" t="s">
        <v>191</v>
      </c>
      <c r="E2" s="990"/>
      <c r="F2" s="990"/>
      <c r="G2" s="990"/>
      <c r="H2" s="8"/>
      <c r="I2" s="990"/>
      <c r="J2" s="990"/>
      <c r="K2" s="990"/>
      <c r="L2" s="990"/>
      <c r="M2" s="990"/>
      <c r="N2" s="990"/>
    </row>
    <row r="3" spans="1:14" ht="13.5" thickBot="1">
      <c r="A3" s="8"/>
      <c r="B3" s="8">
        <v>3</v>
      </c>
      <c r="C3" s="991"/>
      <c r="D3" s="992"/>
      <c r="E3" s="992"/>
      <c r="F3" s="992"/>
      <c r="G3" s="992"/>
      <c r="H3" s="990"/>
      <c r="I3" s="990"/>
      <c r="J3" s="990"/>
      <c r="K3" s="990"/>
      <c r="L3" s="990"/>
      <c r="M3" s="990"/>
      <c r="N3" s="990"/>
    </row>
    <row r="4" spans="1:14" s="1000" customFormat="1">
      <c r="A4" s="993"/>
      <c r="B4" s="993">
        <v>4</v>
      </c>
      <c r="C4" s="994" t="s">
        <v>192</v>
      </c>
      <c r="D4" s="995"/>
      <c r="E4" s="996"/>
      <c r="F4" s="996"/>
      <c r="G4" s="997"/>
      <c r="H4" s="998" t="s">
        <v>193</v>
      </c>
      <c r="I4" s="999"/>
      <c r="J4" s="999"/>
      <c r="K4" s="999"/>
      <c r="L4" s="999"/>
      <c r="M4" s="999"/>
      <c r="N4" s="999"/>
    </row>
    <row r="5" spans="1:14" s="1000" customFormat="1">
      <c r="A5" s="993"/>
      <c r="B5" s="993">
        <v>5</v>
      </c>
      <c r="C5" s="1001"/>
      <c r="D5" s="1002" t="s">
        <v>194</v>
      </c>
      <c r="E5" s="1003" t="s">
        <v>81</v>
      </c>
      <c r="F5" s="993" t="s">
        <v>195</v>
      </c>
      <c r="G5" s="1004" t="s">
        <v>87</v>
      </c>
      <c r="H5" s="1005" t="s">
        <v>194</v>
      </c>
      <c r="I5" s="1003" t="s">
        <v>81</v>
      </c>
      <c r="J5" s="1003" t="s">
        <v>81</v>
      </c>
      <c r="K5" s="1045" t="s">
        <v>195</v>
      </c>
      <c r="L5" s="1045" t="s">
        <v>195</v>
      </c>
      <c r="M5" s="1003" t="s">
        <v>81</v>
      </c>
      <c r="N5" s="1003" t="s">
        <v>81</v>
      </c>
    </row>
    <row r="6" spans="1:14" s="1000" customFormat="1">
      <c r="A6" s="993" t="s">
        <v>196</v>
      </c>
      <c r="B6" s="993">
        <v>6</v>
      </c>
      <c r="C6" s="1001"/>
      <c r="D6" s="1002" t="str">
        <f>H6</f>
        <v>2022-23</v>
      </c>
      <c r="E6" s="1003" t="s">
        <v>197</v>
      </c>
      <c r="F6" s="1003" t="s">
        <v>198</v>
      </c>
      <c r="G6" s="1004" t="s">
        <v>199</v>
      </c>
      <c r="H6" s="1005" t="str">
        <f>'1.Years'!A7</f>
        <v>2022-23</v>
      </c>
      <c r="I6" s="1003" t="str">
        <f>'1.Years'!B7</f>
        <v>2023-24</v>
      </c>
      <c r="J6" s="1003" t="str">
        <f>'1.Years'!C7</f>
        <v>2024-25</v>
      </c>
      <c r="K6" s="1003" t="str">
        <f>'1.Years'!D7</f>
        <v>2025-26</v>
      </c>
      <c r="L6" s="1003" t="str">
        <f>'1.Years'!E7</f>
        <v>2026-27</v>
      </c>
      <c r="M6" s="1003" t="str">
        <f>'1.Years'!F7</f>
        <v>2027-28</v>
      </c>
      <c r="N6" s="1003" t="str">
        <f>'1.Years'!G7</f>
        <v>2028-29</v>
      </c>
    </row>
    <row r="7" spans="1:14" hidden="1" outlineLevel="1">
      <c r="A7" s="8"/>
      <c r="B7" s="8">
        <v>7</v>
      </c>
      <c r="C7" s="1001"/>
      <c r="D7" s="1006"/>
      <c r="E7" s="1007"/>
      <c r="F7" s="1007"/>
      <c r="G7" s="992"/>
      <c r="H7" s="1008" t="str">
        <f t="shared" ref="H7:N7" si="0">CHAR(64+MATCH(H$5, $A$5:$G$5, FALSE))</f>
        <v>D</v>
      </c>
      <c r="I7" s="1007" t="str">
        <f t="shared" si="0"/>
        <v>E</v>
      </c>
      <c r="J7" s="1007" t="str">
        <f t="shared" si="0"/>
        <v>E</v>
      </c>
      <c r="K7" s="1007" t="str">
        <f t="shared" si="0"/>
        <v>F</v>
      </c>
      <c r="L7" s="1007" t="str">
        <f t="shared" si="0"/>
        <v>F</v>
      </c>
      <c r="M7" s="1007" t="str">
        <f t="shared" si="0"/>
        <v>E</v>
      </c>
      <c r="N7" s="1007" t="str">
        <f t="shared" si="0"/>
        <v>E</v>
      </c>
    </row>
    <row r="8" spans="1:14" collapsed="1">
      <c r="A8" s="8"/>
      <c r="B8" s="8">
        <v>8</v>
      </c>
      <c r="C8" s="1002" t="s">
        <v>200</v>
      </c>
      <c r="D8" s="1006"/>
      <c r="E8" s="1007"/>
      <c r="F8" s="1007"/>
      <c r="G8" s="1007"/>
      <c r="H8" s="1008"/>
      <c r="I8" s="1007"/>
      <c r="J8" s="1007"/>
      <c r="K8" s="1007"/>
      <c r="L8" s="1007"/>
      <c r="M8" s="1007"/>
      <c r="N8" s="1007"/>
    </row>
    <row r="9" spans="1:14">
      <c r="A9" s="8"/>
      <c r="B9" s="8">
        <v>9</v>
      </c>
      <c r="C9" s="1001"/>
      <c r="D9" s="1006"/>
      <c r="E9" s="1007"/>
      <c r="F9" s="1007"/>
      <c r="G9" s="1007"/>
      <c r="H9" s="1008"/>
      <c r="I9" s="1007"/>
      <c r="J9" s="1007"/>
      <c r="K9" s="1007"/>
      <c r="L9" s="1007"/>
      <c r="M9" s="1007"/>
      <c r="N9" s="1007"/>
    </row>
    <row r="10" spans="1:14">
      <c r="A10" s="8"/>
      <c r="B10" s="8">
        <v>10</v>
      </c>
      <c r="C10" s="1001" t="s">
        <v>201</v>
      </c>
      <c r="D10" s="1006"/>
      <c r="E10" s="1007"/>
      <c r="F10" s="1007"/>
      <c r="G10" s="1007"/>
      <c r="H10" s="1008"/>
      <c r="I10" s="1007"/>
      <c r="J10" s="1007"/>
      <c r="K10" s="1007"/>
      <c r="L10" s="1007"/>
      <c r="M10" s="1007"/>
      <c r="N10" s="1007"/>
    </row>
    <row r="11" spans="1:14">
      <c r="A11" s="8"/>
      <c r="B11" s="8">
        <v>11</v>
      </c>
      <c r="C11" s="1001"/>
      <c r="D11" s="1006"/>
      <c r="E11" s="1007"/>
      <c r="F11" s="1007"/>
      <c r="G11" s="1007"/>
      <c r="H11" s="1008"/>
      <c r="I11" s="1007"/>
      <c r="J11" s="1007"/>
      <c r="K11" s="1007"/>
      <c r="L11" s="1007"/>
      <c r="M11" s="1007"/>
      <c r="N11" s="1007"/>
    </row>
    <row r="12" spans="1:14">
      <c r="A12" s="8"/>
      <c r="B12" s="8">
        <v>12</v>
      </c>
      <c r="C12" s="1001" t="s">
        <v>202</v>
      </c>
      <c r="D12" s="1006"/>
      <c r="E12" s="1007"/>
      <c r="F12" s="1007"/>
      <c r="G12" s="1007"/>
      <c r="H12" s="1008"/>
      <c r="I12" s="1007"/>
      <c r="J12" s="1007"/>
      <c r="K12" s="1007"/>
      <c r="L12" s="1007"/>
      <c r="M12" s="1007"/>
      <c r="N12" s="1007"/>
    </row>
    <row r="13" spans="1:14">
      <c r="A13" s="8" t="s">
        <v>203</v>
      </c>
      <c r="B13" s="8">
        <v>13</v>
      </c>
      <c r="C13" s="1001" t="s">
        <v>204</v>
      </c>
      <c r="D13" s="1009">
        <v>20</v>
      </c>
      <c r="E13" s="1010">
        <v>20</v>
      </c>
      <c r="F13" s="1010">
        <v>20</v>
      </c>
      <c r="G13" s="1010">
        <v>20</v>
      </c>
      <c r="H13" s="1011">
        <f t="shared" ref="H13:N14" ca="1" si="1">INDIRECT(H$7 &amp; $B13)</f>
        <v>20</v>
      </c>
      <c r="I13" s="1010">
        <f t="shared" ca="1" si="1"/>
        <v>20</v>
      </c>
      <c r="J13" s="1010">
        <f t="shared" ca="1" si="1"/>
        <v>20</v>
      </c>
      <c r="K13" s="1010">
        <f t="shared" ca="1" si="1"/>
        <v>20</v>
      </c>
      <c r="L13" s="1010">
        <f t="shared" ca="1" si="1"/>
        <v>20</v>
      </c>
      <c r="M13" s="1010">
        <f t="shared" ca="1" si="1"/>
        <v>20</v>
      </c>
      <c r="N13" s="1010">
        <f t="shared" ca="1" si="1"/>
        <v>20</v>
      </c>
    </row>
    <row r="14" spans="1:14">
      <c r="A14" s="8" t="s">
        <v>205</v>
      </c>
      <c r="B14" s="8">
        <v>14</v>
      </c>
      <c r="C14" s="1001" t="s">
        <v>206</v>
      </c>
      <c r="D14" s="1012">
        <v>21</v>
      </c>
      <c r="E14" s="1013">
        <v>21</v>
      </c>
      <c r="F14" s="1013">
        <v>20</v>
      </c>
      <c r="G14" s="1013">
        <v>20</v>
      </c>
      <c r="H14" s="1011">
        <f t="shared" ca="1" si="1"/>
        <v>21</v>
      </c>
      <c r="I14" s="1010">
        <f t="shared" ca="1" si="1"/>
        <v>21</v>
      </c>
      <c r="J14" s="1010">
        <f t="shared" ca="1" si="1"/>
        <v>21</v>
      </c>
      <c r="K14" s="1010">
        <f t="shared" ca="1" si="1"/>
        <v>20</v>
      </c>
      <c r="L14" s="1010">
        <f t="shared" ca="1" si="1"/>
        <v>20</v>
      </c>
      <c r="M14" s="1010">
        <f t="shared" ca="1" si="1"/>
        <v>21</v>
      </c>
      <c r="N14" s="1010">
        <f t="shared" ca="1" si="1"/>
        <v>21</v>
      </c>
    </row>
    <row r="15" spans="1:14">
      <c r="A15" s="8"/>
      <c r="B15" s="8">
        <v>15</v>
      </c>
      <c r="C15" s="1001"/>
      <c r="D15" s="17"/>
      <c r="E15" s="8"/>
      <c r="F15" s="1007"/>
      <c r="G15" s="1007"/>
      <c r="H15" s="1014"/>
      <c r="I15" s="1015"/>
      <c r="J15" s="1015"/>
      <c r="K15" s="1015"/>
      <c r="L15" s="1015"/>
      <c r="M15" s="1015"/>
      <c r="N15" s="1015"/>
    </row>
    <row r="16" spans="1:14">
      <c r="A16" s="8"/>
      <c r="B16" s="8">
        <v>16</v>
      </c>
      <c r="C16" s="1001" t="s">
        <v>207</v>
      </c>
      <c r="D16" s="17"/>
      <c r="E16" s="8"/>
      <c r="F16" s="1007"/>
      <c r="G16" s="1007"/>
      <c r="H16" s="1014"/>
      <c r="I16" s="1015"/>
      <c r="J16" s="1015"/>
      <c r="K16" s="1015"/>
      <c r="L16" s="1015"/>
      <c r="M16" s="1015"/>
      <c r="N16" s="1015"/>
    </row>
    <row r="17" spans="1:14">
      <c r="A17" s="8" t="s">
        <v>208</v>
      </c>
      <c r="B17" s="8">
        <v>17</v>
      </c>
      <c r="C17" s="1001" t="s">
        <v>209</v>
      </c>
      <c r="D17" s="1016">
        <v>0.1</v>
      </c>
      <c r="E17" s="1017">
        <v>0.1</v>
      </c>
      <c r="F17" s="1017">
        <v>0.2</v>
      </c>
      <c r="G17" s="1017">
        <v>0.2</v>
      </c>
      <c r="H17" s="897">
        <f t="shared" ref="H17:N17" ca="1" si="2">INDIRECT(H$7 &amp; $B17)</f>
        <v>0.1</v>
      </c>
      <c r="I17" s="19">
        <f t="shared" ca="1" si="2"/>
        <v>0.1</v>
      </c>
      <c r="J17" s="19">
        <f t="shared" ca="1" si="2"/>
        <v>0.1</v>
      </c>
      <c r="K17" s="19">
        <f t="shared" ca="1" si="2"/>
        <v>0.2</v>
      </c>
      <c r="L17" s="19">
        <f t="shared" ca="1" si="2"/>
        <v>0.2</v>
      </c>
      <c r="M17" s="19">
        <f t="shared" ca="1" si="2"/>
        <v>0.1</v>
      </c>
      <c r="N17" s="19">
        <f t="shared" ca="1" si="2"/>
        <v>0.1</v>
      </c>
    </row>
    <row r="18" spans="1:14">
      <c r="A18" s="8"/>
      <c r="B18" s="8">
        <v>18</v>
      </c>
      <c r="C18" s="1001"/>
      <c r="D18" s="17"/>
      <c r="E18" s="8"/>
      <c r="F18" s="1007"/>
      <c r="G18" s="1007"/>
      <c r="H18" s="897"/>
      <c r="I18" s="19"/>
      <c r="J18" s="19"/>
      <c r="K18" s="19"/>
      <c r="L18" s="19"/>
      <c r="M18" s="19"/>
      <c r="N18" s="19"/>
    </row>
    <row r="19" spans="1:14">
      <c r="A19" s="8"/>
      <c r="B19" s="8">
        <v>19</v>
      </c>
      <c r="C19" s="1001" t="s">
        <v>210</v>
      </c>
      <c r="D19" s="17"/>
      <c r="E19" s="8"/>
      <c r="F19" s="1007"/>
      <c r="G19" s="1007"/>
      <c r="H19" s="897"/>
      <c r="I19" s="19"/>
      <c r="J19" s="19"/>
      <c r="K19" s="19"/>
      <c r="L19" s="19"/>
      <c r="M19" s="19"/>
      <c r="N19" s="19"/>
    </row>
    <row r="20" spans="1:14">
      <c r="A20" s="8" t="s">
        <v>211</v>
      </c>
      <c r="B20" s="8">
        <v>20</v>
      </c>
      <c r="C20" s="1001" t="s">
        <v>212</v>
      </c>
      <c r="D20" s="1016">
        <v>0.2</v>
      </c>
      <c r="E20" s="1017">
        <v>0.25</v>
      </c>
      <c r="F20" s="1017">
        <v>0.25</v>
      </c>
      <c r="G20" s="1017">
        <v>0.25</v>
      </c>
      <c r="H20" s="897">
        <f t="shared" ref="H20:N21" ca="1" si="3">INDIRECT(H$7 &amp; $B20)</f>
        <v>0.2</v>
      </c>
      <c r="I20" s="19">
        <f t="shared" ca="1" si="3"/>
        <v>0.25</v>
      </c>
      <c r="J20" s="19">
        <f t="shared" ca="1" si="3"/>
        <v>0.25</v>
      </c>
      <c r="K20" s="19">
        <f t="shared" ca="1" si="3"/>
        <v>0.25</v>
      </c>
      <c r="L20" s="19">
        <f t="shared" ca="1" si="3"/>
        <v>0.25</v>
      </c>
      <c r="M20" s="19">
        <f t="shared" ca="1" si="3"/>
        <v>0.25</v>
      </c>
      <c r="N20" s="19">
        <f t="shared" ca="1" si="3"/>
        <v>0.25</v>
      </c>
    </row>
    <row r="21" spans="1:14">
      <c r="A21" s="8" t="s">
        <v>213</v>
      </c>
      <c r="B21" s="8">
        <v>21</v>
      </c>
      <c r="C21" s="1001" t="s">
        <v>214</v>
      </c>
      <c r="D21" s="1016">
        <v>0.2</v>
      </c>
      <c r="E21" s="1017">
        <v>0.25</v>
      </c>
      <c r="F21" s="1017">
        <v>0.25</v>
      </c>
      <c r="G21" s="1017">
        <v>0.25</v>
      </c>
      <c r="H21" s="897">
        <f t="shared" ca="1" si="3"/>
        <v>0.2</v>
      </c>
      <c r="I21" s="19">
        <f t="shared" ca="1" si="3"/>
        <v>0.25</v>
      </c>
      <c r="J21" s="19">
        <f t="shared" ca="1" si="3"/>
        <v>0.25</v>
      </c>
      <c r="K21" s="19">
        <f t="shared" ca="1" si="3"/>
        <v>0.25</v>
      </c>
      <c r="L21" s="19">
        <f t="shared" ca="1" si="3"/>
        <v>0.25</v>
      </c>
      <c r="M21" s="19">
        <f t="shared" ca="1" si="3"/>
        <v>0.25</v>
      </c>
      <c r="N21" s="19">
        <f t="shared" ca="1" si="3"/>
        <v>0.25</v>
      </c>
    </row>
    <row r="22" spans="1:14">
      <c r="A22" s="8"/>
      <c r="B22" s="8">
        <v>22</v>
      </c>
      <c r="C22" s="1001"/>
      <c r="D22" s="17"/>
      <c r="E22" s="8"/>
      <c r="F22" s="1007"/>
      <c r="G22" s="1007"/>
      <c r="H22" s="1014"/>
      <c r="I22" s="1015"/>
      <c r="J22" s="1015"/>
      <c r="K22" s="1015"/>
      <c r="L22" s="1015"/>
      <c r="M22" s="1015"/>
      <c r="N22" s="1015"/>
    </row>
    <row r="23" spans="1:14">
      <c r="A23" s="8"/>
      <c r="B23" s="8">
        <v>23</v>
      </c>
      <c r="C23" s="1001" t="s">
        <v>215</v>
      </c>
      <c r="D23" s="17"/>
      <c r="E23" s="8"/>
      <c r="F23" s="1007"/>
      <c r="G23" s="1007"/>
      <c r="H23" s="1014"/>
      <c r="I23" s="1015"/>
      <c r="J23" s="1015"/>
      <c r="K23" s="1015"/>
      <c r="L23" s="1015"/>
      <c r="M23" s="1015"/>
      <c r="N23" s="1015"/>
    </row>
    <row r="24" spans="1:14">
      <c r="A24" s="8"/>
      <c r="B24" s="8">
        <v>24</v>
      </c>
      <c r="C24" s="1001"/>
      <c r="D24" s="17"/>
      <c r="E24" s="8"/>
      <c r="F24" s="1007"/>
      <c r="G24" s="1007"/>
      <c r="H24" s="1014"/>
      <c r="I24" s="1015"/>
      <c r="J24" s="1015"/>
      <c r="K24" s="1015"/>
      <c r="L24" s="1015"/>
      <c r="M24" s="1015"/>
      <c r="N24" s="1015"/>
    </row>
    <row r="25" spans="1:14">
      <c r="A25" s="8"/>
      <c r="B25" s="8">
        <v>25</v>
      </c>
      <c r="C25" s="1001" t="s">
        <v>216</v>
      </c>
      <c r="D25" s="1018"/>
      <c r="E25" s="1019"/>
      <c r="F25" s="1019"/>
      <c r="G25" s="1019"/>
      <c r="H25" s="1014"/>
      <c r="I25" s="1015"/>
      <c r="J25" s="1015"/>
      <c r="K25" s="1015"/>
      <c r="L25" s="1015"/>
      <c r="M25" s="1015"/>
      <c r="N25" s="1015"/>
    </row>
    <row r="26" spans="1:14">
      <c r="A26" s="8" t="s">
        <v>217</v>
      </c>
      <c r="B26" s="8">
        <v>26</v>
      </c>
      <c r="C26" s="1001" t="s">
        <v>209</v>
      </c>
      <c r="D26" s="1012">
        <v>1</v>
      </c>
      <c r="E26" s="1013">
        <v>1</v>
      </c>
      <c r="F26" s="1013">
        <v>2</v>
      </c>
      <c r="G26" s="1013">
        <v>2</v>
      </c>
      <c r="H26" s="1020">
        <f t="shared" ref="H26:N28" ca="1" si="4">INDIRECT(H$7 &amp; $B26)</f>
        <v>1</v>
      </c>
      <c r="I26" s="1021">
        <f t="shared" ca="1" si="4"/>
        <v>1</v>
      </c>
      <c r="J26" s="1021">
        <f t="shared" ca="1" si="4"/>
        <v>1</v>
      </c>
      <c r="K26" s="1021">
        <f t="shared" ca="1" si="4"/>
        <v>2</v>
      </c>
      <c r="L26" s="1021">
        <f t="shared" ca="1" si="4"/>
        <v>2</v>
      </c>
      <c r="M26" s="1021">
        <f t="shared" ca="1" si="4"/>
        <v>1</v>
      </c>
      <c r="N26" s="1021">
        <f t="shared" ca="1" si="4"/>
        <v>1</v>
      </c>
    </row>
    <row r="27" spans="1:14">
      <c r="A27" s="8" t="s">
        <v>218</v>
      </c>
      <c r="B27" s="8">
        <v>27</v>
      </c>
      <c r="C27" s="1001" t="s">
        <v>212</v>
      </c>
      <c r="D27" s="1012">
        <v>1</v>
      </c>
      <c r="E27" s="1013">
        <v>1</v>
      </c>
      <c r="F27" s="1013">
        <v>2</v>
      </c>
      <c r="G27" s="1013">
        <v>2</v>
      </c>
      <c r="H27" s="1020">
        <f t="shared" ca="1" si="4"/>
        <v>1</v>
      </c>
      <c r="I27" s="1021">
        <f t="shared" ca="1" si="4"/>
        <v>1</v>
      </c>
      <c r="J27" s="1021">
        <f t="shared" ca="1" si="4"/>
        <v>1</v>
      </c>
      <c r="K27" s="1021">
        <f t="shared" ca="1" si="4"/>
        <v>2</v>
      </c>
      <c r="L27" s="1021">
        <f t="shared" ca="1" si="4"/>
        <v>2</v>
      </c>
      <c r="M27" s="1021">
        <f t="shared" ca="1" si="4"/>
        <v>1</v>
      </c>
      <c r="N27" s="1021">
        <f t="shared" ca="1" si="4"/>
        <v>1</v>
      </c>
    </row>
    <row r="28" spans="1:14">
      <c r="A28" s="8" t="s">
        <v>219</v>
      </c>
      <c r="B28" s="8">
        <v>28</v>
      </c>
      <c r="C28" s="1001" t="s">
        <v>214</v>
      </c>
      <c r="D28" s="1012">
        <v>1</v>
      </c>
      <c r="E28" s="1013">
        <v>1</v>
      </c>
      <c r="F28" s="1013">
        <v>2</v>
      </c>
      <c r="G28" s="1013">
        <v>2</v>
      </c>
      <c r="H28" s="1020">
        <f t="shared" ca="1" si="4"/>
        <v>1</v>
      </c>
      <c r="I28" s="1021">
        <f t="shared" ca="1" si="4"/>
        <v>1</v>
      </c>
      <c r="J28" s="1021">
        <f t="shared" ca="1" si="4"/>
        <v>1</v>
      </c>
      <c r="K28" s="1021">
        <f t="shared" ca="1" si="4"/>
        <v>2</v>
      </c>
      <c r="L28" s="1021">
        <f t="shared" ca="1" si="4"/>
        <v>2</v>
      </c>
      <c r="M28" s="1021">
        <f t="shared" ca="1" si="4"/>
        <v>1</v>
      </c>
      <c r="N28" s="1021">
        <f t="shared" ca="1" si="4"/>
        <v>1</v>
      </c>
    </row>
    <row r="29" spans="1:14">
      <c r="A29" s="8"/>
      <c r="B29" s="8">
        <v>29</v>
      </c>
      <c r="C29" s="1001"/>
      <c r="D29" s="1022"/>
      <c r="E29" s="1023"/>
      <c r="F29" s="1013"/>
      <c r="G29" s="1013"/>
      <c r="H29" s="1020"/>
      <c r="I29" s="1021"/>
      <c r="J29" s="1021"/>
      <c r="K29" s="1021"/>
      <c r="L29" s="1021"/>
      <c r="M29" s="1021"/>
      <c r="N29" s="1021"/>
    </row>
    <row r="30" spans="1:14">
      <c r="A30" s="8"/>
      <c r="B30" s="8">
        <v>30</v>
      </c>
      <c r="C30" s="1001" t="s">
        <v>220</v>
      </c>
      <c r="D30" s="1018"/>
      <c r="E30" s="1019"/>
      <c r="F30" s="1019"/>
      <c r="G30" s="1019"/>
      <c r="H30" s="1020"/>
      <c r="I30" s="1021"/>
      <c r="J30" s="1021"/>
      <c r="K30" s="1021"/>
      <c r="L30" s="1021"/>
      <c r="M30" s="1021"/>
      <c r="N30" s="1021"/>
    </row>
    <row r="31" spans="1:14">
      <c r="A31" s="1024" t="s">
        <v>221</v>
      </c>
      <c r="B31" s="8">
        <v>31</v>
      </c>
      <c r="C31" s="1001" t="s">
        <v>209</v>
      </c>
      <c r="D31" s="1018">
        <v>3</v>
      </c>
      <c r="E31" s="1019">
        <v>3</v>
      </c>
      <c r="F31" s="1019">
        <v>4.5</v>
      </c>
      <c r="G31" s="1019">
        <v>4.5</v>
      </c>
      <c r="H31" s="1020">
        <f t="shared" ref="H31:N33" ca="1" si="5">INDIRECT(H$7 &amp; $B31)</f>
        <v>3</v>
      </c>
      <c r="I31" s="1021">
        <f t="shared" ca="1" si="5"/>
        <v>3</v>
      </c>
      <c r="J31" s="1021">
        <f t="shared" ca="1" si="5"/>
        <v>3</v>
      </c>
      <c r="K31" s="1021">
        <f t="shared" ca="1" si="5"/>
        <v>4.5</v>
      </c>
      <c r="L31" s="1021">
        <f t="shared" ca="1" si="5"/>
        <v>4.5</v>
      </c>
      <c r="M31" s="1021">
        <f t="shared" ca="1" si="5"/>
        <v>3</v>
      </c>
      <c r="N31" s="1021">
        <f t="shared" ca="1" si="5"/>
        <v>3</v>
      </c>
    </row>
    <row r="32" spans="1:14">
      <c r="A32" s="1024" t="s">
        <v>222</v>
      </c>
      <c r="B32" s="8">
        <v>32</v>
      </c>
      <c r="C32" s="1001" t="s">
        <v>212</v>
      </c>
      <c r="D32" s="1018">
        <v>0.75</v>
      </c>
      <c r="E32" s="1019">
        <v>0.75</v>
      </c>
      <c r="F32" s="1019">
        <v>1.5</v>
      </c>
      <c r="G32" s="1019">
        <v>1.5</v>
      </c>
      <c r="H32" s="1020">
        <f t="shared" ca="1" si="5"/>
        <v>0.75</v>
      </c>
      <c r="I32" s="1021">
        <f t="shared" ca="1" si="5"/>
        <v>0.75</v>
      </c>
      <c r="J32" s="1021">
        <f t="shared" ca="1" si="5"/>
        <v>0.75</v>
      </c>
      <c r="K32" s="1021">
        <f t="shared" ca="1" si="5"/>
        <v>1.5</v>
      </c>
      <c r="L32" s="1021">
        <f t="shared" ca="1" si="5"/>
        <v>1.5</v>
      </c>
      <c r="M32" s="1021">
        <f t="shared" ca="1" si="5"/>
        <v>0.75</v>
      </c>
      <c r="N32" s="1021">
        <f t="shared" ca="1" si="5"/>
        <v>0.75</v>
      </c>
    </row>
    <row r="33" spans="1:14">
      <c r="A33" s="1024" t="s">
        <v>223</v>
      </c>
      <c r="B33" s="8">
        <v>33</v>
      </c>
      <c r="C33" s="1001" t="s">
        <v>214</v>
      </c>
      <c r="D33" s="1018">
        <v>1.5</v>
      </c>
      <c r="E33" s="1019">
        <v>1.5</v>
      </c>
      <c r="F33" s="1019">
        <v>3</v>
      </c>
      <c r="G33" s="1019">
        <v>3</v>
      </c>
      <c r="H33" s="1020">
        <f t="shared" ca="1" si="5"/>
        <v>1.5</v>
      </c>
      <c r="I33" s="1021">
        <f t="shared" ca="1" si="5"/>
        <v>1.5</v>
      </c>
      <c r="J33" s="1021">
        <f t="shared" ca="1" si="5"/>
        <v>1.5</v>
      </c>
      <c r="K33" s="1021">
        <f t="shared" ca="1" si="5"/>
        <v>3</v>
      </c>
      <c r="L33" s="1021">
        <f t="shared" ca="1" si="5"/>
        <v>3</v>
      </c>
      <c r="M33" s="1021">
        <f t="shared" ca="1" si="5"/>
        <v>1.5</v>
      </c>
      <c r="N33" s="1021">
        <f t="shared" ca="1" si="5"/>
        <v>1.5</v>
      </c>
    </row>
    <row r="34" spans="1:14">
      <c r="A34" s="8"/>
      <c r="B34" s="8">
        <v>34</v>
      </c>
      <c r="C34" s="1001"/>
      <c r="D34" s="1018"/>
      <c r="E34" s="1019"/>
      <c r="F34" s="1019"/>
      <c r="G34" s="1019"/>
      <c r="H34" s="1014"/>
      <c r="I34" s="1015"/>
      <c r="J34" s="1015"/>
      <c r="K34" s="1015"/>
      <c r="L34" s="1015"/>
      <c r="M34" s="1015"/>
      <c r="N34" s="1015"/>
    </row>
    <row r="35" spans="1:14">
      <c r="A35" s="8"/>
      <c r="B35" s="8">
        <v>35</v>
      </c>
      <c r="C35" s="1001" t="s">
        <v>224</v>
      </c>
      <c r="D35" s="17"/>
      <c r="E35" s="8"/>
      <c r="F35" s="8"/>
      <c r="G35" s="8"/>
      <c r="H35" s="1014"/>
      <c r="I35" s="1015"/>
      <c r="J35" s="1015"/>
      <c r="K35" s="1015"/>
      <c r="L35" s="1015"/>
      <c r="M35" s="1015"/>
      <c r="N35" s="1015"/>
    </row>
    <row r="36" spans="1:14">
      <c r="A36" s="8" t="s">
        <v>225</v>
      </c>
      <c r="B36" s="8">
        <v>36</v>
      </c>
      <c r="C36" s="1001" t="s">
        <v>209</v>
      </c>
      <c r="D36" s="1012">
        <v>2</v>
      </c>
      <c r="E36" s="1013">
        <v>2</v>
      </c>
      <c r="F36" s="1013">
        <v>6</v>
      </c>
      <c r="G36" s="1013">
        <v>6</v>
      </c>
      <c r="H36" s="1020">
        <f t="shared" ref="H36:N38" ca="1" si="6">INDIRECT(H$7 &amp; $B36)</f>
        <v>2</v>
      </c>
      <c r="I36" s="1021">
        <f t="shared" ca="1" si="6"/>
        <v>2</v>
      </c>
      <c r="J36" s="1021">
        <f t="shared" ca="1" si="6"/>
        <v>2</v>
      </c>
      <c r="K36" s="1021">
        <f t="shared" ca="1" si="6"/>
        <v>6</v>
      </c>
      <c r="L36" s="1021">
        <f t="shared" ca="1" si="6"/>
        <v>6</v>
      </c>
      <c r="M36" s="1021">
        <f t="shared" ca="1" si="6"/>
        <v>2</v>
      </c>
      <c r="N36" s="1021">
        <f t="shared" ca="1" si="6"/>
        <v>2</v>
      </c>
    </row>
    <row r="37" spans="1:14">
      <c r="A37" s="8" t="s">
        <v>226</v>
      </c>
      <c r="B37" s="8">
        <v>37</v>
      </c>
      <c r="C37" s="1001" t="s">
        <v>212</v>
      </c>
      <c r="D37" s="1012">
        <v>2</v>
      </c>
      <c r="E37" s="1013">
        <v>2</v>
      </c>
      <c r="F37" s="1013">
        <v>4</v>
      </c>
      <c r="G37" s="1013">
        <v>4</v>
      </c>
      <c r="H37" s="1020">
        <f t="shared" ca="1" si="6"/>
        <v>2</v>
      </c>
      <c r="I37" s="1021">
        <f t="shared" ca="1" si="6"/>
        <v>2</v>
      </c>
      <c r="J37" s="1021">
        <f t="shared" ca="1" si="6"/>
        <v>2</v>
      </c>
      <c r="K37" s="1021">
        <f t="shared" ca="1" si="6"/>
        <v>4</v>
      </c>
      <c r="L37" s="1021">
        <f t="shared" ca="1" si="6"/>
        <v>4</v>
      </c>
      <c r="M37" s="1021">
        <f t="shared" ca="1" si="6"/>
        <v>2</v>
      </c>
      <c r="N37" s="1021">
        <f t="shared" ca="1" si="6"/>
        <v>2</v>
      </c>
    </row>
    <row r="38" spans="1:14">
      <c r="A38" s="8" t="s">
        <v>227</v>
      </c>
      <c r="B38" s="8">
        <v>38</v>
      </c>
      <c r="C38" s="1001" t="s">
        <v>214</v>
      </c>
      <c r="D38" s="1012">
        <v>2</v>
      </c>
      <c r="E38" s="1013">
        <v>2</v>
      </c>
      <c r="F38" s="1013">
        <v>4</v>
      </c>
      <c r="G38" s="1013">
        <v>4</v>
      </c>
      <c r="H38" s="1020">
        <f t="shared" ca="1" si="6"/>
        <v>2</v>
      </c>
      <c r="I38" s="1021">
        <f t="shared" ca="1" si="6"/>
        <v>2</v>
      </c>
      <c r="J38" s="1021">
        <f t="shared" ca="1" si="6"/>
        <v>2</v>
      </c>
      <c r="K38" s="1021">
        <f t="shared" ca="1" si="6"/>
        <v>4</v>
      </c>
      <c r="L38" s="1021">
        <f t="shared" ca="1" si="6"/>
        <v>4</v>
      </c>
      <c r="M38" s="1021">
        <f t="shared" ca="1" si="6"/>
        <v>2</v>
      </c>
      <c r="N38" s="1021">
        <f t="shared" ca="1" si="6"/>
        <v>2</v>
      </c>
    </row>
    <row r="39" spans="1:14">
      <c r="A39" s="8"/>
      <c r="B39" s="8">
        <v>39</v>
      </c>
      <c r="C39" s="1001"/>
      <c r="D39" s="1018"/>
      <c r="E39" s="1019"/>
      <c r="F39" s="1019"/>
      <c r="G39" s="1019"/>
      <c r="H39" s="1020"/>
      <c r="I39" s="1021"/>
      <c r="J39" s="1021"/>
      <c r="K39" s="1021"/>
      <c r="L39" s="1021"/>
      <c r="M39" s="1021"/>
      <c r="N39" s="1021"/>
    </row>
    <row r="40" spans="1:14">
      <c r="A40" s="8"/>
      <c r="B40" s="8">
        <v>40</v>
      </c>
      <c r="C40" s="1001" t="s">
        <v>228</v>
      </c>
      <c r="D40" s="17"/>
      <c r="E40" s="8"/>
      <c r="F40" s="8"/>
      <c r="G40" s="8"/>
      <c r="H40" s="1020"/>
      <c r="I40" s="1021"/>
      <c r="J40" s="1021"/>
      <c r="K40" s="1021"/>
      <c r="L40" s="1021"/>
      <c r="M40" s="1021"/>
      <c r="N40" s="1021"/>
    </row>
    <row r="41" spans="1:14">
      <c r="A41" s="8" t="s">
        <v>229</v>
      </c>
      <c r="B41" s="8">
        <v>41</v>
      </c>
      <c r="C41" s="1001" t="s">
        <v>209</v>
      </c>
      <c r="D41" s="1013">
        <v>3</v>
      </c>
      <c r="E41" s="1013">
        <v>3</v>
      </c>
      <c r="F41" s="1013">
        <v>4</v>
      </c>
      <c r="G41" s="1013">
        <v>4</v>
      </c>
      <c r="H41" s="1020">
        <f t="shared" ref="H41:N43" ca="1" si="7">INDIRECT(H$7 &amp; $B41)</f>
        <v>3</v>
      </c>
      <c r="I41" s="1021">
        <f t="shared" ca="1" si="7"/>
        <v>3</v>
      </c>
      <c r="J41" s="1021">
        <f t="shared" ca="1" si="7"/>
        <v>3</v>
      </c>
      <c r="K41" s="1021">
        <f t="shared" ca="1" si="7"/>
        <v>4</v>
      </c>
      <c r="L41" s="1021">
        <f t="shared" ca="1" si="7"/>
        <v>4</v>
      </c>
      <c r="M41" s="1021">
        <f t="shared" ca="1" si="7"/>
        <v>3</v>
      </c>
      <c r="N41" s="1021">
        <f t="shared" ca="1" si="7"/>
        <v>3</v>
      </c>
    </row>
    <row r="42" spans="1:14">
      <c r="A42" s="8" t="s">
        <v>230</v>
      </c>
      <c r="B42" s="8">
        <v>42</v>
      </c>
      <c r="C42" s="1001" t="s">
        <v>212</v>
      </c>
      <c r="D42" s="1013">
        <v>3</v>
      </c>
      <c r="E42" s="1013">
        <v>3</v>
      </c>
      <c r="F42" s="1013">
        <v>4</v>
      </c>
      <c r="G42" s="1013">
        <v>4</v>
      </c>
      <c r="H42" s="1020">
        <f t="shared" ca="1" si="7"/>
        <v>3</v>
      </c>
      <c r="I42" s="1021">
        <f t="shared" ca="1" si="7"/>
        <v>3</v>
      </c>
      <c r="J42" s="1021">
        <f t="shared" ca="1" si="7"/>
        <v>3</v>
      </c>
      <c r="K42" s="1021">
        <f t="shared" ca="1" si="7"/>
        <v>4</v>
      </c>
      <c r="L42" s="1021">
        <f t="shared" ca="1" si="7"/>
        <v>4</v>
      </c>
      <c r="M42" s="1021">
        <f t="shared" ca="1" si="7"/>
        <v>3</v>
      </c>
      <c r="N42" s="1021">
        <f t="shared" ca="1" si="7"/>
        <v>3</v>
      </c>
    </row>
    <row r="43" spans="1:14">
      <c r="A43" s="8" t="s">
        <v>231</v>
      </c>
      <c r="B43" s="8">
        <v>43</v>
      </c>
      <c r="C43" s="1001" t="s">
        <v>214</v>
      </c>
      <c r="D43" s="1013">
        <v>3</v>
      </c>
      <c r="E43" s="1013">
        <v>3</v>
      </c>
      <c r="F43" s="1013">
        <v>4</v>
      </c>
      <c r="G43" s="1013">
        <v>4</v>
      </c>
      <c r="H43" s="1020">
        <f t="shared" ca="1" si="7"/>
        <v>3</v>
      </c>
      <c r="I43" s="1021">
        <f t="shared" ca="1" si="7"/>
        <v>3</v>
      </c>
      <c r="J43" s="1021">
        <f t="shared" ca="1" si="7"/>
        <v>3</v>
      </c>
      <c r="K43" s="1021">
        <f t="shared" ca="1" si="7"/>
        <v>4</v>
      </c>
      <c r="L43" s="1021">
        <f t="shared" ca="1" si="7"/>
        <v>4</v>
      </c>
      <c r="M43" s="1021">
        <f t="shared" ca="1" si="7"/>
        <v>3</v>
      </c>
      <c r="N43" s="1021">
        <f t="shared" ca="1" si="7"/>
        <v>3</v>
      </c>
    </row>
    <row r="44" spans="1:14">
      <c r="A44" s="8"/>
      <c r="B44" s="8">
        <v>44</v>
      </c>
      <c r="C44" s="1001"/>
      <c r="D44" s="1012"/>
      <c r="E44" s="1013"/>
      <c r="F44" s="1013"/>
      <c r="G44" s="1013"/>
      <c r="H44" s="1014"/>
      <c r="I44" s="1015"/>
      <c r="J44" s="1015"/>
      <c r="K44" s="1015"/>
      <c r="L44" s="1015"/>
      <c r="M44" s="1015"/>
      <c r="N44" s="1015"/>
    </row>
    <row r="45" spans="1:14">
      <c r="A45" s="8"/>
      <c r="B45" s="8">
        <v>45</v>
      </c>
      <c r="C45" s="1001" t="s">
        <v>232</v>
      </c>
      <c r="D45" s="17"/>
      <c r="E45" s="8"/>
      <c r="F45" s="8"/>
      <c r="G45" s="8"/>
      <c r="H45" s="1014"/>
      <c r="I45" s="1015"/>
      <c r="J45" s="1015"/>
      <c r="K45" s="1015"/>
      <c r="L45" s="1015"/>
      <c r="M45" s="1015"/>
      <c r="N45" s="1015"/>
    </row>
    <row r="46" spans="1:14">
      <c r="A46" s="8" t="s">
        <v>233</v>
      </c>
      <c r="B46" s="8">
        <v>46</v>
      </c>
      <c r="C46" s="1001" t="s">
        <v>209</v>
      </c>
      <c r="D46" s="1025">
        <v>27.83</v>
      </c>
      <c r="E46" s="1026">
        <f>D46*(1+'6.GrowthFactors'!$D$9)</f>
        <v>28.839815643002574</v>
      </c>
      <c r="F46" s="1026">
        <v>30</v>
      </c>
      <c r="G46" s="1026">
        <v>30</v>
      </c>
      <c r="H46" s="898">
        <f t="shared" ref="H46:N48" ca="1" si="8">INDIRECT(H$7 &amp; $B46)</f>
        <v>27.83</v>
      </c>
      <c r="I46" s="20">
        <f t="shared" ca="1" si="8"/>
        <v>28.839815643002574</v>
      </c>
      <c r="J46" s="20">
        <f t="shared" ca="1" si="8"/>
        <v>28.839815643002574</v>
      </c>
      <c r="K46" s="20">
        <f t="shared" ca="1" si="8"/>
        <v>30</v>
      </c>
      <c r="L46" s="20">
        <f t="shared" ca="1" si="8"/>
        <v>30</v>
      </c>
      <c r="M46" s="20">
        <f t="shared" ca="1" si="8"/>
        <v>28.839815643002574</v>
      </c>
      <c r="N46" s="20">
        <f t="shared" ca="1" si="8"/>
        <v>28.839815643002574</v>
      </c>
    </row>
    <row r="47" spans="1:14">
      <c r="A47" s="8" t="s">
        <v>234</v>
      </c>
      <c r="B47" s="8">
        <v>47</v>
      </c>
      <c r="C47" s="1001" t="s">
        <v>212</v>
      </c>
      <c r="D47" s="1025">
        <v>27.83</v>
      </c>
      <c r="E47" s="1026">
        <f>D47*(1+'6.GrowthFactors'!$D$9)</f>
        <v>28.839815643002574</v>
      </c>
      <c r="F47" s="1026">
        <v>30</v>
      </c>
      <c r="G47" s="1026">
        <v>30</v>
      </c>
      <c r="H47" s="898">
        <f t="shared" ca="1" si="8"/>
        <v>27.83</v>
      </c>
      <c r="I47" s="20">
        <f t="shared" ca="1" si="8"/>
        <v>28.839815643002574</v>
      </c>
      <c r="J47" s="20">
        <f t="shared" ca="1" si="8"/>
        <v>28.839815643002574</v>
      </c>
      <c r="K47" s="20">
        <f t="shared" ca="1" si="8"/>
        <v>30</v>
      </c>
      <c r="L47" s="20">
        <f t="shared" ca="1" si="8"/>
        <v>30</v>
      </c>
      <c r="M47" s="20">
        <f t="shared" ca="1" si="8"/>
        <v>28.839815643002574</v>
      </c>
      <c r="N47" s="20">
        <f t="shared" ca="1" si="8"/>
        <v>28.839815643002574</v>
      </c>
    </row>
    <row r="48" spans="1:14">
      <c r="A48" s="8" t="s">
        <v>235</v>
      </c>
      <c r="B48" s="8">
        <v>48</v>
      </c>
      <c r="C48" s="1001" t="s">
        <v>214</v>
      </c>
      <c r="D48" s="1025">
        <v>27.83</v>
      </c>
      <c r="E48" s="1026">
        <f>D48*(1+'6.GrowthFactors'!$D$9)</f>
        <v>28.839815643002574</v>
      </c>
      <c r="F48" s="1026">
        <v>30</v>
      </c>
      <c r="G48" s="1026">
        <v>30</v>
      </c>
      <c r="H48" s="898">
        <f t="shared" ca="1" si="8"/>
        <v>27.83</v>
      </c>
      <c r="I48" s="20">
        <f t="shared" ca="1" si="8"/>
        <v>28.839815643002574</v>
      </c>
      <c r="J48" s="20">
        <f t="shared" ca="1" si="8"/>
        <v>28.839815643002574</v>
      </c>
      <c r="K48" s="20">
        <f t="shared" ca="1" si="8"/>
        <v>30</v>
      </c>
      <c r="L48" s="20">
        <f t="shared" ca="1" si="8"/>
        <v>30</v>
      </c>
      <c r="M48" s="20">
        <f t="shared" ca="1" si="8"/>
        <v>28.839815643002574</v>
      </c>
      <c r="N48" s="20">
        <f t="shared" ca="1" si="8"/>
        <v>28.839815643002574</v>
      </c>
    </row>
    <row r="49" spans="1:14">
      <c r="A49" s="8"/>
      <c r="B49" s="8">
        <v>49</v>
      </c>
      <c r="C49" s="1001"/>
      <c r="D49" s="1018"/>
      <c r="E49" s="1019"/>
      <c r="F49" s="1019"/>
      <c r="G49" s="1019"/>
      <c r="H49" s="898"/>
      <c r="I49" s="20"/>
      <c r="J49" s="20"/>
      <c r="K49" s="20"/>
      <c r="L49" s="20"/>
      <c r="M49" s="20"/>
      <c r="N49" s="20"/>
    </row>
    <row r="50" spans="1:14">
      <c r="A50" s="8"/>
      <c r="B50" s="8">
        <v>50</v>
      </c>
      <c r="C50" s="1001" t="s">
        <v>236</v>
      </c>
      <c r="D50" s="1018"/>
      <c r="E50" s="1019"/>
      <c r="F50" s="1019"/>
      <c r="G50" s="1019"/>
      <c r="H50" s="898"/>
      <c r="I50" s="20"/>
      <c r="J50" s="20"/>
      <c r="K50" s="20"/>
      <c r="L50" s="20"/>
      <c r="M50" s="20"/>
      <c r="N50" s="20"/>
    </row>
    <row r="51" spans="1:14">
      <c r="A51" s="8" t="s">
        <v>237</v>
      </c>
      <c r="B51" s="8">
        <v>51</v>
      </c>
      <c r="C51" s="1001" t="s">
        <v>209</v>
      </c>
      <c r="D51" s="1026">
        <v>118</v>
      </c>
      <c r="E51" s="1026">
        <v>118</v>
      </c>
      <c r="F51" s="1026">
        <v>118</v>
      </c>
      <c r="G51" s="1026">
        <v>118</v>
      </c>
      <c r="H51" s="898">
        <f t="shared" ref="H51:N53" ca="1" si="9">INDIRECT(H$7 &amp; $B51)</f>
        <v>118</v>
      </c>
      <c r="I51" s="20">
        <f t="shared" ca="1" si="9"/>
        <v>118</v>
      </c>
      <c r="J51" s="20">
        <f t="shared" ca="1" si="9"/>
        <v>118</v>
      </c>
      <c r="K51" s="20">
        <f t="shared" ca="1" si="9"/>
        <v>118</v>
      </c>
      <c r="L51" s="20">
        <f t="shared" ca="1" si="9"/>
        <v>118</v>
      </c>
      <c r="M51" s="20">
        <f t="shared" ca="1" si="9"/>
        <v>118</v>
      </c>
      <c r="N51" s="20">
        <f t="shared" ca="1" si="9"/>
        <v>118</v>
      </c>
    </row>
    <row r="52" spans="1:14">
      <c r="A52" s="8" t="s">
        <v>238</v>
      </c>
      <c r="B52" s="8">
        <v>52</v>
      </c>
      <c r="C52" s="1001" t="s">
        <v>212</v>
      </c>
      <c r="D52" s="1026">
        <v>99</v>
      </c>
      <c r="E52" s="1026">
        <v>99</v>
      </c>
      <c r="F52" s="1026">
        <v>99</v>
      </c>
      <c r="G52" s="1026">
        <v>99</v>
      </c>
      <c r="H52" s="898">
        <f t="shared" ca="1" si="9"/>
        <v>99</v>
      </c>
      <c r="I52" s="20">
        <f t="shared" ca="1" si="9"/>
        <v>99</v>
      </c>
      <c r="J52" s="20">
        <f t="shared" ca="1" si="9"/>
        <v>99</v>
      </c>
      <c r="K52" s="20">
        <f t="shared" ca="1" si="9"/>
        <v>99</v>
      </c>
      <c r="L52" s="20">
        <f t="shared" ca="1" si="9"/>
        <v>99</v>
      </c>
      <c r="M52" s="20">
        <f t="shared" ca="1" si="9"/>
        <v>99</v>
      </c>
      <c r="N52" s="20">
        <f t="shared" ca="1" si="9"/>
        <v>99</v>
      </c>
    </row>
    <row r="53" spans="1:14">
      <c r="A53" s="8" t="s">
        <v>239</v>
      </c>
      <c r="B53" s="8">
        <v>53</v>
      </c>
      <c r="C53" s="1001" t="s">
        <v>214</v>
      </c>
      <c r="D53" s="1026">
        <v>39</v>
      </c>
      <c r="E53" s="1026">
        <v>39</v>
      </c>
      <c r="F53" s="1026">
        <v>39</v>
      </c>
      <c r="G53" s="1026">
        <v>39</v>
      </c>
      <c r="H53" s="898">
        <f t="shared" ca="1" si="9"/>
        <v>39</v>
      </c>
      <c r="I53" s="20">
        <f t="shared" ca="1" si="9"/>
        <v>39</v>
      </c>
      <c r="J53" s="20">
        <f t="shared" ca="1" si="9"/>
        <v>39</v>
      </c>
      <c r="K53" s="20">
        <f t="shared" ca="1" si="9"/>
        <v>39</v>
      </c>
      <c r="L53" s="20">
        <f t="shared" ca="1" si="9"/>
        <v>39</v>
      </c>
      <c r="M53" s="20">
        <f t="shared" ca="1" si="9"/>
        <v>39</v>
      </c>
      <c r="N53" s="20">
        <f t="shared" ca="1" si="9"/>
        <v>39</v>
      </c>
    </row>
    <row r="54" spans="1:14">
      <c r="A54" s="8"/>
      <c r="B54" s="8">
        <v>54</v>
      </c>
      <c r="C54" s="1001"/>
      <c r="D54" s="1025"/>
      <c r="E54" s="1026"/>
      <c r="F54" s="1026"/>
      <c r="G54" s="1026"/>
      <c r="H54" s="1014"/>
      <c r="I54" s="1015"/>
      <c r="J54" s="1015"/>
      <c r="K54" s="1015"/>
      <c r="L54" s="1015"/>
      <c r="M54" s="1015"/>
      <c r="N54" s="1015"/>
    </row>
    <row r="55" spans="1:14">
      <c r="A55" s="8"/>
      <c r="B55" s="8">
        <v>55</v>
      </c>
      <c r="C55" s="1001"/>
      <c r="D55" s="17"/>
      <c r="E55" s="8"/>
      <c r="F55" s="1007"/>
      <c r="G55" s="1007"/>
      <c r="H55" s="1014"/>
      <c r="I55" s="1015"/>
      <c r="J55" s="1015"/>
      <c r="K55" s="1015"/>
      <c r="L55" s="1015"/>
      <c r="M55" s="1015"/>
      <c r="N55" s="1015"/>
    </row>
    <row r="56" spans="1:14">
      <c r="A56" s="8"/>
      <c r="B56" s="8">
        <v>56</v>
      </c>
      <c r="C56" s="1027" t="s">
        <v>240</v>
      </c>
      <c r="D56" s="1028"/>
      <c r="E56" s="1029"/>
      <c r="F56" s="1029"/>
      <c r="G56" s="1029"/>
      <c r="H56" s="1014"/>
      <c r="I56" s="1015"/>
      <c r="J56" s="1015"/>
      <c r="K56" s="1015"/>
      <c r="L56" s="1015"/>
      <c r="M56" s="1015"/>
      <c r="N56" s="1015"/>
    </row>
    <row r="57" spans="1:14">
      <c r="A57" s="8"/>
      <c r="B57" s="8">
        <v>57</v>
      </c>
      <c r="C57" s="1030"/>
      <c r="D57" s="17"/>
      <c r="E57" s="8"/>
      <c r="F57" s="1007"/>
      <c r="G57" s="1007"/>
      <c r="H57" s="1014"/>
      <c r="I57" s="1015"/>
      <c r="J57" s="1015"/>
      <c r="K57" s="1015"/>
      <c r="L57" s="1015"/>
      <c r="M57" s="1015"/>
      <c r="N57" s="1015"/>
    </row>
    <row r="58" spans="1:14">
      <c r="A58" s="8"/>
      <c r="B58" s="8">
        <v>58</v>
      </c>
      <c r="C58" s="1001" t="s">
        <v>241</v>
      </c>
      <c r="D58" s="17"/>
      <c r="E58" s="8"/>
      <c r="F58" s="8"/>
      <c r="G58" s="8"/>
      <c r="H58" s="1014"/>
      <c r="I58" s="1015"/>
      <c r="J58" s="1015"/>
      <c r="K58" s="1015"/>
      <c r="L58" s="1015"/>
      <c r="M58" s="1015"/>
      <c r="N58" s="1015"/>
    </row>
    <row r="59" spans="1:14">
      <c r="A59" s="8" t="s">
        <v>242</v>
      </c>
      <c r="B59" s="8">
        <v>59</v>
      </c>
      <c r="C59" s="1001" t="s">
        <v>243</v>
      </c>
      <c r="D59" s="1018">
        <v>5</v>
      </c>
      <c r="E59" s="1019">
        <v>5</v>
      </c>
      <c r="F59" s="1019">
        <v>7</v>
      </c>
      <c r="G59" s="1019">
        <v>7</v>
      </c>
      <c r="H59" s="1020">
        <f t="shared" ref="H59:N61" ca="1" si="10">INDIRECT(H$7 &amp; $B59)</f>
        <v>5</v>
      </c>
      <c r="I59" s="1021">
        <f t="shared" ca="1" si="10"/>
        <v>5</v>
      </c>
      <c r="J59" s="1021">
        <f t="shared" ca="1" si="10"/>
        <v>5</v>
      </c>
      <c r="K59" s="1021">
        <f t="shared" ca="1" si="10"/>
        <v>7</v>
      </c>
      <c r="L59" s="1021">
        <f t="shared" ca="1" si="10"/>
        <v>7</v>
      </c>
      <c r="M59" s="1021">
        <f t="shared" ca="1" si="10"/>
        <v>5</v>
      </c>
      <c r="N59" s="1021">
        <f t="shared" ca="1" si="10"/>
        <v>5</v>
      </c>
    </row>
    <row r="60" spans="1:14">
      <c r="A60" s="8" t="s">
        <v>244</v>
      </c>
      <c r="B60" s="8">
        <v>60</v>
      </c>
      <c r="C60" s="1001" t="s">
        <v>245</v>
      </c>
      <c r="D60" s="1018">
        <v>5</v>
      </c>
      <c r="E60" s="1019">
        <v>5</v>
      </c>
      <c r="F60" s="1019">
        <v>7</v>
      </c>
      <c r="G60" s="1019">
        <v>7</v>
      </c>
      <c r="H60" s="1020">
        <f t="shared" ca="1" si="10"/>
        <v>5</v>
      </c>
      <c r="I60" s="1021">
        <f t="shared" ca="1" si="10"/>
        <v>5</v>
      </c>
      <c r="J60" s="1021">
        <f t="shared" ca="1" si="10"/>
        <v>5</v>
      </c>
      <c r="K60" s="1021">
        <f t="shared" ca="1" si="10"/>
        <v>7</v>
      </c>
      <c r="L60" s="1021">
        <f t="shared" ca="1" si="10"/>
        <v>7</v>
      </c>
      <c r="M60" s="1021">
        <f t="shared" ca="1" si="10"/>
        <v>5</v>
      </c>
      <c r="N60" s="1021">
        <f t="shared" ca="1" si="10"/>
        <v>5</v>
      </c>
    </row>
    <row r="61" spans="1:14">
      <c r="A61" s="8" t="s">
        <v>246</v>
      </c>
      <c r="B61" s="8">
        <v>61</v>
      </c>
      <c r="C61" s="1001" t="s">
        <v>247</v>
      </c>
      <c r="D61" s="1018">
        <v>5</v>
      </c>
      <c r="E61" s="1019">
        <v>5</v>
      </c>
      <c r="F61" s="1019">
        <v>7</v>
      </c>
      <c r="G61" s="1019">
        <v>7</v>
      </c>
      <c r="H61" s="1020">
        <f t="shared" ca="1" si="10"/>
        <v>5</v>
      </c>
      <c r="I61" s="1021">
        <f t="shared" ca="1" si="10"/>
        <v>5</v>
      </c>
      <c r="J61" s="1021">
        <f t="shared" ca="1" si="10"/>
        <v>5</v>
      </c>
      <c r="K61" s="1021">
        <f t="shared" ca="1" si="10"/>
        <v>7</v>
      </c>
      <c r="L61" s="1021">
        <f t="shared" ca="1" si="10"/>
        <v>7</v>
      </c>
      <c r="M61" s="1021">
        <f t="shared" ca="1" si="10"/>
        <v>5</v>
      </c>
      <c r="N61" s="1021">
        <f t="shared" ca="1" si="10"/>
        <v>5</v>
      </c>
    </row>
    <row r="62" spans="1:14">
      <c r="A62" s="8"/>
      <c r="B62" s="8">
        <v>62</v>
      </c>
      <c r="C62" s="1001"/>
      <c r="D62" s="1018"/>
      <c r="E62" s="1019"/>
      <c r="F62" s="1019"/>
      <c r="G62" s="1019"/>
      <c r="H62" s="1014"/>
      <c r="I62" s="1015"/>
      <c r="J62" s="1015"/>
      <c r="K62" s="1015"/>
      <c r="L62" s="1015"/>
      <c r="M62" s="1015"/>
      <c r="N62" s="1015"/>
    </row>
    <row r="63" spans="1:14">
      <c r="A63" s="8"/>
      <c r="B63" s="8">
        <v>63</v>
      </c>
      <c r="C63" s="1001" t="s">
        <v>248</v>
      </c>
      <c r="D63" s="1018"/>
      <c r="E63" s="1019"/>
      <c r="F63" s="1019"/>
      <c r="G63" s="1019"/>
      <c r="H63" s="1014"/>
      <c r="I63" s="1015"/>
      <c r="J63" s="1015"/>
      <c r="K63" s="1015"/>
      <c r="L63" s="1015"/>
      <c r="M63" s="1015"/>
      <c r="N63" s="1015"/>
    </row>
    <row r="64" spans="1:14">
      <c r="A64" s="8" t="s">
        <v>249</v>
      </c>
      <c r="B64" s="8">
        <v>64</v>
      </c>
      <c r="C64" s="1001" t="s">
        <v>243</v>
      </c>
      <c r="D64" s="1018">
        <v>1</v>
      </c>
      <c r="E64" s="1019">
        <v>1</v>
      </c>
      <c r="F64" s="1019">
        <v>2</v>
      </c>
      <c r="G64" s="1019">
        <v>2</v>
      </c>
      <c r="H64" s="1020">
        <f t="shared" ref="H64:N66" ca="1" si="11">INDIRECT(H$7 &amp; $B64)</f>
        <v>1</v>
      </c>
      <c r="I64" s="1021">
        <f t="shared" ca="1" si="11"/>
        <v>1</v>
      </c>
      <c r="J64" s="1021">
        <f t="shared" ca="1" si="11"/>
        <v>1</v>
      </c>
      <c r="K64" s="1021">
        <f t="shared" ca="1" si="11"/>
        <v>2</v>
      </c>
      <c r="L64" s="1021">
        <f t="shared" ca="1" si="11"/>
        <v>2</v>
      </c>
      <c r="M64" s="1021">
        <f t="shared" ca="1" si="11"/>
        <v>1</v>
      </c>
      <c r="N64" s="1021">
        <f t="shared" ca="1" si="11"/>
        <v>1</v>
      </c>
    </row>
    <row r="65" spans="1:14">
      <c r="A65" s="8" t="s">
        <v>250</v>
      </c>
      <c r="B65" s="8">
        <v>65</v>
      </c>
      <c r="C65" s="1001" t="s">
        <v>245</v>
      </c>
      <c r="D65" s="1018">
        <v>1</v>
      </c>
      <c r="E65" s="1019">
        <v>1</v>
      </c>
      <c r="F65" s="1019">
        <v>2</v>
      </c>
      <c r="G65" s="1019">
        <v>2</v>
      </c>
      <c r="H65" s="1020">
        <f t="shared" ca="1" si="11"/>
        <v>1</v>
      </c>
      <c r="I65" s="1021">
        <f t="shared" ca="1" si="11"/>
        <v>1</v>
      </c>
      <c r="J65" s="1021">
        <f t="shared" ca="1" si="11"/>
        <v>1</v>
      </c>
      <c r="K65" s="1021">
        <f t="shared" ca="1" si="11"/>
        <v>2</v>
      </c>
      <c r="L65" s="1021">
        <f t="shared" ca="1" si="11"/>
        <v>2</v>
      </c>
      <c r="M65" s="1021">
        <f t="shared" ca="1" si="11"/>
        <v>1</v>
      </c>
      <c r="N65" s="1021">
        <f t="shared" ca="1" si="11"/>
        <v>1</v>
      </c>
    </row>
    <row r="66" spans="1:14">
      <c r="A66" s="8" t="s">
        <v>251</v>
      </c>
      <c r="B66" s="8">
        <v>66</v>
      </c>
      <c r="C66" s="1001" t="s">
        <v>247</v>
      </c>
      <c r="D66" s="1018">
        <v>2</v>
      </c>
      <c r="E66" s="1019">
        <v>2</v>
      </c>
      <c r="F66" s="1019">
        <v>4</v>
      </c>
      <c r="G66" s="1019">
        <v>4</v>
      </c>
      <c r="H66" s="1020">
        <f t="shared" ca="1" si="11"/>
        <v>2</v>
      </c>
      <c r="I66" s="1021">
        <f t="shared" ca="1" si="11"/>
        <v>2</v>
      </c>
      <c r="J66" s="1021">
        <f t="shared" ca="1" si="11"/>
        <v>2</v>
      </c>
      <c r="K66" s="1021">
        <f t="shared" ca="1" si="11"/>
        <v>4</v>
      </c>
      <c r="L66" s="1021">
        <f t="shared" ca="1" si="11"/>
        <v>4</v>
      </c>
      <c r="M66" s="1021">
        <f t="shared" ca="1" si="11"/>
        <v>2</v>
      </c>
      <c r="N66" s="1021">
        <f t="shared" ca="1" si="11"/>
        <v>2</v>
      </c>
    </row>
    <row r="67" spans="1:14">
      <c r="A67" s="8"/>
      <c r="B67" s="8">
        <v>67</v>
      </c>
      <c r="C67" s="1001"/>
      <c r="D67" s="1018"/>
      <c r="E67" s="1019"/>
      <c r="F67" s="1019"/>
      <c r="G67" s="1019"/>
      <c r="H67" s="1014"/>
      <c r="I67" s="1015"/>
      <c r="J67" s="1015"/>
      <c r="K67" s="1015"/>
      <c r="L67" s="1015"/>
      <c r="M67" s="1015"/>
      <c r="N67" s="1015"/>
    </row>
    <row r="68" spans="1:14">
      <c r="A68" s="8"/>
      <c r="B68" s="8">
        <v>68</v>
      </c>
      <c r="C68" s="1001" t="s">
        <v>252</v>
      </c>
      <c r="D68" s="1022"/>
      <c r="E68" s="1023"/>
      <c r="F68" s="1013"/>
      <c r="G68" s="1013"/>
      <c r="H68" s="1014"/>
      <c r="I68" s="1015"/>
      <c r="J68" s="1015"/>
      <c r="K68" s="1015"/>
      <c r="L68" s="1015"/>
      <c r="M68" s="1015"/>
      <c r="N68" s="1015"/>
    </row>
    <row r="69" spans="1:14">
      <c r="A69" s="8" t="s">
        <v>253</v>
      </c>
      <c r="B69" s="8">
        <v>69</v>
      </c>
      <c r="C69" s="1001" t="s">
        <v>245</v>
      </c>
      <c r="D69" s="1016">
        <v>0</v>
      </c>
      <c r="E69" s="1017">
        <v>0</v>
      </c>
      <c r="F69" s="1017">
        <v>0.05</v>
      </c>
      <c r="G69" s="1017">
        <v>0.05</v>
      </c>
      <c r="H69" s="897">
        <f t="shared" ref="H69:N70" ca="1" si="12">INDIRECT(H$7 &amp; $B69)</f>
        <v>0</v>
      </c>
      <c r="I69" s="19">
        <f t="shared" ca="1" si="12"/>
        <v>0</v>
      </c>
      <c r="J69" s="19">
        <f t="shared" ca="1" si="12"/>
        <v>0</v>
      </c>
      <c r="K69" s="19">
        <f t="shared" ca="1" si="12"/>
        <v>0.05</v>
      </c>
      <c r="L69" s="19">
        <f t="shared" ca="1" si="12"/>
        <v>0.05</v>
      </c>
      <c r="M69" s="19">
        <f t="shared" ca="1" si="12"/>
        <v>0</v>
      </c>
      <c r="N69" s="19">
        <f t="shared" ca="1" si="12"/>
        <v>0</v>
      </c>
    </row>
    <row r="70" spans="1:14">
      <c r="A70" s="8" t="s">
        <v>254</v>
      </c>
      <c r="B70" s="8">
        <v>70</v>
      </c>
      <c r="C70" s="1001" t="s">
        <v>247</v>
      </c>
      <c r="D70" s="1016">
        <v>0</v>
      </c>
      <c r="E70" s="1017">
        <v>0</v>
      </c>
      <c r="F70" s="1017">
        <v>0.05</v>
      </c>
      <c r="G70" s="1017">
        <v>0.05</v>
      </c>
      <c r="H70" s="897">
        <f t="shared" ca="1" si="12"/>
        <v>0</v>
      </c>
      <c r="I70" s="19">
        <f t="shared" ca="1" si="12"/>
        <v>0</v>
      </c>
      <c r="J70" s="19">
        <f t="shared" ca="1" si="12"/>
        <v>0</v>
      </c>
      <c r="K70" s="19">
        <f t="shared" ca="1" si="12"/>
        <v>0.05</v>
      </c>
      <c r="L70" s="19">
        <f t="shared" ca="1" si="12"/>
        <v>0.05</v>
      </c>
      <c r="M70" s="19">
        <f t="shared" ca="1" si="12"/>
        <v>0</v>
      </c>
      <c r="N70" s="19">
        <f t="shared" ca="1" si="12"/>
        <v>0</v>
      </c>
    </row>
    <row r="71" spans="1:14">
      <c r="A71" s="8"/>
      <c r="B71" s="8">
        <v>71</v>
      </c>
      <c r="C71" s="1001"/>
      <c r="D71" s="1016"/>
      <c r="E71" s="1017"/>
      <c r="F71" s="1017"/>
      <c r="G71" s="1017"/>
      <c r="H71" s="1014"/>
      <c r="I71" s="1015"/>
      <c r="J71" s="1015"/>
      <c r="K71" s="1015"/>
      <c r="L71" s="1015"/>
      <c r="M71" s="1015"/>
      <c r="N71" s="1015"/>
    </row>
    <row r="72" spans="1:14">
      <c r="A72" s="8"/>
      <c r="B72" s="8">
        <v>72</v>
      </c>
      <c r="C72" s="1001" t="s">
        <v>255</v>
      </c>
      <c r="D72" s="1016"/>
      <c r="E72" s="1017"/>
      <c r="F72" s="1017"/>
      <c r="G72" s="1017"/>
      <c r="H72" s="1014"/>
      <c r="I72" s="1015"/>
      <c r="J72" s="1015"/>
      <c r="K72" s="1015"/>
      <c r="L72" s="1015"/>
      <c r="M72" s="1015"/>
      <c r="N72" s="1015"/>
    </row>
    <row r="73" spans="1:14">
      <c r="A73" s="8" t="s">
        <v>256</v>
      </c>
      <c r="B73" s="8">
        <v>73</v>
      </c>
      <c r="C73" s="1001" t="s">
        <v>243</v>
      </c>
      <c r="D73" s="1026">
        <v>2600</v>
      </c>
      <c r="E73" s="1026">
        <v>2600</v>
      </c>
      <c r="F73" s="1026">
        <v>8000</v>
      </c>
      <c r="G73" s="1026">
        <v>8000</v>
      </c>
      <c r="H73" s="898">
        <f t="shared" ref="H73:N75" ca="1" si="13">INDIRECT(H$7 &amp; $B73)</f>
        <v>2600</v>
      </c>
      <c r="I73" s="20">
        <f t="shared" ca="1" si="13"/>
        <v>2600</v>
      </c>
      <c r="J73" s="20">
        <f t="shared" ca="1" si="13"/>
        <v>2600</v>
      </c>
      <c r="K73" s="20">
        <f t="shared" ca="1" si="13"/>
        <v>8000</v>
      </c>
      <c r="L73" s="20">
        <f t="shared" ca="1" si="13"/>
        <v>8000</v>
      </c>
      <c r="M73" s="20">
        <f t="shared" ca="1" si="13"/>
        <v>2600</v>
      </c>
      <c r="N73" s="20">
        <f t="shared" ca="1" si="13"/>
        <v>2600</v>
      </c>
    </row>
    <row r="74" spans="1:14">
      <c r="A74" s="8" t="s">
        <v>257</v>
      </c>
      <c r="B74" s="8">
        <v>74</v>
      </c>
      <c r="C74" s="1001" t="s">
        <v>245</v>
      </c>
      <c r="D74" s="1026">
        <v>3250</v>
      </c>
      <c r="E74" s="1026">
        <v>3250</v>
      </c>
      <c r="F74" s="1026">
        <v>10000</v>
      </c>
      <c r="G74" s="1026">
        <v>10000</v>
      </c>
      <c r="H74" s="898">
        <f t="shared" ca="1" si="13"/>
        <v>3250</v>
      </c>
      <c r="I74" s="20">
        <f t="shared" ca="1" si="13"/>
        <v>3250</v>
      </c>
      <c r="J74" s="20">
        <f t="shared" ca="1" si="13"/>
        <v>3250</v>
      </c>
      <c r="K74" s="20">
        <f t="shared" ca="1" si="13"/>
        <v>10000</v>
      </c>
      <c r="L74" s="20">
        <f t="shared" ca="1" si="13"/>
        <v>10000</v>
      </c>
      <c r="M74" s="20">
        <f t="shared" ca="1" si="13"/>
        <v>3250</v>
      </c>
      <c r="N74" s="20">
        <f t="shared" ca="1" si="13"/>
        <v>3250</v>
      </c>
    </row>
    <row r="75" spans="1:14">
      <c r="A75" s="8" t="s">
        <v>258</v>
      </c>
      <c r="B75" s="8">
        <v>75</v>
      </c>
      <c r="C75" s="1001" t="s">
        <v>247</v>
      </c>
      <c r="D75" s="1026">
        <v>5500</v>
      </c>
      <c r="E75" s="1026">
        <v>5500</v>
      </c>
      <c r="F75" s="1026">
        <v>12000</v>
      </c>
      <c r="G75" s="1026">
        <v>12000</v>
      </c>
      <c r="H75" s="898">
        <f t="shared" ca="1" si="13"/>
        <v>5500</v>
      </c>
      <c r="I75" s="20">
        <f t="shared" ca="1" si="13"/>
        <v>5500</v>
      </c>
      <c r="J75" s="20">
        <f t="shared" ca="1" si="13"/>
        <v>5500</v>
      </c>
      <c r="K75" s="20">
        <f t="shared" ca="1" si="13"/>
        <v>12000</v>
      </c>
      <c r="L75" s="20">
        <f t="shared" ca="1" si="13"/>
        <v>12000</v>
      </c>
      <c r="M75" s="20">
        <f t="shared" ca="1" si="13"/>
        <v>5500</v>
      </c>
      <c r="N75" s="20">
        <f t="shared" ca="1" si="13"/>
        <v>5500</v>
      </c>
    </row>
    <row r="76" spans="1:14">
      <c r="A76" s="8"/>
      <c r="B76" s="8">
        <v>76</v>
      </c>
      <c r="C76" s="1001"/>
      <c r="D76" s="1018"/>
      <c r="E76" s="1019"/>
      <c r="F76" s="1019"/>
      <c r="G76" s="1019"/>
      <c r="H76" s="1014"/>
      <c r="I76" s="1015"/>
      <c r="J76" s="1015"/>
      <c r="K76" s="1015"/>
      <c r="L76" s="1015"/>
      <c r="M76" s="1015"/>
      <c r="N76" s="1015"/>
    </row>
    <row r="77" spans="1:14">
      <c r="A77" s="8"/>
      <c r="B77" s="8">
        <v>77</v>
      </c>
      <c r="C77" s="1030"/>
      <c r="D77" s="17"/>
      <c r="E77" s="8"/>
      <c r="F77" s="1007"/>
      <c r="G77" s="1007"/>
      <c r="H77" s="1014"/>
      <c r="I77" s="1015"/>
      <c r="J77" s="1015"/>
      <c r="K77" s="1015"/>
      <c r="L77" s="1015"/>
      <c r="M77" s="1015"/>
      <c r="N77" s="1015"/>
    </row>
    <row r="78" spans="1:14">
      <c r="A78" s="8"/>
      <c r="B78" s="8">
        <v>78</v>
      </c>
      <c r="C78" s="1027" t="s">
        <v>259</v>
      </c>
      <c r="D78" s="1028"/>
      <c r="E78" s="1029"/>
      <c r="F78" s="1029"/>
      <c r="G78" s="1029"/>
      <c r="H78" s="1014"/>
      <c r="I78" s="1015"/>
      <c r="J78" s="1015"/>
      <c r="K78" s="1015"/>
      <c r="L78" s="1015"/>
      <c r="M78" s="1015"/>
      <c r="N78" s="1015"/>
    </row>
    <row r="79" spans="1:14">
      <c r="A79" s="8"/>
      <c r="B79" s="8">
        <v>79</v>
      </c>
      <c r="C79" s="1001"/>
      <c r="D79" s="17"/>
      <c r="E79" s="8"/>
      <c r="F79" s="1007"/>
      <c r="G79" s="1007"/>
      <c r="H79" s="1014"/>
      <c r="I79" s="1015"/>
      <c r="J79" s="1015"/>
      <c r="K79" s="1015"/>
      <c r="L79" s="1015"/>
      <c r="M79" s="1015"/>
      <c r="N79" s="1015"/>
    </row>
    <row r="80" spans="1:14">
      <c r="A80" s="8" t="s">
        <v>260</v>
      </c>
      <c r="B80" s="8">
        <v>80</v>
      </c>
      <c r="C80" s="1001" t="s">
        <v>261</v>
      </c>
      <c r="D80" s="1031" t="s">
        <v>262</v>
      </c>
      <c r="E80" s="1015" t="s">
        <v>262</v>
      </c>
      <c r="F80" s="1021" t="s">
        <v>262</v>
      </c>
      <c r="G80" s="1021" t="s">
        <v>262</v>
      </c>
      <c r="H80" s="1014" t="str">
        <f t="shared" ref="H80:N80" ca="1" si="14">INDIRECT(H$7 &amp; $B80)</f>
        <v>Y</v>
      </c>
      <c r="I80" s="1015" t="str">
        <f t="shared" ca="1" si="14"/>
        <v>Y</v>
      </c>
      <c r="J80" s="1015" t="str">
        <f t="shared" ca="1" si="14"/>
        <v>Y</v>
      </c>
      <c r="K80" s="1015" t="str">
        <f t="shared" ca="1" si="14"/>
        <v>Y</v>
      </c>
      <c r="L80" s="1015" t="str">
        <f t="shared" ca="1" si="14"/>
        <v>Y</v>
      </c>
      <c r="M80" s="1015" t="str">
        <f t="shared" ca="1" si="14"/>
        <v>Y</v>
      </c>
      <c r="N80" s="1015" t="str">
        <f t="shared" ca="1" si="14"/>
        <v>Y</v>
      </c>
    </row>
    <row r="81" spans="1:14">
      <c r="A81" s="8"/>
      <c r="B81" s="8">
        <v>81</v>
      </c>
      <c r="C81" s="1001"/>
      <c r="D81" s="17"/>
      <c r="E81" s="8"/>
      <c r="F81" s="1007"/>
      <c r="G81" s="1007"/>
      <c r="H81" s="1014"/>
      <c r="I81" s="1015"/>
      <c r="J81" s="1015"/>
      <c r="K81" s="1015"/>
      <c r="L81" s="1015"/>
      <c r="M81" s="1015"/>
      <c r="N81" s="1015"/>
    </row>
    <row r="82" spans="1:14">
      <c r="A82" s="8"/>
      <c r="B82" s="8">
        <v>82</v>
      </c>
      <c r="C82" s="1001" t="s">
        <v>263</v>
      </c>
      <c r="D82" s="17"/>
      <c r="E82" s="8"/>
      <c r="F82" s="1007"/>
      <c r="G82" s="1007"/>
      <c r="H82" s="1014"/>
      <c r="I82" s="1015"/>
      <c r="J82" s="1015"/>
      <c r="K82" s="1015"/>
      <c r="L82" s="1015"/>
      <c r="M82" s="1015"/>
      <c r="N82" s="1015"/>
    </row>
    <row r="83" spans="1:14">
      <c r="A83" s="8" t="s">
        <v>264</v>
      </c>
      <c r="B83" s="8">
        <v>83</v>
      </c>
      <c r="C83" s="1001" t="s">
        <v>265</v>
      </c>
      <c r="D83" s="1012">
        <v>22.5</v>
      </c>
      <c r="E83" s="1013">
        <v>22.5</v>
      </c>
      <c r="F83" s="1013">
        <v>20</v>
      </c>
      <c r="G83" s="1013">
        <v>20</v>
      </c>
      <c r="H83" s="1011">
        <f t="shared" ref="H83:N84" ca="1" si="15">INDIRECT(H$7 &amp; $B83)</f>
        <v>22.5</v>
      </c>
      <c r="I83" s="1010">
        <f t="shared" ca="1" si="15"/>
        <v>22.5</v>
      </c>
      <c r="J83" s="1010">
        <f t="shared" ca="1" si="15"/>
        <v>22.5</v>
      </c>
      <c r="K83" s="1010">
        <f t="shared" ca="1" si="15"/>
        <v>20</v>
      </c>
      <c r="L83" s="1010">
        <f t="shared" ca="1" si="15"/>
        <v>20</v>
      </c>
      <c r="M83" s="1010">
        <f t="shared" ca="1" si="15"/>
        <v>22.5</v>
      </c>
      <c r="N83" s="1010">
        <f t="shared" ca="1" si="15"/>
        <v>22.5</v>
      </c>
    </row>
    <row r="84" spans="1:14">
      <c r="A84" s="8" t="s">
        <v>266</v>
      </c>
      <c r="B84" s="8">
        <v>84</v>
      </c>
      <c r="C84" s="1001" t="s">
        <v>267</v>
      </c>
      <c r="D84" s="1012">
        <v>23.5</v>
      </c>
      <c r="E84" s="1013">
        <v>23.5</v>
      </c>
      <c r="F84" s="1013">
        <v>20</v>
      </c>
      <c r="G84" s="1013">
        <v>20</v>
      </c>
      <c r="H84" s="1011">
        <f t="shared" ca="1" si="15"/>
        <v>23.5</v>
      </c>
      <c r="I84" s="1010">
        <f t="shared" ca="1" si="15"/>
        <v>23.5</v>
      </c>
      <c r="J84" s="1010">
        <f t="shared" ca="1" si="15"/>
        <v>23.5</v>
      </c>
      <c r="K84" s="1010">
        <f t="shared" ca="1" si="15"/>
        <v>20</v>
      </c>
      <c r="L84" s="1010">
        <f t="shared" ca="1" si="15"/>
        <v>20</v>
      </c>
      <c r="M84" s="1010">
        <f t="shared" ca="1" si="15"/>
        <v>23.5</v>
      </c>
      <c r="N84" s="1010">
        <f t="shared" ca="1" si="15"/>
        <v>23.5</v>
      </c>
    </row>
    <row r="85" spans="1:14">
      <c r="A85" s="8"/>
      <c r="B85" s="8">
        <v>85</v>
      </c>
      <c r="C85" s="1001"/>
      <c r="D85" s="1018"/>
      <c r="E85" s="1019"/>
      <c r="F85" s="1019"/>
      <c r="G85" s="1019"/>
      <c r="H85" s="1014"/>
      <c r="I85" s="1015"/>
      <c r="J85" s="1015"/>
      <c r="K85" s="1015"/>
      <c r="L85" s="1015"/>
      <c r="M85" s="1015"/>
      <c r="N85" s="1015"/>
    </row>
    <row r="86" spans="1:14">
      <c r="A86" s="8"/>
      <c r="B86" s="8">
        <v>86</v>
      </c>
      <c r="C86" s="1001" t="s">
        <v>268</v>
      </c>
      <c r="D86" s="1018"/>
      <c r="E86" s="1019"/>
      <c r="F86" s="1019"/>
      <c r="G86" s="1019"/>
      <c r="H86" s="1014"/>
      <c r="I86" s="1015"/>
      <c r="J86" s="1015"/>
      <c r="K86" s="1015"/>
      <c r="L86" s="1015"/>
      <c r="M86" s="1015"/>
      <c r="N86" s="1015"/>
    </row>
    <row r="87" spans="1:14">
      <c r="A87" s="8"/>
      <c r="B87" s="8">
        <v>87</v>
      </c>
      <c r="C87" s="1001" t="s">
        <v>269</v>
      </c>
      <c r="D87" s="1018"/>
      <c r="E87" s="1019"/>
      <c r="F87" s="1019"/>
      <c r="G87" s="1019"/>
      <c r="H87" s="1014"/>
      <c r="I87" s="1015"/>
      <c r="J87" s="1015"/>
      <c r="K87" s="1015"/>
      <c r="L87" s="1015"/>
      <c r="M87" s="1015"/>
      <c r="N87" s="1015"/>
    </row>
    <row r="88" spans="1:14">
      <c r="A88" s="8" t="s">
        <v>270</v>
      </c>
      <c r="B88" s="8">
        <v>88</v>
      </c>
      <c r="C88" s="1001" t="s">
        <v>245</v>
      </c>
      <c r="D88" s="1018">
        <v>26</v>
      </c>
      <c r="E88" s="1019">
        <v>26</v>
      </c>
      <c r="F88" s="1019">
        <v>26</v>
      </c>
      <c r="G88" s="1019">
        <v>26</v>
      </c>
      <c r="H88" s="1020">
        <f t="shared" ref="H88:N89" ca="1" si="16">INDIRECT(H$7 &amp; $B88)</f>
        <v>26</v>
      </c>
      <c r="I88" s="1021">
        <f t="shared" ca="1" si="16"/>
        <v>26</v>
      </c>
      <c r="J88" s="1021">
        <f t="shared" ca="1" si="16"/>
        <v>26</v>
      </c>
      <c r="K88" s="1021">
        <f t="shared" ca="1" si="16"/>
        <v>26</v>
      </c>
      <c r="L88" s="1021">
        <f t="shared" ca="1" si="16"/>
        <v>26</v>
      </c>
      <c r="M88" s="1021">
        <f t="shared" ca="1" si="16"/>
        <v>26</v>
      </c>
      <c r="N88" s="1021">
        <f t="shared" ca="1" si="16"/>
        <v>26</v>
      </c>
    </row>
    <row r="89" spans="1:14">
      <c r="A89" s="8" t="s">
        <v>271</v>
      </c>
      <c r="B89" s="8">
        <v>89</v>
      </c>
      <c r="C89" s="1001" t="s">
        <v>247</v>
      </c>
      <c r="D89" s="1018">
        <v>42</v>
      </c>
      <c r="E89" s="1019">
        <v>42</v>
      </c>
      <c r="F89" s="1019">
        <v>44</v>
      </c>
      <c r="G89" s="1019">
        <v>44</v>
      </c>
      <c r="H89" s="1020">
        <f t="shared" ca="1" si="16"/>
        <v>42</v>
      </c>
      <c r="I89" s="1021">
        <f t="shared" ca="1" si="16"/>
        <v>42</v>
      </c>
      <c r="J89" s="1021">
        <f t="shared" ca="1" si="16"/>
        <v>42</v>
      </c>
      <c r="K89" s="1021">
        <f t="shared" ca="1" si="16"/>
        <v>44</v>
      </c>
      <c r="L89" s="1021">
        <f t="shared" ca="1" si="16"/>
        <v>44</v>
      </c>
      <c r="M89" s="1021">
        <f t="shared" ca="1" si="16"/>
        <v>42</v>
      </c>
      <c r="N89" s="1021">
        <f t="shared" ca="1" si="16"/>
        <v>42</v>
      </c>
    </row>
    <row r="90" spans="1:14">
      <c r="A90" s="8"/>
      <c r="B90" s="8">
        <v>90</v>
      </c>
      <c r="C90" s="1001"/>
      <c r="D90" s="1018"/>
      <c r="E90" s="1019"/>
      <c r="F90" s="1019"/>
      <c r="G90" s="1019"/>
      <c r="H90" s="1020"/>
      <c r="I90" s="1021"/>
      <c r="J90" s="1021"/>
      <c r="K90" s="1021"/>
      <c r="L90" s="1021"/>
      <c r="M90" s="1021"/>
      <c r="N90" s="1021"/>
    </row>
    <row r="91" spans="1:14">
      <c r="A91" s="8"/>
      <c r="B91" s="8">
        <v>91</v>
      </c>
      <c r="C91" s="1001" t="s">
        <v>272</v>
      </c>
      <c r="D91" s="1018"/>
      <c r="E91" s="1019"/>
      <c r="F91" s="1019"/>
      <c r="G91" s="1019"/>
      <c r="H91" s="1020"/>
      <c r="I91" s="1021"/>
      <c r="J91" s="1021"/>
      <c r="K91" s="1021"/>
      <c r="L91" s="1021"/>
      <c r="M91" s="1021"/>
      <c r="N91" s="1021"/>
    </row>
    <row r="92" spans="1:14">
      <c r="A92" s="8" t="s">
        <v>273</v>
      </c>
      <c r="B92" s="8">
        <v>92</v>
      </c>
      <c r="C92" s="1001" t="s">
        <v>243</v>
      </c>
      <c r="D92" s="1018">
        <v>0.5</v>
      </c>
      <c r="E92" s="1019">
        <v>0.5</v>
      </c>
      <c r="F92" s="1019">
        <v>1</v>
      </c>
      <c r="G92" s="1019">
        <v>1</v>
      </c>
      <c r="H92" s="1020">
        <f t="shared" ref="H92:N94" ca="1" si="17">INDIRECT(H$7 &amp; $B92)</f>
        <v>0.5</v>
      </c>
      <c r="I92" s="1021">
        <f t="shared" ca="1" si="17"/>
        <v>0.5</v>
      </c>
      <c r="J92" s="1021">
        <f t="shared" ca="1" si="17"/>
        <v>0.5</v>
      </c>
      <c r="K92" s="1021">
        <f t="shared" ca="1" si="17"/>
        <v>1</v>
      </c>
      <c r="L92" s="1021">
        <f t="shared" ca="1" si="17"/>
        <v>1</v>
      </c>
      <c r="M92" s="1021">
        <f t="shared" ca="1" si="17"/>
        <v>0.5</v>
      </c>
      <c r="N92" s="1021">
        <f t="shared" ca="1" si="17"/>
        <v>0.5</v>
      </c>
    </row>
    <row r="93" spans="1:14">
      <c r="A93" s="8" t="s">
        <v>274</v>
      </c>
      <c r="B93" s="8">
        <v>93</v>
      </c>
      <c r="C93" s="1001" t="s">
        <v>245</v>
      </c>
      <c r="D93" s="1018">
        <v>0.5</v>
      </c>
      <c r="E93" s="1019">
        <v>0.5</v>
      </c>
      <c r="F93" s="1019">
        <v>1</v>
      </c>
      <c r="G93" s="1019">
        <v>1</v>
      </c>
      <c r="H93" s="1020">
        <f t="shared" ca="1" si="17"/>
        <v>0.5</v>
      </c>
      <c r="I93" s="1021">
        <f t="shared" ca="1" si="17"/>
        <v>0.5</v>
      </c>
      <c r="J93" s="1021">
        <f t="shared" ca="1" si="17"/>
        <v>0.5</v>
      </c>
      <c r="K93" s="1021">
        <f t="shared" ca="1" si="17"/>
        <v>1</v>
      </c>
      <c r="L93" s="1021">
        <f t="shared" ca="1" si="17"/>
        <v>1</v>
      </c>
      <c r="M93" s="1021">
        <f t="shared" ca="1" si="17"/>
        <v>0.5</v>
      </c>
      <c r="N93" s="1021">
        <f t="shared" ca="1" si="17"/>
        <v>0.5</v>
      </c>
    </row>
    <row r="94" spans="1:14">
      <c r="A94" s="8" t="s">
        <v>275</v>
      </c>
      <c r="B94" s="8">
        <v>94</v>
      </c>
      <c r="C94" s="1001" t="s">
        <v>247</v>
      </c>
      <c r="D94" s="1018">
        <v>0.5</v>
      </c>
      <c r="E94" s="1019">
        <v>0.5</v>
      </c>
      <c r="F94" s="1019">
        <v>1</v>
      </c>
      <c r="G94" s="1019">
        <v>1</v>
      </c>
      <c r="H94" s="1020">
        <f t="shared" ca="1" si="17"/>
        <v>0.5</v>
      </c>
      <c r="I94" s="1021">
        <f t="shared" ca="1" si="17"/>
        <v>0.5</v>
      </c>
      <c r="J94" s="1021">
        <f t="shared" ca="1" si="17"/>
        <v>0.5</v>
      </c>
      <c r="K94" s="1021">
        <f t="shared" ca="1" si="17"/>
        <v>1</v>
      </c>
      <c r="L94" s="1021">
        <f t="shared" ca="1" si="17"/>
        <v>1</v>
      </c>
      <c r="M94" s="1021">
        <f t="shared" ca="1" si="17"/>
        <v>0.5</v>
      </c>
      <c r="N94" s="1021">
        <f t="shared" ca="1" si="17"/>
        <v>0.5</v>
      </c>
    </row>
    <row r="95" spans="1:14">
      <c r="A95" s="8"/>
      <c r="B95" s="8">
        <v>95</v>
      </c>
      <c r="C95" s="1001"/>
      <c r="D95" s="1018"/>
      <c r="E95" s="1019"/>
      <c r="F95" s="1019"/>
      <c r="G95" s="1019"/>
      <c r="H95" s="1020"/>
      <c r="I95" s="1021"/>
      <c r="J95" s="1021"/>
      <c r="K95" s="1021"/>
      <c r="L95" s="1021"/>
      <c r="M95" s="1021"/>
      <c r="N95" s="1021"/>
    </row>
    <row r="96" spans="1:14">
      <c r="A96" s="8"/>
      <c r="B96" s="8">
        <v>96</v>
      </c>
      <c r="C96" s="1001" t="s">
        <v>276</v>
      </c>
      <c r="D96" s="1018"/>
      <c r="E96" s="1019"/>
      <c r="F96" s="1019"/>
      <c r="G96" s="1019"/>
      <c r="H96" s="1020"/>
      <c r="I96" s="1021"/>
      <c r="J96" s="1021"/>
      <c r="K96" s="1021"/>
      <c r="L96" s="1021"/>
      <c r="M96" s="1021"/>
      <c r="N96" s="1021"/>
    </row>
    <row r="97" spans="1:20">
      <c r="A97" s="8" t="s">
        <v>277</v>
      </c>
      <c r="B97" s="8">
        <v>97</v>
      </c>
      <c r="C97" s="1001" t="s">
        <v>243</v>
      </c>
      <c r="D97" s="1018">
        <v>3</v>
      </c>
      <c r="E97" s="1019">
        <v>3</v>
      </c>
      <c r="F97" s="1019">
        <v>3</v>
      </c>
      <c r="G97" s="1019">
        <v>3</v>
      </c>
      <c r="H97" s="1020">
        <f t="shared" ref="H97:N99" ca="1" si="18">INDIRECT(H$7 &amp; $B97)</f>
        <v>3</v>
      </c>
      <c r="I97" s="1021">
        <f t="shared" ca="1" si="18"/>
        <v>3</v>
      </c>
      <c r="J97" s="1021">
        <f t="shared" ca="1" si="18"/>
        <v>3</v>
      </c>
      <c r="K97" s="1021">
        <f t="shared" ca="1" si="18"/>
        <v>3</v>
      </c>
      <c r="L97" s="1021">
        <f t="shared" ca="1" si="18"/>
        <v>3</v>
      </c>
      <c r="M97" s="1021">
        <f t="shared" ca="1" si="18"/>
        <v>3</v>
      </c>
      <c r="N97" s="1021">
        <f t="shared" ca="1" si="18"/>
        <v>3</v>
      </c>
    </row>
    <row r="98" spans="1:20">
      <c r="A98" s="8" t="s">
        <v>278</v>
      </c>
      <c r="B98" s="8">
        <v>98</v>
      </c>
      <c r="C98" s="1001" t="s">
        <v>245</v>
      </c>
      <c r="D98" s="1018">
        <v>3.5</v>
      </c>
      <c r="E98" s="1019">
        <v>3.5</v>
      </c>
      <c r="F98" s="1019">
        <v>4.5</v>
      </c>
      <c r="G98" s="1019">
        <v>4.5</v>
      </c>
      <c r="H98" s="1020">
        <f t="shared" ca="1" si="18"/>
        <v>3.5</v>
      </c>
      <c r="I98" s="1021">
        <f t="shared" ca="1" si="18"/>
        <v>3.5</v>
      </c>
      <c r="J98" s="1021">
        <f t="shared" ca="1" si="18"/>
        <v>3.5</v>
      </c>
      <c r="K98" s="1021">
        <f t="shared" ca="1" si="18"/>
        <v>4.5</v>
      </c>
      <c r="L98" s="1021">
        <f t="shared" ca="1" si="18"/>
        <v>4.5</v>
      </c>
      <c r="M98" s="1021">
        <f t="shared" ca="1" si="18"/>
        <v>3.5</v>
      </c>
      <c r="N98" s="1021">
        <f t="shared" ca="1" si="18"/>
        <v>3.5</v>
      </c>
    </row>
    <row r="99" spans="1:20">
      <c r="A99" s="8" t="s">
        <v>279</v>
      </c>
      <c r="B99" s="8">
        <v>99</v>
      </c>
      <c r="C99" s="1001" t="s">
        <v>247</v>
      </c>
      <c r="D99" s="1018">
        <v>5.75</v>
      </c>
      <c r="E99" s="1019">
        <v>5.75</v>
      </c>
      <c r="F99" s="1019">
        <v>5.75</v>
      </c>
      <c r="G99" s="1019">
        <v>5.75</v>
      </c>
      <c r="H99" s="1020">
        <f t="shared" ca="1" si="18"/>
        <v>5.75</v>
      </c>
      <c r="I99" s="1021">
        <f t="shared" ca="1" si="18"/>
        <v>5.75</v>
      </c>
      <c r="J99" s="1021">
        <f t="shared" ca="1" si="18"/>
        <v>5.75</v>
      </c>
      <c r="K99" s="1021">
        <f t="shared" ca="1" si="18"/>
        <v>5.75</v>
      </c>
      <c r="L99" s="1021">
        <f t="shared" ca="1" si="18"/>
        <v>5.75</v>
      </c>
      <c r="M99" s="1021">
        <f t="shared" ca="1" si="18"/>
        <v>5.75</v>
      </c>
      <c r="N99" s="1021">
        <f t="shared" ca="1" si="18"/>
        <v>5.75</v>
      </c>
    </row>
    <row r="100" spans="1:20">
      <c r="A100" s="8"/>
      <c r="B100" s="8">
        <v>100</v>
      </c>
      <c r="C100" s="1001"/>
      <c r="D100" s="1018"/>
      <c r="E100" s="1019"/>
      <c r="F100" s="1019"/>
      <c r="G100" s="1019"/>
      <c r="H100" s="1020"/>
      <c r="I100" s="1021"/>
      <c r="J100" s="1021"/>
      <c r="K100" s="1021"/>
      <c r="L100" s="1021"/>
      <c r="M100" s="1021"/>
      <c r="N100" s="1021"/>
    </row>
    <row r="101" spans="1:20">
      <c r="A101" s="8"/>
      <c r="B101" s="8">
        <v>101</v>
      </c>
      <c r="C101" s="1001" t="s">
        <v>280</v>
      </c>
      <c r="D101" s="1018"/>
      <c r="E101" s="1019"/>
      <c r="F101" s="1019"/>
      <c r="G101" s="1019"/>
      <c r="H101" s="1020"/>
      <c r="I101" s="1021"/>
      <c r="J101" s="1021"/>
      <c r="K101" s="1021"/>
      <c r="L101" s="1021"/>
      <c r="M101" s="1021"/>
      <c r="N101" s="1021"/>
    </row>
    <row r="102" spans="1:20">
      <c r="A102" s="8" t="s">
        <v>281</v>
      </c>
      <c r="B102" s="8">
        <v>102</v>
      </c>
      <c r="C102" s="1001" t="s">
        <v>243</v>
      </c>
      <c r="D102" s="1018">
        <v>1</v>
      </c>
      <c r="E102" s="1019">
        <v>1</v>
      </c>
      <c r="F102" s="1019">
        <f>ES_Detail!$H$2/250</f>
        <v>1.44</v>
      </c>
      <c r="G102" s="1019">
        <v>1.44</v>
      </c>
      <c r="H102" s="1020">
        <f t="shared" ref="H102:N104" ca="1" si="19">INDIRECT(H$7 &amp; $B102)</f>
        <v>1</v>
      </c>
      <c r="I102" s="1021">
        <f t="shared" ca="1" si="19"/>
        <v>1</v>
      </c>
      <c r="J102" s="1021">
        <f t="shared" ca="1" si="19"/>
        <v>1</v>
      </c>
      <c r="K102" s="1021">
        <f t="shared" ca="1" si="19"/>
        <v>1.44</v>
      </c>
      <c r="L102" s="1021">
        <f t="shared" ca="1" si="19"/>
        <v>1.44</v>
      </c>
      <c r="M102" s="1021">
        <f t="shared" ca="1" si="19"/>
        <v>1</v>
      </c>
      <c r="N102" s="1021">
        <f t="shared" ca="1" si="19"/>
        <v>1</v>
      </c>
    </row>
    <row r="103" spans="1:20">
      <c r="A103" s="8" t="s">
        <v>282</v>
      </c>
      <c r="B103" s="8">
        <v>103</v>
      </c>
      <c r="C103" s="1001" t="s">
        <v>245</v>
      </c>
      <c r="D103" s="1018">
        <v>1.75</v>
      </c>
      <c r="E103" s="1019">
        <v>1.75</v>
      </c>
      <c r="F103" s="1019">
        <f>MS_Detail!$H$2/250</f>
        <v>2</v>
      </c>
      <c r="G103" s="1019">
        <v>2</v>
      </c>
      <c r="H103" s="1020">
        <f t="shared" ca="1" si="19"/>
        <v>1.75</v>
      </c>
      <c r="I103" s="1021">
        <f t="shared" ca="1" si="19"/>
        <v>1.75</v>
      </c>
      <c r="J103" s="1021">
        <f t="shared" ca="1" si="19"/>
        <v>1.75</v>
      </c>
      <c r="K103" s="1021">
        <f t="shared" ca="1" si="19"/>
        <v>2</v>
      </c>
      <c r="L103" s="1021">
        <f t="shared" ca="1" si="19"/>
        <v>2</v>
      </c>
      <c r="M103" s="1021">
        <f t="shared" ca="1" si="19"/>
        <v>1.75</v>
      </c>
      <c r="N103" s="1021">
        <f t="shared" ca="1" si="19"/>
        <v>1.75</v>
      </c>
    </row>
    <row r="104" spans="1:20">
      <c r="A104" s="8" t="s">
        <v>283</v>
      </c>
      <c r="B104" s="8">
        <v>104</v>
      </c>
      <c r="C104" s="1001" t="s">
        <v>247</v>
      </c>
      <c r="D104" s="1018">
        <v>3.5</v>
      </c>
      <c r="E104" s="1019">
        <v>3.5</v>
      </c>
      <c r="F104" s="1019">
        <f>HS_Detail!$H$2/250</f>
        <v>4</v>
      </c>
      <c r="G104" s="1019">
        <v>4</v>
      </c>
      <c r="H104" s="1020">
        <f t="shared" ca="1" si="19"/>
        <v>3.5</v>
      </c>
      <c r="I104" s="1021">
        <f t="shared" ca="1" si="19"/>
        <v>3.5</v>
      </c>
      <c r="J104" s="1021">
        <f t="shared" ca="1" si="19"/>
        <v>3.5</v>
      </c>
      <c r="K104" s="1021">
        <f t="shared" ca="1" si="19"/>
        <v>4</v>
      </c>
      <c r="L104" s="1021">
        <f t="shared" ca="1" si="19"/>
        <v>4</v>
      </c>
      <c r="M104" s="1021">
        <f t="shared" ca="1" si="19"/>
        <v>3.5</v>
      </c>
      <c r="N104" s="1021">
        <f t="shared" ca="1" si="19"/>
        <v>3.5</v>
      </c>
    </row>
    <row r="105" spans="1:20">
      <c r="A105" s="8"/>
      <c r="B105" s="8">
        <v>105</v>
      </c>
      <c r="C105" s="1001"/>
      <c r="D105" s="1018"/>
      <c r="E105" s="1019"/>
      <c r="F105" s="1019"/>
      <c r="G105" s="1019"/>
      <c r="H105" s="1014"/>
      <c r="I105" s="1015"/>
      <c r="J105" s="1015"/>
      <c r="K105" s="1015"/>
      <c r="L105" s="1015"/>
      <c r="M105" s="1015"/>
      <c r="N105" s="1015"/>
    </row>
    <row r="106" spans="1:20">
      <c r="A106" s="8"/>
      <c r="B106" s="8">
        <v>106</v>
      </c>
      <c r="C106" s="1001" t="s">
        <v>284</v>
      </c>
      <c r="D106" s="1018"/>
      <c r="E106" s="1019"/>
      <c r="F106" s="1019"/>
      <c r="G106" s="1019"/>
      <c r="H106" s="1014"/>
      <c r="I106" s="1015"/>
      <c r="J106" s="1015"/>
      <c r="K106" s="1015"/>
      <c r="L106" s="1015"/>
      <c r="M106" s="1015"/>
      <c r="N106" s="1015"/>
      <c r="T106" s="10" t="s">
        <v>285</v>
      </c>
    </row>
    <row r="107" spans="1:20">
      <c r="A107" s="8" t="s">
        <v>286</v>
      </c>
      <c r="B107" s="8">
        <v>107</v>
      </c>
      <c r="C107" s="1001" t="s">
        <v>243</v>
      </c>
      <c r="D107" s="1018">
        <v>0.75</v>
      </c>
      <c r="E107" s="1019">
        <v>0.75</v>
      </c>
      <c r="F107" s="1019">
        <v>1</v>
      </c>
      <c r="G107" s="1019">
        <v>1</v>
      </c>
      <c r="H107" s="1020">
        <f t="shared" ref="H107:N109" ca="1" si="20">INDIRECT(H$7 &amp; $B107)</f>
        <v>0.75</v>
      </c>
      <c r="I107" s="1021">
        <f t="shared" ca="1" si="20"/>
        <v>0.75</v>
      </c>
      <c r="J107" s="1021">
        <f t="shared" ca="1" si="20"/>
        <v>0.75</v>
      </c>
      <c r="K107" s="1021">
        <f t="shared" ca="1" si="20"/>
        <v>1</v>
      </c>
      <c r="L107" s="1021">
        <f t="shared" ca="1" si="20"/>
        <v>1</v>
      </c>
      <c r="M107" s="1021">
        <f t="shared" ca="1" si="20"/>
        <v>0.75</v>
      </c>
      <c r="N107" s="1021">
        <f t="shared" ca="1" si="20"/>
        <v>0.75</v>
      </c>
    </row>
    <row r="108" spans="1:20">
      <c r="A108" s="8" t="s">
        <v>287</v>
      </c>
      <c r="B108" s="8">
        <v>108</v>
      </c>
      <c r="C108" s="1001" t="s">
        <v>245</v>
      </c>
      <c r="D108" s="1018">
        <v>0.75</v>
      </c>
      <c r="E108" s="1019">
        <v>0.75</v>
      </c>
      <c r="F108" s="1019">
        <v>1</v>
      </c>
      <c r="G108" s="1019">
        <v>1</v>
      </c>
      <c r="H108" s="1020">
        <f t="shared" ca="1" si="20"/>
        <v>0.75</v>
      </c>
      <c r="I108" s="1021">
        <f t="shared" ca="1" si="20"/>
        <v>0.75</v>
      </c>
      <c r="J108" s="1021">
        <f t="shared" ca="1" si="20"/>
        <v>0.75</v>
      </c>
      <c r="K108" s="1021">
        <f t="shared" ca="1" si="20"/>
        <v>1</v>
      </c>
      <c r="L108" s="1021">
        <f t="shared" ca="1" si="20"/>
        <v>1</v>
      </c>
      <c r="M108" s="1021">
        <f t="shared" ca="1" si="20"/>
        <v>0.75</v>
      </c>
      <c r="N108" s="1021">
        <f t="shared" ca="1" si="20"/>
        <v>0.75</v>
      </c>
    </row>
    <row r="109" spans="1:20">
      <c r="A109" s="8" t="s">
        <v>288</v>
      </c>
      <c r="B109" s="8">
        <v>109</v>
      </c>
      <c r="C109" s="1001" t="s">
        <v>247</v>
      </c>
      <c r="D109" s="1018">
        <v>1</v>
      </c>
      <c r="E109" s="1019">
        <v>1</v>
      </c>
      <c r="F109" s="1019">
        <v>1</v>
      </c>
      <c r="G109" s="1019">
        <v>1</v>
      </c>
      <c r="H109" s="1020">
        <f t="shared" ca="1" si="20"/>
        <v>1</v>
      </c>
      <c r="I109" s="1021">
        <f t="shared" ca="1" si="20"/>
        <v>1</v>
      </c>
      <c r="J109" s="1021">
        <f t="shared" ca="1" si="20"/>
        <v>1</v>
      </c>
      <c r="K109" s="1021">
        <f t="shared" ca="1" si="20"/>
        <v>1</v>
      </c>
      <c r="L109" s="1021">
        <f t="shared" ca="1" si="20"/>
        <v>1</v>
      </c>
      <c r="M109" s="1021">
        <f t="shared" ca="1" si="20"/>
        <v>1</v>
      </c>
      <c r="N109" s="1021">
        <f t="shared" ca="1" si="20"/>
        <v>1</v>
      </c>
    </row>
    <row r="110" spans="1:20">
      <c r="A110" s="8"/>
      <c r="B110" s="8">
        <v>110</v>
      </c>
      <c r="C110" s="1001"/>
      <c r="D110" s="1018"/>
      <c r="E110" s="1019"/>
      <c r="F110" s="1019"/>
      <c r="G110" s="1019"/>
      <c r="H110" s="1014"/>
      <c r="I110" s="1015"/>
      <c r="J110" s="1015"/>
      <c r="K110" s="1015"/>
      <c r="L110" s="1015"/>
      <c r="M110" s="1015"/>
      <c r="N110" s="1015"/>
    </row>
    <row r="111" spans="1:20">
      <c r="A111" s="8"/>
      <c r="B111" s="8">
        <v>111</v>
      </c>
      <c r="C111" s="1001" t="s">
        <v>289</v>
      </c>
      <c r="D111" s="1018"/>
      <c r="E111" s="1019"/>
      <c r="F111" s="1019"/>
      <c r="G111" s="1019"/>
      <c r="H111" s="1014"/>
      <c r="I111" s="1015"/>
      <c r="J111" s="1015"/>
      <c r="K111" s="1015"/>
      <c r="L111" s="1015"/>
      <c r="M111" s="1015"/>
      <c r="N111" s="1015"/>
    </row>
    <row r="112" spans="1:20">
      <c r="A112" s="8" t="s">
        <v>290</v>
      </c>
      <c r="B112" s="8">
        <v>112</v>
      </c>
      <c r="C112" s="1001" t="s">
        <v>247</v>
      </c>
      <c r="D112" s="1018">
        <v>2.5</v>
      </c>
      <c r="E112" s="1019">
        <v>2.5</v>
      </c>
      <c r="F112" s="1019">
        <v>2.5</v>
      </c>
      <c r="G112" s="1019">
        <v>2.5</v>
      </c>
      <c r="H112" s="1020">
        <f t="shared" ref="H112:N112" ca="1" si="21">INDIRECT(H$7 &amp; $B112)</f>
        <v>2.5</v>
      </c>
      <c r="I112" s="1021">
        <f t="shared" ca="1" si="21"/>
        <v>2.5</v>
      </c>
      <c r="J112" s="1021">
        <f t="shared" ca="1" si="21"/>
        <v>2.5</v>
      </c>
      <c r="K112" s="1021">
        <f t="shared" ca="1" si="21"/>
        <v>2.5</v>
      </c>
      <c r="L112" s="1021">
        <f t="shared" ca="1" si="21"/>
        <v>2.5</v>
      </c>
      <c r="M112" s="1021">
        <f t="shared" ca="1" si="21"/>
        <v>2.5</v>
      </c>
      <c r="N112" s="1021">
        <f t="shared" ca="1" si="21"/>
        <v>2.5</v>
      </c>
    </row>
    <row r="113" spans="1:14">
      <c r="A113" s="8"/>
      <c r="B113" s="8">
        <v>113</v>
      </c>
      <c r="C113" s="1001"/>
      <c r="D113" s="1018"/>
      <c r="E113" s="1019"/>
      <c r="F113" s="1019"/>
      <c r="G113" s="1019"/>
      <c r="H113" s="1014"/>
      <c r="I113" s="1015"/>
      <c r="J113" s="1015"/>
      <c r="K113" s="1015"/>
      <c r="L113" s="1015"/>
      <c r="M113" s="1015"/>
      <c r="N113" s="1015"/>
    </row>
    <row r="114" spans="1:14">
      <c r="A114" s="8"/>
      <c r="B114" s="8">
        <v>114</v>
      </c>
      <c r="C114" s="1001" t="s">
        <v>291</v>
      </c>
      <c r="D114" s="1018"/>
      <c r="E114" s="1019"/>
      <c r="F114" s="1019"/>
      <c r="G114" s="1019"/>
      <c r="H114" s="1014"/>
      <c r="I114" s="1015"/>
      <c r="J114" s="1015"/>
      <c r="K114" s="1015"/>
      <c r="L114" s="1015"/>
      <c r="M114" s="1015"/>
      <c r="N114" s="1015"/>
    </row>
    <row r="115" spans="1:14">
      <c r="A115" s="8" t="s">
        <v>292</v>
      </c>
      <c r="B115" s="8">
        <v>115</v>
      </c>
      <c r="C115" s="1001" t="s">
        <v>247</v>
      </c>
      <c r="D115" s="1018">
        <v>1</v>
      </c>
      <c r="E115" s="1019">
        <v>1</v>
      </c>
      <c r="F115" s="1019">
        <v>1</v>
      </c>
      <c r="G115" s="1019">
        <v>1</v>
      </c>
      <c r="H115" s="1020">
        <f t="shared" ref="H115:N115" ca="1" si="22">INDIRECT(H$7 &amp; $B115)</f>
        <v>1</v>
      </c>
      <c r="I115" s="1021">
        <f t="shared" ca="1" si="22"/>
        <v>1</v>
      </c>
      <c r="J115" s="1021">
        <f t="shared" ca="1" si="22"/>
        <v>1</v>
      </c>
      <c r="K115" s="1021">
        <f t="shared" ca="1" si="22"/>
        <v>1</v>
      </c>
      <c r="L115" s="1021">
        <f t="shared" ca="1" si="22"/>
        <v>1</v>
      </c>
      <c r="M115" s="1021">
        <f t="shared" ca="1" si="22"/>
        <v>1</v>
      </c>
      <c r="N115" s="1021">
        <f t="shared" ca="1" si="22"/>
        <v>1</v>
      </c>
    </row>
    <row r="116" spans="1:14">
      <c r="A116" s="8"/>
      <c r="B116" s="8">
        <v>116</v>
      </c>
      <c r="C116" s="1001"/>
      <c r="D116" s="1018"/>
      <c r="E116" s="1019"/>
      <c r="F116" s="1019"/>
      <c r="G116" s="1019"/>
      <c r="H116" s="1014"/>
      <c r="I116" s="1015"/>
      <c r="J116" s="1015"/>
      <c r="K116" s="1015"/>
      <c r="L116" s="1015"/>
      <c r="M116" s="1015"/>
      <c r="N116" s="1015"/>
    </row>
    <row r="117" spans="1:14">
      <c r="A117" s="8"/>
      <c r="B117" s="8">
        <v>117</v>
      </c>
      <c r="C117" s="1001" t="s">
        <v>293</v>
      </c>
      <c r="D117" s="1018"/>
      <c r="E117" s="1019"/>
      <c r="F117" s="1019"/>
      <c r="G117" s="1019"/>
      <c r="H117" s="1014"/>
      <c r="I117" s="1015"/>
      <c r="J117" s="1015"/>
      <c r="K117" s="1015"/>
      <c r="L117" s="1015"/>
      <c r="M117" s="1015"/>
      <c r="N117" s="1015"/>
    </row>
    <row r="118" spans="1:14">
      <c r="A118" s="8" t="s">
        <v>294</v>
      </c>
      <c r="B118" s="8">
        <v>118</v>
      </c>
      <c r="C118" s="1001" t="s">
        <v>243</v>
      </c>
      <c r="D118" s="1018">
        <v>1.4</v>
      </c>
      <c r="E118" s="1018">
        <v>1.4</v>
      </c>
      <c r="F118" s="1019">
        <v>2</v>
      </c>
      <c r="G118" s="1019">
        <v>2</v>
      </c>
      <c r="H118" s="1020">
        <f t="shared" ref="H118:N120" ca="1" si="23">INDIRECT(H$7 &amp; $B118)</f>
        <v>1.4</v>
      </c>
      <c r="I118" s="1021">
        <f t="shared" ca="1" si="23"/>
        <v>1.4</v>
      </c>
      <c r="J118" s="1021">
        <f t="shared" ca="1" si="23"/>
        <v>1.4</v>
      </c>
      <c r="K118" s="1021">
        <f t="shared" ca="1" si="23"/>
        <v>2</v>
      </c>
      <c r="L118" s="1021">
        <f t="shared" ca="1" si="23"/>
        <v>2</v>
      </c>
      <c r="M118" s="1021">
        <f t="shared" ca="1" si="23"/>
        <v>1.4</v>
      </c>
      <c r="N118" s="1021">
        <f t="shared" ca="1" si="23"/>
        <v>1.4</v>
      </c>
    </row>
    <row r="119" spans="1:14">
      <c r="A119" s="8" t="s">
        <v>295</v>
      </c>
      <c r="B119" s="8">
        <v>119</v>
      </c>
      <c r="C119" s="1001" t="s">
        <v>245</v>
      </c>
      <c r="D119" s="1018">
        <v>1.2</v>
      </c>
      <c r="E119" s="1019">
        <v>1.2</v>
      </c>
      <c r="F119" s="1019">
        <v>2</v>
      </c>
      <c r="G119" s="1019">
        <v>2</v>
      </c>
      <c r="H119" s="1020">
        <f t="shared" ca="1" si="23"/>
        <v>1.2</v>
      </c>
      <c r="I119" s="1021">
        <f t="shared" ca="1" si="23"/>
        <v>1.2</v>
      </c>
      <c r="J119" s="1021">
        <f t="shared" ca="1" si="23"/>
        <v>1.2</v>
      </c>
      <c r="K119" s="1021">
        <f t="shared" ca="1" si="23"/>
        <v>2</v>
      </c>
      <c r="L119" s="1021">
        <f t="shared" ca="1" si="23"/>
        <v>2</v>
      </c>
      <c r="M119" s="1021">
        <f t="shared" ca="1" si="23"/>
        <v>1.2</v>
      </c>
      <c r="N119" s="1021">
        <f t="shared" ca="1" si="23"/>
        <v>1.2</v>
      </c>
    </row>
    <row r="120" spans="1:14">
      <c r="A120" s="8" t="s">
        <v>296</v>
      </c>
      <c r="B120" s="8">
        <v>120</v>
      </c>
      <c r="C120" s="1001" t="s">
        <v>247</v>
      </c>
      <c r="D120" s="1018">
        <v>1.2</v>
      </c>
      <c r="E120" s="1019">
        <v>1.2</v>
      </c>
      <c r="F120" s="1019">
        <v>4</v>
      </c>
      <c r="G120" s="1019">
        <v>4</v>
      </c>
      <c r="H120" s="1020">
        <f t="shared" ca="1" si="23"/>
        <v>1.2</v>
      </c>
      <c r="I120" s="1021">
        <f t="shared" ca="1" si="23"/>
        <v>1.2</v>
      </c>
      <c r="J120" s="1021">
        <f t="shared" ca="1" si="23"/>
        <v>1.2</v>
      </c>
      <c r="K120" s="1021">
        <f t="shared" ca="1" si="23"/>
        <v>4</v>
      </c>
      <c r="L120" s="1021">
        <f t="shared" ca="1" si="23"/>
        <v>4</v>
      </c>
      <c r="M120" s="1021">
        <f t="shared" ca="1" si="23"/>
        <v>1.2</v>
      </c>
      <c r="N120" s="1021">
        <f t="shared" ca="1" si="23"/>
        <v>1.2</v>
      </c>
    </row>
    <row r="121" spans="1:14">
      <c r="A121" s="8"/>
      <c r="B121" s="8">
        <v>121</v>
      </c>
      <c r="C121" s="1001"/>
      <c r="D121" s="1018"/>
      <c r="E121" s="1019"/>
      <c r="F121" s="1019"/>
      <c r="G121" s="1019"/>
      <c r="H121" s="1020"/>
      <c r="I121" s="1021"/>
      <c r="J121" s="1021"/>
      <c r="K121" s="1021"/>
      <c r="L121" s="1021"/>
      <c r="M121" s="1021"/>
      <c r="N121" s="1021"/>
    </row>
    <row r="122" spans="1:14">
      <c r="A122" s="8"/>
      <c r="B122" s="8">
        <v>122</v>
      </c>
      <c r="C122" s="1001" t="s">
        <v>297</v>
      </c>
      <c r="D122" s="1018"/>
      <c r="E122" s="1019"/>
      <c r="F122" s="1019"/>
      <c r="G122" s="1019"/>
      <c r="H122" s="1014"/>
      <c r="I122" s="1015"/>
      <c r="J122" s="1015"/>
      <c r="K122" s="1015"/>
      <c r="L122" s="1015"/>
      <c r="M122" s="1015"/>
      <c r="N122" s="1015"/>
    </row>
    <row r="123" spans="1:14">
      <c r="A123" s="8" t="s">
        <v>298</v>
      </c>
      <c r="B123" s="8">
        <v>123</v>
      </c>
      <c r="C123" s="1001" t="s">
        <v>243</v>
      </c>
      <c r="D123" s="1018">
        <v>9</v>
      </c>
      <c r="E123" s="1019">
        <v>9</v>
      </c>
      <c r="F123" s="1019">
        <v>10</v>
      </c>
      <c r="G123" s="1019">
        <v>10</v>
      </c>
      <c r="H123" s="1020">
        <f t="shared" ref="H123:N125" ca="1" si="24">INDIRECT(H$7 &amp; $B123)</f>
        <v>9</v>
      </c>
      <c r="I123" s="1021">
        <f t="shared" ca="1" si="24"/>
        <v>9</v>
      </c>
      <c r="J123" s="1021">
        <f t="shared" ca="1" si="24"/>
        <v>9</v>
      </c>
      <c r="K123" s="1021">
        <f t="shared" ca="1" si="24"/>
        <v>10</v>
      </c>
      <c r="L123" s="1021">
        <f t="shared" ca="1" si="24"/>
        <v>10</v>
      </c>
      <c r="M123" s="1021">
        <f t="shared" ca="1" si="24"/>
        <v>9</v>
      </c>
      <c r="N123" s="1021">
        <f t="shared" ca="1" si="24"/>
        <v>9</v>
      </c>
    </row>
    <row r="124" spans="1:14">
      <c r="A124" s="8" t="s">
        <v>299</v>
      </c>
      <c r="B124" s="8">
        <v>124</v>
      </c>
      <c r="C124" s="1001" t="s">
        <v>245</v>
      </c>
      <c r="D124" s="1018">
        <v>10</v>
      </c>
      <c r="E124" s="1019">
        <v>10</v>
      </c>
      <c r="F124" s="1019">
        <v>10</v>
      </c>
      <c r="G124" s="1019">
        <v>10</v>
      </c>
      <c r="H124" s="1020">
        <f t="shared" ca="1" si="24"/>
        <v>10</v>
      </c>
      <c r="I124" s="1021">
        <f t="shared" ca="1" si="24"/>
        <v>10</v>
      </c>
      <c r="J124" s="1021">
        <f t="shared" ca="1" si="24"/>
        <v>10</v>
      </c>
      <c r="K124" s="1021">
        <f t="shared" ca="1" si="24"/>
        <v>10</v>
      </c>
      <c r="L124" s="1021">
        <f t="shared" ca="1" si="24"/>
        <v>10</v>
      </c>
      <c r="M124" s="1021">
        <f t="shared" ca="1" si="24"/>
        <v>10</v>
      </c>
      <c r="N124" s="1021">
        <f t="shared" ca="1" si="24"/>
        <v>10</v>
      </c>
    </row>
    <row r="125" spans="1:14">
      <c r="A125" s="8" t="s">
        <v>300</v>
      </c>
      <c r="B125" s="8">
        <v>125</v>
      </c>
      <c r="C125" s="1001" t="s">
        <v>247</v>
      </c>
      <c r="D125" s="1018">
        <v>22</v>
      </c>
      <c r="E125" s="1019">
        <v>22</v>
      </c>
      <c r="F125" s="1019">
        <v>20</v>
      </c>
      <c r="G125" s="1019">
        <v>20</v>
      </c>
      <c r="H125" s="1020">
        <f t="shared" ca="1" si="24"/>
        <v>22</v>
      </c>
      <c r="I125" s="1021">
        <f t="shared" ca="1" si="24"/>
        <v>22</v>
      </c>
      <c r="J125" s="1021">
        <f t="shared" ca="1" si="24"/>
        <v>22</v>
      </c>
      <c r="K125" s="1021">
        <f t="shared" ca="1" si="24"/>
        <v>20</v>
      </c>
      <c r="L125" s="1021">
        <f t="shared" ca="1" si="24"/>
        <v>20</v>
      </c>
      <c r="M125" s="1021">
        <f t="shared" ca="1" si="24"/>
        <v>22</v>
      </c>
      <c r="N125" s="1021">
        <f t="shared" ca="1" si="24"/>
        <v>22</v>
      </c>
    </row>
    <row r="126" spans="1:14">
      <c r="A126" s="8"/>
      <c r="B126" s="8">
        <v>126</v>
      </c>
      <c r="C126" s="1001"/>
      <c r="D126" s="1018"/>
      <c r="E126" s="1019"/>
      <c r="F126" s="1019"/>
      <c r="G126" s="1019"/>
      <c r="H126" s="1014"/>
      <c r="I126" s="1015"/>
      <c r="J126" s="1015"/>
      <c r="K126" s="1015"/>
      <c r="L126" s="1015"/>
      <c r="M126" s="1015"/>
      <c r="N126" s="1015"/>
    </row>
    <row r="127" spans="1:14">
      <c r="A127" s="8"/>
      <c r="B127" s="8">
        <v>127</v>
      </c>
      <c r="C127" s="1001" t="s">
        <v>301</v>
      </c>
      <c r="D127" s="1018"/>
      <c r="E127" s="1019"/>
      <c r="F127" s="1019"/>
      <c r="G127" s="1019"/>
      <c r="H127" s="1014"/>
      <c r="I127" s="1015"/>
      <c r="J127" s="1015"/>
      <c r="K127" s="1015"/>
      <c r="L127" s="1015"/>
      <c r="M127" s="1015"/>
      <c r="N127" s="1015"/>
    </row>
    <row r="128" spans="1:14">
      <c r="A128" s="8" t="s">
        <v>302</v>
      </c>
      <c r="B128" s="8">
        <v>128</v>
      </c>
      <c r="C128" s="1001" t="s">
        <v>243</v>
      </c>
      <c r="D128" s="1022">
        <v>170</v>
      </c>
      <c r="E128" s="1023">
        <v>170</v>
      </c>
      <c r="F128" s="1023">
        <v>170</v>
      </c>
      <c r="G128" s="1023">
        <v>180</v>
      </c>
      <c r="H128" s="1014">
        <f t="shared" ref="H128:N130" ca="1" si="25">INDIRECT(H$7 &amp; $B128)</f>
        <v>170</v>
      </c>
      <c r="I128" s="1015">
        <f t="shared" ca="1" si="25"/>
        <v>170</v>
      </c>
      <c r="J128" s="1015">
        <f t="shared" ca="1" si="25"/>
        <v>170</v>
      </c>
      <c r="K128" s="1015">
        <f t="shared" ca="1" si="25"/>
        <v>170</v>
      </c>
      <c r="L128" s="1015">
        <f t="shared" ca="1" si="25"/>
        <v>170</v>
      </c>
      <c r="M128" s="1015">
        <f t="shared" ca="1" si="25"/>
        <v>170</v>
      </c>
      <c r="N128" s="1015">
        <f t="shared" ca="1" si="25"/>
        <v>170</v>
      </c>
    </row>
    <row r="129" spans="1:14">
      <c r="A129" s="8" t="s">
        <v>303</v>
      </c>
      <c r="B129" s="8">
        <v>129</v>
      </c>
      <c r="C129" s="1001" t="s">
        <v>245</v>
      </c>
      <c r="D129" s="1022">
        <v>170</v>
      </c>
      <c r="E129" s="1023">
        <v>170</v>
      </c>
      <c r="F129" s="1023">
        <v>170</v>
      </c>
      <c r="G129" s="1023">
        <v>180</v>
      </c>
      <c r="H129" s="1014">
        <f t="shared" ca="1" si="25"/>
        <v>170</v>
      </c>
      <c r="I129" s="1015">
        <f t="shared" ca="1" si="25"/>
        <v>170</v>
      </c>
      <c r="J129" s="1015">
        <f t="shared" ca="1" si="25"/>
        <v>170</v>
      </c>
      <c r="K129" s="1015">
        <f t="shared" ca="1" si="25"/>
        <v>170</v>
      </c>
      <c r="L129" s="1015">
        <f t="shared" ca="1" si="25"/>
        <v>170</v>
      </c>
      <c r="M129" s="1015">
        <f t="shared" ca="1" si="25"/>
        <v>170</v>
      </c>
      <c r="N129" s="1015">
        <f t="shared" ca="1" si="25"/>
        <v>170</v>
      </c>
    </row>
    <row r="130" spans="1:14">
      <c r="A130" s="8" t="s">
        <v>304</v>
      </c>
      <c r="B130" s="8">
        <v>130</v>
      </c>
      <c r="C130" s="1001" t="s">
        <v>247</v>
      </c>
      <c r="D130" s="1022">
        <v>172</v>
      </c>
      <c r="E130" s="1023">
        <v>172</v>
      </c>
      <c r="F130" s="1023">
        <v>172</v>
      </c>
      <c r="G130" s="1023">
        <v>180</v>
      </c>
      <c r="H130" s="1014">
        <f t="shared" ca="1" si="25"/>
        <v>172</v>
      </c>
      <c r="I130" s="1015">
        <f t="shared" ca="1" si="25"/>
        <v>172</v>
      </c>
      <c r="J130" s="1015">
        <f t="shared" ca="1" si="25"/>
        <v>172</v>
      </c>
      <c r="K130" s="1015">
        <f t="shared" ca="1" si="25"/>
        <v>172</v>
      </c>
      <c r="L130" s="1015">
        <f t="shared" ca="1" si="25"/>
        <v>172</v>
      </c>
      <c r="M130" s="1015">
        <f t="shared" ca="1" si="25"/>
        <v>172</v>
      </c>
      <c r="N130" s="1015">
        <f t="shared" ca="1" si="25"/>
        <v>172</v>
      </c>
    </row>
    <row r="131" spans="1:14">
      <c r="A131" s="8"/>
      <c r="B131" s="8">
        <v>131</v>
      </c>
      <c r="C131" s="1001"/>
      <c r="D131" s="17"/>
      <c r="E131" s="8"/>
      <c r="F131" s="8"/>
      <c r="G131" s="8"/>
      <c r="H131" s="1014"/>
      <c r="I131" s="1015"/>
      <c r="J131" s="1015"/>
      <c r="K131" s="1015"/>
      <c r="L131" s="1015"/>
      <c r="M131" s="1015"/>
      <c r="N131" s="1015"/>
    </row>
    <row r="132" spans="1:14">
      <c r="A132" s="8"/>
      <c r="B132" s="8">
        <v>132</v>
      </c>
      <c r="C132" s="1001" t="s">
        <v>305</v>
      </c>
      <c r="D132" s="17"/>
      <c r="E132" s="8"/>
      <c r="F132" s="8"/>
      <c r="G132" s="8"/>
      <c r="H132" s="1014"/>
      <c r="I132" s="1015"/>
      <c r="J132" s="1015"/>
      <c r="K132" s="1015"/>
      <c r="L132" s="1015"/>
      <c r="M132" s="1015"/>
      <c r="N132" s="1015"/>
    </row>
    <row r="133" spans="1:14">
      <c r="A133" s="8"/>
      <c r="B133" s="8">
        <v>133</v>
      </c>
      <c r="C133" s="1001" t="s">
        <v>306</v>
      </c>
      <c r="D133" s="1032"/>
      <c r="E133" s="1033"/>
      <c r="F133" s="8"/>
      <c r="G133" s="8"/>
      <c r="H133" s="1014"/>
      <c r="I133" s="1015"/>
      <c r="J133" s="1015"/>
      <c r="K133" s="1015"/>
      <c r="L133" s="1015"/>
      <c r="M133" s="1015"/>
      <c r="N133" s="1015"/>
    </row>
    <row r="134" spans="1:14">
      <c r="A134" s="8" t="s">
        <v>307</v>
      </c>
      <c r="B134" s="8">
        <v>134</v>
      </c>
      <c r="C134" s="1001" t="s">
        <v>243</v>
      </c>
      <c r="D134" s="1016">
        <v>0.2</v>
      </c>
      <c r="E134" s="1017">
        <v>0.2</v>
      </c>
      <c r="F134" s="1017">
        <v>0.25</v>
      </c>
      <c r="G134" s="1017">
        <v>0.25</v>
      </c>
      <c r="H134" s="899">
        <f t="shared" ref="H134:N136" ca="1" si="26">INDIRECT(H$7 &amp; $B134)</f>
        <v>0.2</v>
      </c>
      <c r="I134" s="21">
        <f t="shared" ca="1" si="26"/>
        <v>0.2</v>
      </c>
      <c r="J134" s="21">
        <f t="shared" ca="1" si="26"/>
        <v>0.2</v>
      </c>
      <c r="K134" s="21">
        <f t="shared" ca="1" si="26"/>
        <v>0.25</v>
      </c>
      <c r="L134" s="21">
        <f t="shared" ca="1" si="26"/>
        <v>0.25</v>
      </c>
      <c r="M134" s="21">
        <f t="shared" ca="1" si="26"/>
        <v>0.2</v>
      </c>
      <c r="N134" s="21">
        <f t="shared" ca="1" si="26"/>
        <v>0.2</v>
      </c>
    </row>
    <row r="135" spans="1:14">
      <c r="A135" s="8" t="s">
        <v>308</v>
      </c>
      <c r="B135" s="8">
        <v>135</v>
      </c>
      <c r="C135" s="1001" t="s">
        <v>245</v>
      </c>
      <c r="D135" s="1016">
        <v>0.2</v>
      </c>
      <c r="E135" s="1017">
        <v>0.2</v>
      </c>
      <c r="F135" s="1017">
        <v>0.25</v>
      </c>
      <c r="G135" s="1017">
        <v>0.25</v>
      </c>
      <c r="H135" s="899">
        <f t="shared" ca="1" si="26"/>
        <v>0.2</v>
      </c>
      <c r="I135" s="21">
        <f t="shared" ca="1" si="26"/>
        <v>0.2</v>
      </c>
      <c r="J135" s="21">
        <f t="shared" ca="1" si="26"/>
        <v>0.2</v>
      </c>
      <c r="K135" s="21">
        <f t="shared" ca="1" si="26"/>
        <v>0.25</v>
      </c>
      <c r="L135" s="21">
        <f t="shared" ca="1" si="26"/>
        <v>0.25</v>
      </c>
      <c r="M135" s="21">
        <f t="shared" ca="1" si="26"/>
        <v>0.2</v>
      </c>
      <c r="N135" s="21">
        <f t="shared" ca="1" si="26"/>
        <v>0.2</v>
      </c>
    </row>
    <row r="136" spans="1:14">
      <c r="A136" s="8" t="s">
        <v>309</v>
      </c>
      <c r="B136" s="8">
        <v>136</v>
      </c>
      <c r="C136" s="1001" t="s">
        <v>247</v>
      </c>
      <c r="D136" s="1016">
        <v>0.2</v>
      </c>
      <c r="E136" s="1017">
        <v>0.2</v>
      </c>
      <c r="F136" s="1017">
        <v>0.25</v>
      </c>
      <c r="G136" s="1017">
        <v>0.25</v>
      </c>
      <c r="H136" s="899">
        <f t="shared" ca="1" si="26"/>
        <v>0.2</v>
      </c>
      <c r="I136" s="21">
        <f t="shared" ca="1" si="26"/>
        <v>0.2</v>
      </c>
      <c r="J136" s="21">
        <f t="shared" ca="1" si="26"/>
        <v>0.2</v>
      </c>
      <c r="K136" s="21">
        <f t="shared" ca="1" si="26"/>
        <v>0.25</v>
      </c>
      <c r="L136" s="21">
        <f t="shared" ca="1" si="26"/>
        <v>0.25</v>
      </c>
      <c r="M136" s="21">
        <f t="shared" ca="1" si="26"/>
        <v>0.2</v>
      </c>
      <c r="N136" s="21">
        <f t="shared" ca="1" si="26"/>
        <v>0.2</v>
      </c>
    </row>
    <row r="137" spans="1:14">
      <c r="A137" s="8"/>
      <c r="B137" s="8">
        <v>137</v>
      </c>
      <c r="C137" s="1001"/>
      <c r="D137" s="17"/>
      <c r="E137" s="8"/>
      <c r="F137" s="8"/>
      <c r="G137" s="8"/>
      <c r="H137" s="899"/>
      <c r="I137" s="21"/>
      <c r="J137" s="21"/>
      <c r="K137" s="21"/>
      <c r="L137" s="21"/>
      <c r="M137" s="21"/>
      <c r="N137" s="21"/>
    </row>
    <row r="138" spans="1:14">
      <c r="A138" s="8"/>
      <c r="B138" s="8">
        <v>138</v>
      </c>
      <c r="C138" s="1001" t="s">
        <v>310</v>
      </c>
      <c r="D138" s="17"/>
      <c r="E138" s="8"/>
      <c r="F138" s="8"/>
      <c r="G138" s="8"/>
      <c r="H138" s="899"/>
      <c r="I138" s="21"/>
      <c r="J138" s="21"/>
      <c r="K138" s="21"/>
      <c r="L138" s="21"/>
      <c r="M138" s="21"/>
      <c r="N138" s="21"/>
    </row>
    <row r="139" spans="1:14">
      <c r="A139" s="8" t="s">
        <v>311</v>
      </c>
      <c r="B139" s="8">
        <v>139</v>
      </c>
      <c r="C139" s="1001" t="s">
        <v>243</v>
      </c>
      <c r="D139" s="1016">
        <v>0.25</v>
      </c>
      <c r="E139" s="1017">
        <v>0.25</v>
      </c>
      <c r="F139" s="18">
        <v>0.5</v>
      </c>
      <c r="G139" s="18">
        <v>0.5</v>
      </c>
      <c r="H139" s="899">
        <f t="shared" ref="H139:N141" ca="1" si="27">INDIRECT(H$7 &amp; $B139)</f>
        <v>0.25</v>
      </c>
      <c r="I139" s="21">
        <f t="shared" ca="1" si="27"/>
        <v>0.25</v>
      </c>
      <c r="J139" s="21">
        <f t="shared" ca="1" si="27"/>
        <v>0.25</v>
      </c>
      <c r="K139" s="21">
        <f t="shared" ca="1" si="27"/>
        <v>0.5</v>
      </c>
      <c r="L139" s="21">
        <f t="shared" ca="1" si="27"/>
        <v>0.5</v>
      </c>
      <c r="M139" s="21">
        <f t="shared" ca="1" si="27"/>
        <v>0.25</v>
      </c>
      <c r="N139" s="21">
        <f t="shared" ca="1" si="27"/>
        <v>0.25</v>
      </c>
    </row>
    <row r="140" spans="1:14">
      <c r="A140" s="8" t="s">
        <v>312</v>
      </c>
      <c r="B140" s="8">
        <v>140</v>
      </c>
      <c r="C140" s="1001" t="s">
        <v>245</v>
      </c>
      <c r="D140" s="1016">
        <v>0.25</v>
      </c>
      <c r="E140" s="1017">
        <v>0.25</v>
      </c>
      <c r="F140" s="18">
        <v>0.5</v>
      </c>
      <c r="G140" s="18">
        <v>0.5</v>
      </c>
      <c r="H140" s="899">
        <f t="shared" ca="1" si="27"/>
        <v>0.25</v>
      </c>
      <c r="I140" s="21">
        <f t="shared" ca="1" si="27"/>
        <v>0.25</v>
      </c>
      <c r="J140" s="21">
        <f t="shared" ca="1" si="27"/>
        <v>0.25</v>
      </c>
      <c r="K140" s="21">
        <f t="shared" ca="1" si="27"/>
        <v>0.5</v>
      </c>
      <c r="L140" s="21">
        <f t="shared" ca="1" si="27"/>
        <v>0.5</v>
      </c>
      <c r="M140" s="21">
        <f t="shared" ca="1" si="27"/>
        <v>0.25</v>
      </c>
      <c r="N140" s="21">
        <f t="shared" ca="1" si="27"/>
        <v>0.25</v>
      </c>
    </row>
    <row r="141" spans="1:14">
      <c r="A141" s="8" t="s">
        <v>313</v>
      </c>
      <c r="B141" s="8">
        <v>141</v>
      </c>
      <c r="C141" s="1001" t="s">
        <v>247</v>
      </c>
      <c r="D141" s="1016">
        <v>0.25</v>
      </c>
      <c r="E141" s="1017">
        <v>0.25</v>
      </c>
      <c r="F141" s="18">
        <v>0.5</v>
      </c>
      <c r="G141" s="18">
        <v>0.5</v>
      </c>
      <c r="H141" s="899">
        <f t="shared" ca="1" si="27"/>
        <v>0.25</v>
      </c>
      <c r="I141" s="21">
        <f t="shared" ca="1" si="27"/>
        <v>0.25</v>
      </c>
      <c r="J141" s="21">
        <f t="shared" ca="1" si="27"/>
        <v>0.25</v>
      </c>
      <c r="K141" s="21">
        <f t="shared" ca="1" si="27"/>
        <v>0.5</v>
      </c>
      <c r="L141" s="21">
        <f t="shared" ca="1" si="27"/>
        <v>0.5</v>
      </c>
      <c r="M141" s="21">
        <f t="shared" ca="1" si="27"/>
        <v>0.25</v>
      </c>
      <c r="N141" s="21">
        <f t="shared" ca="1" si="27"/>
        <v>0.25</v>
      </c>
    </row>
    <row r="142" spans="1:14">
      <c r="A142" s="8"/>
      <c r="B142" s="8">
        <v>142</v>
      </c>
      <c r="C142" s="1001"/>
      <c r="D142" s="1016"/>
      <c r="E142" s="1017"/>
      <c r="F142" s="18"/>
      <c r="G142" s="18"/>
      <c r="H142" s="1014"/>
      <c r="I142" s="1015"/>
      <c r="J142" s="1015"/>
      <c r="K142" s="1015"/>
      <c r="L142" s="1015"/>
      <c r="M142" s="1015"/>
      <c r="N142" s="1015"/>
    </row>
    <row r="143" spans="1:14">
      <c r="A143" s="8"/>
      <c r="B143" s="8">
        <v>143</v>
      </c>
      <c r="C143" s="1001" t="s">
        <v>314</v>
      </c>
      <c r="D143" s="1016"/>
      <c r="E143" s="1017"/>
      <c r="F143" s="18"/>
      <c r="G143" s="18"/>
      <c r="H143" s="1014"/>
      <c r="I143" s="1015"/>
      <c r="J143" s="1015"/>
      <c r="K143" s="1015"/>
      <c r="L143" s="1015"/>
      <c r="M143" s="1015"/>
      <c r="N143" s="1015"/>
    </row>
    <row r="144" spans="1:14">
      <c r="A144" s="8" t="s">
        <v>315</v>
      </c>
      <c r="B144" s="8">
        <v>144</v>
      </c>
      <c r="C144" s="1001" t="s">
        <v>243</v>
      </c>
      <c r="D144" s="1025">
        <v>380.31</v>
      </c>
      <c r="E144" s="1026">
        <f>D144*(1+'6.GrowthFactors'!$D$9)</f>
        <v>394.10960428279947</v>
      </c>
      <c r="F144" s="1026">
        <f>E144</f>
        <v>394.10960428279947</v>
      </c>
      <c r="G144" s="1026">
        <v>394.10960428279947</v>
      </c>
      <c r="H144" s="898">
        <f t="shared" ref="H144:N146" ca="1" si="28">INDIRECT(H$7 &amp; $B144)</f>
        <v>380.31</v>
      </c>
      <c r="I144" s="20">
        <f t="shared" ca="1" si="28"/>
        <v>394.10960428279947</v>
      </c>
      <c r="J144" s="20">
        <f t="shared" ca="1" si="28"/>
        <v>394.10960428279947</v>
      </c>
      <c r="K144" s="20">
        <f t="shared" ca="1" si="28"/>
        <v>394.10960428279947</v>
      </c>
      <c r="L144" s="20">
        <f t="shared" ca="1" si="28"/>
        <v>394.10960428279947</v>
      </c>
      <c r="M144" s="20">
        <f t="shared" ca="1" si="28"/>
        <v>394.10960428279947</v>
      </c>
      <c r="N144" s="20">
        <f t="shared" ca="1" si="28"/>
        <v>394.10960428279947</v>
      </c>
    </row>
    <row r="145" spans="1:14">
      <c r="A145" s="8" t="s">
        <v>316</v>
      </c>
      <c r="B145" s="8">
        <v>145</v>
      </c>
      <c r="C145" s="1001" t="s">
        <v>245</v>
      </c>
      <c r="D145" s="1025">
        <v>382.48</v>
      </c>
      <c r="E145" s="1026">
        <f>D145*(1+'6.GrowthFactors'!$D$9)</f>
        <v>396.35834305194487</v>
      </c>
      <c r="F145" s="1026">
        <f>E145</f>
        <v>396.35834305194487</v>
      </c>
      <c r="G145" s="1026">
        <v>396.35834305194487</v>
      </c>
      <c r="H145" s="898">
        <f t="shared" ca="1" si="28"/>
        <v>382.48</v>
      </c>
      <c r="I145" s="20">
        <f t="shared" ca="1" si="28"/>
        <v>396.35834305194487</v>
      </c>
      <c r="J145" s="20">
        <f t="shared" ca="1" si="28"/>
        <v>396.35834305194487</v>
      </c>
      <c r="K145" s="20">
        <f t="shared" ca="1" si="28"/>
        <v>396.35834305194487</v>
      </c>
      <c r="L145" s="20">
        <f t="shared" ca="1" si="28"/>
        <v>396.35834305194487</v>
      </c>
      <c r="M145" s="20">
        <f t="shared" ca="1" si="28"/>
        <v>396.35834305194487</v>
      </c>
      <c r="N145" s="20">
        <f t="shared" ca="1" si="28"/>
        <v>396.35834305194487</v>
      </c>
    </row>
    <row r="146" spans="1:14">
      <c r="A146" s="8" t="s">
        <v>317</v>
      </c>
      <c r="B146" s="8">
        <v>146</v>
      </c>
      <c r="C146" s="1001" t="s">
        <v>247</v>
      </c>
      <c r="D146" s="1025">
        <v>385.25</v>
      </c>
      <c r="E146" s="1026">
        <f>D146*(1+'6.GrowthFactors'!$D$9)</f>
        <v>399.22885290933317</v>
      </c>
      <c r="F146" s="1026">
        <f>E146</f>
        <v>399.22885290933317</v>
      </c>
      <c r="G146" s="1026">
        <v>399.22885290933317</v>
      </c>
      <c r="H146" s="898">
        <f t="shared" ca="1" si="28"/>
        <v>385.25</v>
      </c>
      <c r="I146" s="20">
        <f t="shared" ca="1" si="28"/>
        <v>399.22885290933317</v>
      </c>
      <c r="J146" s="20">
        <f t="shared" ca="1" si="28"/>
        <v>399.22885290933317</v>
      </c>
      <c r="K146" s="20">
        <f t="shared" ca="1" si="28"/>
        <v>399.22885290933317</v>
      </c>
      <c r="L146" s="20">
        <f t="shared" ca="1" si="28"/>
        <v>399.22885290933317</v>
      </c>
      <c r="M146" s="20">
        <f t="shared" ca="1" si="28"/>
        <v>399.22885290933317</v>
      </c>
      <c r="N146" s="20">
        <f t="shared" ca="1" si="28"/>
        <v>399.22885290933317</v>
      </c>
    </row>
    <row r="147" spans="1:14">
      <c r="A147" s="8"/>
      <c r="B147" s="8">
        <v>147</v>
      </c>
      <c r="C147" s="1001"/>
      <c r="D147" s="17"/>
      <c r="E147" s="8"/>
      <c r="F147" s="8"/>
      <c r="G147" s="8"/>
      <c r="H147" s="898"/>
      <c r="I147" s="20"/>
      <c r="J147" s="20"/>
      <c r="K147" s="20"/>
      <c r="L147" s="20"/>
      <c r="M147" s="20"/>
      <c r="N147" s="20"/>
    </row>
    <row r="148" spans="1:14">
      <c r="A148" s="8"/>
      <c r="B148" s="8">
        <v>148</v>
      </c>
      <c r="C148" s="1001" t="s">
        <v>318</v>
      </c>
      <c r="D148" s="17"/>
      <c r="E148" s="8"/>
      <c r="F148" s="8"/>
      <c r="G148" s="8"/>
      <c r="H148" s="898"/>
      <c r="I148" s="20"/>
      <c r="J148" s="20"/>
      <c r="K148" s="20"/>
      <c r="L148" s="20"/>
      <c r="M148" s="20"/>
      <c r="N148" s="20"/>
    </row>
    <row r="149" spans="1:14">
      <c r="A149" s="8" t="s">
        <v>319</v>
      </c>
      <c r="B149" s="8">
        <v>149</v>
      </c>
      <c r="C149" s="1001" t="s">
        <v>243</v>
      </c>
      <c r="D149" s="1025">
        <v>128.91999999999999</v>
      </c>
      <c r="E149" s="1026">
        <f>D149*(1+'6.GrowthFactors'!$D$9)</f>
        <v>133.59788116047042</v>
      </c>
      <c r="F149" s="1026">
        <f>E149</f>
        <v>133.59788116047042</v>
      </c>
      <c r="G149" s="1026">
        <v>133.59788116047042</v>
      </c>
      <c r="H149" s="898">
        <f t="shared" ref="H149:N151" ca="1" si="29">INDIRECT(H$7 &amp; $B149)</f>
        <v>128.91999999999999</v>
      </c>
      <c r="I149" s="20">
        <f t="shared" ca="1" si="29"/>
        <v>133.59788116047042</v>
      </c>
      <c r="J149" s="20">
        <f t="shared" ca="1" si="29"/>
        <v>133.59788116047042</v>
      </c>
      <c r="K149" s="20">
        <f t="shared" ca="1" si="29"/>
        <v>133.59788116047042</v>
      </c>
      <c r="L149" s="20">
        <f t="shared" ca="1" si="29"/>
        <v>133.59788116047042</v>
      </c>
      <c r="M149" s="20">
        <f t="shared" ca="1" si="29"/>
        <v>133.59788116047042</v>
      </c>
      <c r="N149" s="20">
        <f t="shared" ca="1" si="29"/>
        <v>133.59788116047042</v>
      </c>
    </row>
    <row r="150" spans="1:14">
      <c r="A150" s="8" t="s">
        <v>320</v>
      </c>
      <c r="B150" s="8">
        <v>150</v>
      </c>
      <c r="C150" s="1001" t="s">
        <v>245</v>
      </c>
      <c r="D150" s="1025">
        <v>121.88</v>
      </c>
      <c r="E150" s="1026">
        <f>D150*(1+'6.GrowthFactors'!$D$9)</f>
        <v>126.30243372508637</v>
      </c>
      <c r="F150" s="1026">
        <f>E150</f>
        <v>126.30243372508637</v>
      </c>
      <c r="G150" s="1026">
        <v>126.30243372508637</v>
      </c>
      <c r="H150" s="898">
        <f t="shared" ca="1" si="29"/>
        <v>121.88</v>
      </c>
      <c r="I150" s="20">
        <f t="shared" ca="1" si="29"/>
        <v>126.30243372508637</v>
      </c>
      <c r="J150" s="20">
        <f t="shared" ca="1" si="29"/>
        <v>126.30243372508637</v>
      </c>
      <c r="K150" s="20">
        <f t="shared" ca="1" si="29"/>
        <v>126.30243372508637</v>
      </c>
      <c r="L150" s="20">
        <f t="shared" ca="1" si="29"/>
        <v>126.30243372508637</v>
      </c>
      <c r="M150" s="20">
        <f t="shared" ca="1" si="29"/>
        <v>126.30243372508637</v>
      </c>
      <c r="N150" s="20">
        <f t="shared" ca="1" si="29"/>
        <v>126.30243372508637</v>
      </c>
    </row>
    <row r="151" spans="1:14">
      <c r="A151" s="8" t="s">
        <v>321</v>
      </c>
      <c r="B151" s="8">
        <v>151</v>
      </c>
      <c r="C151" s="1001" t="s">
        <v>247</v>
      </c>
      <c r="D151" s="1025">
        <v>108.2</v>
      </c>
      <c r="E151" s="1026">
        <f>D151*(1+'6.GrowthFactors'!$D$9)</f>
        <v>112.12605291314692</v>
      </c>
      <c r="F151" s="1026">
        <f>E151</f>
        <v>112.12605291314692</v>
      </c>
      <c r="G151" s="1026">
        <v>112.12605291314692</v>
      </c>
      <c r="H151" s="898">
        <f t="shared" ca="1" si="29"/>
        <v>108.2</v>
      </c>
      <c r="I151" s="20">
        <f t="shared" ca="1" si="29"/>
        <v>112.12605291314692</v>
      </c>
      <c r="J151" s="20">
        <f t="shared" ca="1" si="29"/>
        <v>112.12605291314692</v>
      </c>
      <c r="K151" s="20">
        <f t="shared" ca="1" si="29"/>
        <v>112.12605291314692</v>
      </c>
      <c r="L151" s="20">
        <f t="shared" ca="1" si="29"/>
        <v>112.12605291314692</v>
      </c>
      <c r="M151" s="20">
        <f t="shared" ca="1" si="29"/>
        <v>112.12605291314692</v>
      </c>
      <c r="N151" s="20">
        <f t="shared" ca="1" si="29"/>
        <v>112.12605291314692</v>
      </c>
    </row>
    <row r="152" spans="1:14">
      <c r="A152" s="8"/>
      <c r="B152" s="8">
        <v>152</v>
      </c>
      <c r="C152" s="1001"/>
      <c r="D152" s="1025"/>
      <c r="E152" s="1026"/>
      <c r="F152" s="1026"/>
      <c r="G152" s="1026"/>
      <c r="H152" s="898"/>
      <c r="I152" s="20"/>
      <c r="J152" s="20"/>
      <c r="K152" s="20"/>
      <c r="L152" s="20"/>
      <c r="M152" s="20"/>
      <c r="N152" s="20"/>
    </row>
    <row r="153" spans="1:14">
      <c r="A153" s="8"/>
      <c r="B153" s="8">
        <v>153</v>
      </c>
      <c r="C153" s="1001" t="s">
        <v>322</v>
      </c>
      <c r="D153" s="1025"/>
      <c r="E153" s="1026"/>
      <c r="F153" s="1026"/>
      <c r="G153" s="1026"/>
      <c r="H153" s="898"/>
      <c r="I153" s="20"/>
      <c r="J153" s="20"/>
      <c r="K153" s="20"/>
      <c r="L153" s="20"/>
      <c r="M153" s="20"/>
      <c r="N153" s="20"/>
    </row>
    <row r="154" spans="1:14">
      <c r="A154" s="8" t="s">
        <v>323</v>
      </c>
      <c r="B154" s="8">
        <v>154</v>
      </c>
      <c r="C154" s="1001" t="s">
        <v>243</v>
      </c>
      <c r="D154" s="1025">
        <v>153.19999999999999</v>
      </c>
      <c r="E154" s="1026">
        <f>D154*(1+'6.GrowthFactors'!$D$9)</f>
        <v>158.75888453136884</v>
      </c>
      <c r="F154" s="1026">
        <f>E154</f>
        <v>158.75888453136884</v>
      </c>
      <c r="G154" s="1026">
        <v>158.75888453136884</v>
      </c>
      <c r="H154" s="898">
        <f t="shared" ref="H154:N156" ca="1" si="30">INDIRECT(H$7 &amp; $B154)</f>
        <v>153.19999999999999</v>
      </c>
      <c r="I154" s="20">
        <f t="shared" ca="1" si="30"/>
        <v>158.75888453136884</v>
      </c>
      <c r="J154" s="20">
        <f t="shared" ca="1" si="30"/>
        <v>158.75888453136884</v>
      </c>
      <c r="K154" s="20">
        <f t="shared" ca="1" si="30"/>
        <v>158.75888453136884</v>
      </c>
      <c r="L154" s="20">
        <f t="shared" ca="1" si="30"/>
        <v>158.75888453136884</v>
      </c>
      <c r="M154" s="20">
        <f t="shared" ca="1" si="30"/>
        <v>158.75888453136884</v>
      </c>
      <c r="N154" s="20">
        <f t="shared" ca="1" si="30"/>
        <v>158.75888453136884</v>
      </c>
    </row>
    <row r="155" spans="1:14">
      <c r="A155" s="8" t="s">
        <v>324</v>
      </c>
      <c r="B155" s="8">
        <v>155</v>
      </c>
      <c r="C155" s="1001" t="s">
        <v>245</v>
      </c>
      <c r="D155" s="1025">
        <v>175</v>
      </c>
      <c r="E155" s="1026">
        <f>D155*(1+'6.GrowthFactors'!$D$9)</f>
        <v>181.34990073752968</v>
      </c>
      <c r="F155" s="1026">
        <f>E155</f>
        <v>181.34990073752968</v>
      </c>
      <c r="G155" s="1026">
        <v>181.34990073752968</v>
      </c>
      <c r="H155" s="898">
        <f t="shared" ca="1" si="30"/>
        <v>175</v>
      </c>
      <c r="I155" s="20">
        <f t="shared" ca="1" si="30"/>
        <v>181.34990073752968</v>
      </c>
      <c r="J155" s="20">
        <f t="shared" ca="1" si="30"/>
        <v>181.34990073752968</v>
      </c>
      <c r="K155" s="20">
        <f t="shared" ca="1" si="30"/>
        <v>181.34990073752968</v>
      </c>
      <c r="L155" s="20">
        <f t="shared" ca="1" si="30"/>
        <v>181.34990073752968</v>
      </c>
      <c r="M155" s="20">
        <f t="shared" ca="1" si="30"/>
        <v>181.34990073752968</v>
      </c>
      <c r="N155" s="20">
        <f t="shared" ca="1" si="30"/>
        <v>181.34990073752968</v>
      </c>
    </row>
    <row r="156" spans="1:14">
      <c r="A156" s="8" t="s">
        <v>325</v>
      </c>
      <c r="B156" s="8">
        <v>156</v>
      </c>
      <c r="C156" s="1001" t="s">
        <v>247</v>
      </c>
      <c r="D156" s="1025">
        <v>238.58</v>
      </c>
      <c r="E156" s="1026">
        <f>D156*(1+'6.GrowthFactors'!$D$9)</f>
        <v>247.2369103883419</v>
      </c>
      <c r="F156" s="1026">
        <f>E156</f>
        <v>247.2369103883419</v>
      </c>
      <c r="G156" s="1026">
        <v>247.2369103883419</v>
      </c>
      <c r="H156" s="898">
        <f t="shared" ca="1" si="30"/>
        <v>238.58</v>
      </c>
      <c r="I156" s="20">
        <f t="shared" ca="1" si="30"/>
        <v>247.2369103883419</v>
      </c>
      <c r="J156" s="20">
        <f t="shared" ca="1" si="30"/>
        <v>247.2369103883419</v>
      </c>
      <c r="K156" s="20">
        <f t="shared" ca="1" si="30"/>
        <v>247.2369103883419</v>
      </c>
      <c r="L156" s="20">
        <f t="shared" ca="1" si="30"/>
        <v>247.2369103883419</v>
      </c>
      <c r="M156" s="20">
        <f t="shared" ca="1" si="30"/>
        <v>247.2369103883419</v>
      </c>
      <c r="N156" s="20">
        <f t="shared" ca="1" si="30"/>
        <v>247.2369103883419</v>
      </c>
    </row>
    <row r="157" spans="1:14">
      <c r="A157" s="8"/>
      <c r="B157" s="8">
        <v>157</v>
      </c>
      <c r="C157" s="1001"/>
      <c r="D157" s="1025"/>
      <c r="E157" s="1026"/>
      <c r="F157" s="1026"/>
      <c r="G157" s="1026"/>
      <c r="H157" s="898"/>
      <c r="I157" s="20"/>
      <c r="J157" s="20"/>
      <c r="K157" s="20"/>
      <c r="L157" s="20"/>
      <c r="M157" s="20"/>
      <c r="N157" s="20"/>
    </row>
    <row r="158" spans="1:14">
      <c r="A158" s="8"/>
      <c r="B158" s="8">
        <v>158</v>
      </c>
      <c r="C158" s="1001" t="s">
        <v>326</v>
      </c>
      <c r="D158" s="1025"/>
      <c r="E158" s="1026"/>
      <c r="F158" s="1026"/>
      <c r="G158" s="1026"/>
      <c r="H158" s="898"/>
      <c r="I158" s="20"/>
      <c r="J158" s="20"/>
      <c r="K158" s="20"/>
      <c r="L158" s="20"/>
      <c r="M158" s="20"/>
      <c r="N158" s="20"/>
    </row>
    <row r="159" spans="1:14">
      <c r="A159" s="8" t="s">
        <v>327</v>
      </c>
      <c r="B159" s="8">
        <v>159</v>
      </c>
      <c r="C159" s="1001" t="s">
        <v>243</v>
      </c>
      <c r="D159" s="1025">
        <v>0</v>
      </c>
      <c r="E159" s="1026">
        <v>0</v>
      </c>
      <c r="F159" s="1026">
        <f ca="1">450/Staffing_ClassSize_Report!O3</f>
        <v>22.5</v>
      </c>
      <c r="G159" s="1026">
        <v>22.5</v>
      </c>
      <c r="H159" s="898">
        <f t="shared" ref="H159:N161" ca="1" si="31">INDIRECT(H$7 &amp; $B159)</f>
        <v>0</v>
      </c>
      <c r="I159" s="20">
        <f t="shared" ca="1" si="31"/>
        <v>0</v>
      </c>
      <c r="J159" s="20">
        <f t="shared" ca="1" si="31"/>
        <v>0</v>
      </c>
      <c r="K159" s="20">
        <f t="shared" ca="1" si="31"/>
        <v>22.5</v>
      </c>
      <c r="L159" s="20">
        <f t="shared" ca="1" si="31"/>
        <v>22.5</v>
      </c>
      <c r="M159" s="20">
        <f t="shared" ca="1" si="31"/>
        <v>0</v>
      </c>
      <c r="N159" s="20">
        <f t="shared" ca="1" si="31"/>
        <v>0</v>
      </c>
    </row>
    <row r="160" spans="1:14">
      <c r="A160" s="8" t="s">
        <v>328</v>
      </c>
      <c r="B160" s="8">
        <v>160</v>
      </c>
      <c r="C160" s="1001" t="s">
        <v>245</v>
      </c>
      <c r="D160" s="1025">
        <v>0</v>
      </c>
      <c r="E160" s="1026">
        <v>0</v>
      </c>
      <c r="F160" s="1026">
        <f ca="1">450/Staffing_ClassSize_Report!P3</f>
        <v>23.721428571428572</v>
      </c>
      <c r="G160" s="1026">
        <v>23.721428571428572</v>
      </c>
      <c r="H160" s="898">
        <f t="shared" ca="1" si="31"/>
        <v>0</v>
      </c>
      <c r="I160" s="20">
        <f t="shared" ca="1" si="31"/>
        <v>0</v>
      </c>
      <c r="J160" s="20">
        <f t="shared" ca="1" si="31"/>
        <v>0</v>
      </c>
      <c r="K160" s="20">
        <f t="shared" ca="1" si="31"/>
        <v>23.721428571428572</v>
      </c>
      <c r="L160" s="20">
        <f t="shared" ca="1" si="31"/>
        <v>23.721428571428572</v>
      </c>
      <c r="M160" s="20">
        <f t="shared" ca="1" si="31"/>
        <v>0</v>
      </c>
      <c r="N160" s="20">
        <f t="shared" ca="1" si="31"/>
        <v>0</v>
      </c>
    </row>
    <row r="161" spans="1:14">
      <c r="A161" s="8" t="s">
        <v>329</v>
      </c>
      <c r="B161" s="8">
        <v>161</v>
      </c>
      <c r="C161" s="1001" t="s">
        <v>247</v>
      </c>
      <c r="D161" s="1025">
        <v>0</v>
      </c>
      <c r="E161" s="1026">
        <v>0</v>
      </c>
      <c r="F161" s="1026">
        <f ca="1">450/Staffing_ClassSize_Report!Q3</f>
        <v>20.153571428571425</v>
      </c>
      <c r="G161" s="1026">
        <v>20.153571428571425</v>
      </c>
      <c r="H161" s="898">
        <f t="shared" ca="1" si="31"/>
        <v>0</v>
      </c>
      <c r="I161" s="20">
        <f t="shared" ca="1" si="31"/>
        <v>0</v>
      </c>
      <c r="J161" s="20">
        <f t="shared" ca="1" si="31"/>
        <v>0</v>
      </c>
      <c r="K161" s="20">
        <f t="shared" ca="1" si="31"/>
        <v>20.153571428571425</v>
      </c>
      <c r="L161" s="20">
        <f t="shared" ca="1" si="31"/>
        <v>20.153571428571425</v>
      </c>
      <c r="M161" s="20">
        <f t="shared" ca="1" si="31"/>
        <v>0</v>
      </c>
      <c r="N161" s="20">
        <f t="shared" ca="1" si="31"/>
        <v>0</v>
      </c>
    </row>
    <row r="162" spans="1:14">
      <c r="A162" s="8"/>
      <c r="B162" s="8">
        <v>162</v>
      </c>
      <c r="C162" s="1001"/>
      <c r="D162" s="1025"/>
      <c r="E162" s="1026"/>
      <c r="F162" s="1026"/>
      <c r="G162" s="1026"/>
      <c r="H162" s="898"/>
      <c r="I162" s="20"/>
      <c r="J162" s="20"/>
      <c r="K162" s="20"/>
      <c r="L162" s="20"/>
      <c r="M162" s="20"/>
      <c r="N162" s="20"/>
    </row>
    <row r="163" spans="1:14">
      <c r="A163" s="8"/>
      <c r="B163" s="8">
        <v>163</v>
      </c>
      <c r="C163" s="1001" t="s">
        <v>330</v>
      </c>
      <c r="D163" s="1025"/>
      <c r="E163" s="1026"/>
      <c r="F163" s="1026"/>
      <c r="G163" s="1026"/>
      <c r="H163" s="898"/>
      <c r="I163" s="20"/>
      <c r="J163" s="20"/>
      <c r="K163" s="20"/>
      <c r="L163" s="20"/>
      <c r="M163" s="20"/>
      <c r="N163" s="20"/>
    </row>
    <row r="164" spans="1:14">
      <c r="A164" s="8" t="s">
        <v>331</v>
      </c>
      <c r="B164" s="8">
        <v>164</v>
      </c>
      <c r="C164" s="1001" t="s">
        <v>243</v>
      </c>
      <c r="D164" s="1025">
        <v>17.98</v>
      </c>
      <c r="E164" s="1026">
        <f>D164*(1+'6.GrowthFactors'!$D$9)</f>
        <v>18.632406944347334</v>
      </c>
      <c r="F164" s="1026">
        <v>28</v>
      </c>
      <c r="G164" s="1026">
        <v>28</v>
      </c>
      <c r="H164" s="898">
        <f t="shared" ref="H164:N166" ca="1" si="32">INDIRECT(H$7 &amp; $B164)</f>
        <v>17.98</v>
      </c>
      <c r="I164" s="20">
        <f t="shared" ca="1" si="32"/>
        <v>18.632406944347334</v>
      </c>
      <c r="J164" s="20">
        <f t="shared" ca="1" si="32"/>
        <v>18.632406944347334</v>
      </c>
      <c r="K164" s="20">
        <f t="shared" ca="1" si="32"/>
        <v>28</v>
      </c>
      <c r="L164" s="20">
        <f t="shared" ca="1" si="32"/>
        <v>28</v>
      </c>
      <c r="M164" s="20">
        <f t="shared" ca="1" si="32"/>
        <v>18.632406944347334</v>
      </c>
      <c r="N164" s="20">
        <f t="shared" ca="1" si="32"/>
        <v>18.632406944347334</v>
      </c>
    </row>
    <row r="165" spans="1:14">
      <c r="A165" s="8" t="s">
        <v>332</v>
      </c>
      <c r="B165" s="8">
        <v>165</v>
      </c>
      <c r="C165" s="1001" t="s">
        <v>245</v>
      </c>
      <c r="D165" s="1025">
        <v>17.63</v>
      </c>
      <c r="E165" s="1026">
        <f>D165*(1+'6.GrowthFactors'!$D$9)</f>
        <v>18.269707142872274</v>
      </c>
      <c r="F165" s="1026">
        <v>34</v>
      </c>
      <c r="G165" s="1026">
        <v>34</v>
      </c>
      <c r="H165" s="898">
        <f t="shared" ca="1" si="32"/>
        <v>17.63</v>
      </c>
      <c r="I165" s="20">
        <f t="shared" ca="1" si="32"/>
        <v>18.269707142872274</v>
      </c>
      <c r="J165" s="20">
        <f t="shared" ca="1" si="32"/>
        <v>18.269707142872274</v>
      </c>
      <c r="K165" s="20">
        <f t="shared" ca="1" si="32"/>
        <v>34</v>
      </c>
      <c r="L165" s="20">
        <f t="shared" ca="1" si="32"/>
        <v>34</v>
      </c>
      <c r="M165" s="20">
        <f t="shared" ca="1" si="32"/>
        <v>18.269707142872274</v>
      </c>
      <c r="N165" s="20">
        <f t="shared" ca="1" si="32"/>
        <v>18.269707142872274</v>
      </c>
    </row>
    <row r="166" spans="1:14">
      <c r="A166" s="8" t="s">
        <v>333</v>
      </c>
      <c r="B166" s="8">
        <v>166</v>
      </c>
      <c r="C166" s="1001" t="s">
        <v>247</v>
      </c>
      <c r="D166" s="1025">
        <v>15.67</v>
      </c>
      <c r="E166" s="1026">
        <f>D166*(1+'6.GrowthFactors'!$D$9)</f>
        <v>16.238588254611944</v>
      </c>
      <c r="F166" s="1026">
        <v>40</v>
      </c>
      <c r="G166" s="1026">
        <v>40</v>
      </c>
      <c r="H166" s="898">
        <f t="shared" ca="1" si="32"/>
        <v>15.67</v>
      </c>
      <c r="I166" s="20">
        <f t="shared" ca="1" si="32"/>
        <v>16.238588254611944</v>
      </c>
      <c r="J166" s="20">
        <f t="shared" ca="1" si="32"/>
        <v>16.238588254611944</v>
      </c>
      <c r="K166" s="20">
        <f t="shared" ca="1" si="32"/>
        <v>40</v>
      </c>
      <c r="L166" s="20">
        <f t="shared" ca="1" si="32"/>
        <v>40</v>
      </c>
      <c r="M166" s="20">
        <f t="shared" ca="1" si="32"/>
        <v>16.238588254611944</v>
      </c>
      <c r="N166" s="20">
        <f t="shared" ca="1" si="32"/>
        <v>16.238588254611944</v>
      </c>
    </row>
    <row r="167" spans="1:14">
      <c r="A167" s="8"/>
      <c r="B167" s="8">
        <v>167</v>
      </c>
      <c r="C167" s="1001"/>
      <c r="D167" s="17"/>
      <c r="E167" s="8"/>
      <c r="F167" s="8"/>
      <c r="G167" s="8"/>
      <c r="H167" s="1014"/>
      <c r="I167" s="1015"/>
      <c r="J167" s="1015"/>
      <c r="K167" s="1015"/>
      <c r="L167" s="1015"/>
      <c r="M167" s="1015"/>
      <c r="N167" s="1015"/>
    </row>
    <row r="168" spans="1:14">
      <c r="A168" s="8"/>
      <c r="B168" s="8">
        <v>168</v>
      </c>
      <c r="C168" s="1001" t="s">
        <v>334</v>
      </c>
      <c r="D168" s="1025"/>
      <c r="E168" s="1026"/>
      <c r="F168" s="1026"/>
      <c r="G168" s="1026"/>
      <c r="H168" s="1014"/>
      <c r="I168" s="1015"/>
      <c r="J168" s="1015"/>
      <c r="K168" s="1015"/>
      <c r="L168" s="1015"/>
      <c r="M168" s="1015"/>
      <c r="N168" s="1015"/>
    </row>
    <row r="169" spans="1:14">
      <c r="A169" s="8" t="s">
        <v>335</v>
      </c>
      <c r="B169" s="8">
        <v>169</v>
      </c>
      <c r="C169" s="1001" t="s">
        <v>247</v>
      </c>
      <c r="D169" s="1034">
        <v>9</v>
      </c>
      <c r="E169" s="1035">
        <v>9</v>
      </c>
      <c r="F169" s="1035">
        <v>12</v>
      </c>
      <c r="G169" s="1035">
        <v>12</v>
      </c>
      <c r="H169" s="1014">
        <f t="shared" ref="H169:N169" ca="1" si="33">INDIRECT(H$7 &amp; $B169)</f>
        <v>9</v>
      </c>
      <c r="I169" s="1015">
        <f t="shared" ca="1" si="33"/>
        <v>9</v>
      </c>
      <c r="J169" s="1015">
        <f t="shared" ca="1" si="33"/>
        <v>9</v>
      </c>
      <c r="K169" s="1015">
        <f t="shared" ca="1" si="33"/>
        <v>12</v>
      </c>
      <c r="L169" s="1015">
        <f t="shared" ca="1" si="33"/>
        <v>12</v>
      </c>
      <c r="M169" s="1015">
        <f t="shared" ca="1" si="33"/>
        <v>9</v>
      </c>
      <c r="N169" s="1015">
        <f t="shared" ca="1" si="33"/>
        <v>9</v>
      </c>
    </row>
    <row r="170" spans="1:14">
      <c r="A170" s="8"/>
      <c r="B170" s="8">
        <v>170</v>
      </c>
      <c r="C170" s="1001"/>
      <c r="D170" s="1025"/>
      <c r="E170" s="1026"/>
      <c r="F170" s="1026"/>
      <c r="G170" s="1026"/>
      <c r="H170" s="1014"/>
      <c r="I170" s="1015"/>
      <c r="J170" s="1015"/>
      <c r="K170" s="1015"/>
      <c r="L170" s="1015"/>
      <c r="M170" s="1015"/>
      <c r="N170" s="1015"/>
    </row>
    <row r="171" spans="1:14">
      <c r="A171" s="8"/>
      <c r="B171" s="8">
        <v>171</v>
      </c>
      <c r="C171" s="1001" t="s">
        <v>336</v>
      </c>
      <c r="D171" s="1025"/>
      <c r="E171" s="1026"/>
      <c r="F171" s="1026"/>
      <c r="G171" s="1026"/>
      <c r="H171" s="1014"/>
      <c r="I171" s="1015"/>
      <c r="J171" s="1015"/>
      <c r="K171" s="1015"/>
      <c r="L171" s="1015"/>
      <c r="M171" s="1015"/>
      <c r="N171" s="1015"/>
    </row>
    <row r="172" spans="1:14">
      <c r="A172" s="8" t="s">
        <v>337</v>
      </c>
      <c r="B172" s="8">
        <v>172</v>
      </c>
      <c r="C172" s="1001" t="s">
        <v>243</v>
      </c>
      <c r="D172" s="1025">
        <v>1339.18</v>
      </c>
      <c r="E172" s="1026">
        <f>D172*(1+'6.GrowthFactors'!D9)</f>
        <v>1387.7723432553428</v>
      </c>
      <c r="F172" s="1026">
        <f>E172</f>
        <v>1387.7723432553428</v>
      </c>
      <c r="G172" s="1026">
        <v>1387.7723432553428</v>
      </c>
      <c r="H172" s="898">
        <f t="shared" ref="H172:N174" ca="1" si="34">INDIRECT(H$7 &amp; $B172)</f>
        <v>1339.18</v>
      </c>
      <c r="I172" s="20">
        <f t="shared" ca="1" si="34"/>
        <v>1387.7723432553428</v>
      </c>
      <c r="J172" s="20">
        <f t="shared" ca="1" si="34"/>
        <v>1387.7723432553428</v>
      </c>
      <c r="K172" s="20">
        <f t="shared" ca="1" si="34"/>
        <v>1387.7723432553428</v>
      </c>
      <c r="L172" s="20">
        <f t="shared" ca="1" si="34"/>
        <v>1387.7723432553428</v>
      </c>
      <c r="M172" s="20">
        <f t="shared" ca="1" si="34"/>
        <v>1387.7723432553428</v>
      </c>
      <c r="N172" s="20">
        <f t="shared" ca="1" si="34"/>
        <v>1387.7723432553428</v>
      </c>
    </row>
    <row r="173" spans="1:14">
      <c r="A173" s="8" t="s">
        <v>338</v>
      </c>
      <c r="B173" s="8">
        <v>173</v>
      </c>
      <c r="C173" s="1001" t="s">
        <v>245</v>
      </c>
      <c r="D173" s="1025">
        <v>1480.7</v>
      </c>
      <c r="E173" s="1026">
        <f>D173*(1+'6.GrowthFactors'!D10)</f>
        <v>1496.5264756129247</v>
      </c>
      <c r="F173" s="1026">
        <f>E173</f>
        <v>1496.5264756129247</v>
      </c>
      <c r="G173" s="1026">
        <v>1496.5264756129247</v>
      </c>
      <c r="H173" s="898">
        <f t="shared" ca="1" si="34"/>
        <v>1480.7</v>
      </c>
      <c r="I173" s="20">
        <f t="shared" ca="1" si="34"/>
        <v>1496.5264756129247</v>
      </c>
      <c r="J173" s="20">
        <f t="shared" ca="1" si="34"/>
        <v>1496.5264756129247</v>
      </c>
      <c r="K173" s="20">
        <f t="shared" ca="1" si="34"/>
        <v>1496.5264756129247</v>
      </c>
      <c r="L173" s="20">
        <f t="shared" ca="1" si="34"/>
        <v>1496.5264756129247</v>
      </c>
      <c r="M173" s="20">
        <f t="shared" ca="1" si="34"/>
        <v>1496.5264756129247</v>
      </c>
      <c r="N173" s="20">
        <f t="shared" ca="1" si="34"/>
        <v>1496.5264756129247</v>
      </c>
    </row>
    <row r="174" spans="1:14">
      <c r="A174" s="8" t="s">
        <v>339</v>
      </c>
      <c r="B174" s="8">
        <v>174</v>
      </c>
      <c r="C174" s="1001" t="s">
        <v>247</v>
      </c>
      <c r="D174" s="1025">
        <v>1422.33</v>
      </c>
      <c r="E174" s="1026">
        <f>D174*(1+'6.GrowthFactors'!D11)</f>
        <v>1473.939453234346</v>
      </c>
      <c r="F174" s="1026">
        <f>E174</f>
        <v>1473.939453234346</v>
      </c>
      <c r="G174" s="1026">
        <v>1473.939453234346</v>
      </c>
      <c r="H174" s="898">
        <f t="shared" ca="1" si="34"/>
        <v>1422.33</v>
      </c>
      <c r="I174" s="20">
        <f t="shared" ca="1" si="34"/>
        <v>1473.939453234346</v>
      </c>
      <c r="J174" s="20">
        <f t="shared" ca="1" si="34"/>
        <v>1473.939453234346</v>
      </c>
      <c r="K174" s="20">
        <f t="shared" ca="1" si="34"/>
        <v>1473.939453234346</v>
      </c>
      <c r="L174" s="20">
        <f t="shared" ca="1" si="34"/>
        <v>1473.939453234346</v>
      </c>
      <c r="M174" s="20">
        <f t="shared" ca="1" si="34"/>
        <v>1473.939453234346</v>
      </c>
      <c r="N174" s="20">
        <f t="shared" ca="1" si="34"/>
        <v>1473.939453234346</v>
      </c>
    </row>
    <row r="175" spans="1:14">
      <c r="A175" s="8"/>
      <c r="B175" s="8">
        <v>175</v>
      </c>
      <c r="C175" s="1001"/>
      <c r="D175" s="1025"/>
      <c r="E175" s="1026"/>
      <c r="F175" s="1026"/>
      <c r="G175" s="1026"/>
      <c r="H175" s="898"/>
      <c r="I175" s="20"/>
      <c r="J175" s="20"/>
      <c r="K175" s="20"/>
      <c r="L175" s="20"/>
      <c r="M175" s="20"/>
      <c r="N175" s="20"/>
    </row>
    <row r="176" spans="1:14">
      <c r="A176" s="8"/>
      <c r="B176" s="8">
        <v>176</v>
      </c>
      <c r="C176" s="1001" t="s">
        <v>340</v>
      </c>
      <c r="D176" s="1025"/>
      <c r="E176" s="1026"/>
      <c r="F176" s="1026"/>
      <c r="G176" s="1026"/>
      <c r="H176" s="898"/>
      <c r="I176" s="20"/>
      <c r="J176" s="20"/>
      <c r="K176" s="20"/>
      <c r="L176" s="20"/>
      <c r="M176" s="20"/>
      <c r="N176" s="20"/>
    </row>
    <row r="177" spans="1:14">
      <c r="A177" s="8" t="s">
        <v>341</v>
      </c>
      <c r="B177" s="8">
        <v>177</v>
      </c>
      <c r="C177" s="1001" t="s">
        <v>243</v>
      </c>
      <c r="D177" s="1025">
        <v>309.95999999999998</v>
      </c>
      <c r="E177" s="1026">
        <f>D177*(1+'6.GrowthFactors'!$D$9)</f>
        <v>321.20694418631251</v>
      </c>
      <c r="F177" s="1026">
        <f>E177</f>
        <v>321.20694418631251</v>
      </c>
      <c r="G177" s="1026">
        <v>321.20694418631251</v>
      </c>
      <c r="H177" s="898">
        <f t="shared" ref="H177:N179" ca="1" si="35">INDIRECT(H$7 &amp; $B177)</f>
        <v>309.95999999999998</v>
      </c>
      <c r="I177" s="20">
        <f t="shared" ca="1" si="35"/>
        <v>321.20694418631251</v>
      </c>
      <c r="J177" s="20">
        <f t="shared" ca="1" si="35"/>
        <v>321.20694418631251</v>
      </c>
      <c r="K177" s="20">
        <f t="shared" ca="1" si="35"/>
        <v>321.20694418631251</v>
      </c>
      <c r="L177" s="20">
        <f t="shared" ca="1" si="35"/>
        <v>321.20694418631251</v>
      </c>
      <c r="M177" s="20">
        <f t="shared" ca="1" si="35"/>
        <v>321.20694418631251</v>
      </c>
      <c r="N177" s="20">
        <f t="shared" ca="1" si="35"/>
        <v>321.20694418631251</v>
      </c>
    </row>
    <row r="178" spans="1:14">
      <c r="A178" s="8" t="s">
        <v>342</v>
      </c>
      <c r="B178" s="8">
        <v>178</v>
      </c>
      <c r="C178" s="1001" t="s">
        <v>245</v>
      </c>
      <c r="D178" s="1025">
        <v>300.86</v>
      </c>
      <c r="E178" s="1026">
        <f>D178*(1+'6.GrowthFactors'!$D$9)</f>
        <v>311.77674934796102</v>
      </c>
      <c r="F178" s="1026">
        <f>E178</f>
        <v>311.77674934796102</v>
      </c>
      <c r="G178" s="1026">
        <v>311.77674934796102</v>
      </c>
      <c r="H178" s="898">
        <f t="shared" ca="1" si="35"/>
        <v>300.86</v>
      </c>
      <c r="I178" s="20">
        <f t="shared" ca="1" si="35"/>
        <v>311.77674934796102</v>
      </c>
      <c r="J178" s="20">
        <f t="shared" ca="1" si="35"/>
        <v>311.77674934796102</v>
      </c>
      <c r="K178" s="20">
        <f t="shared" ca="1" si="35"/>
        <v>311.77674934796102</v>
      </c>
      <c r="L178" s="20">
        <f t="shared" ca="1" si="35"/>
        <v>311.77674934796102</v>
      </c>
      <c r="M178" s="20">
        <f t="shared" ca="1" si="35"/>
        <v>311.77674934796102</v>
      </c>
      <c r="N178" s="20">
        <f t="shared" ca="1" si="35"/>
        <v>311.77674934796102</v>
      </c>
    </row>
    <row r="179" spans="1:14">
      <c r="A179" s="8" t="s">
        <v>343</v>
      </c>
      <c r="B179" s="8">
        <v>179</v>
      </c>
      <c r="C179" s="1001" t="s">
        <v>247</v>
      </c>
      <c r="D179" s="1025">
        <v>302.45</v>
      </c>
      <c r="E179" s="1026">
        <f>D179*(1+'6.GrowthFactors'!$D$9)</f>
        <v>313.42444273180485</v>
      </c>
      <c r="F179" s="1026">
        <f>E179</f>
        <v>313.42444273180485</v>
      </c>
      <c r="G179" s="1026">
        <v>313.42444273180485</v>
      </c>
      <c r="H179" s="898">
        <f t="shared" ca="1" si="35"/>
        <v>302.45</v>
      </c>
      <c r="I179" s="20">
        <f t="shared" ca="1" si="35"/>
        <v>313.42444273180485</v>
      </c>
      <c r="J179" s="20">
        <f t="shared" ca="1" si="35"/>
        <v>313.42444273180485</v>
      </c>
      <c r="K179" s="20">
        <f t="shared" ca="1" si="35"/>
        <v>313.42444273180485</v>
      </c>
      <c r="L179" s="20">
        <f t="shared" ca="1" si="35"/>
        <v>313.42444273180485</v>
      </c>
      <c r="M179" s="20">
        <f t="shared" ca="1" si="35"/>
        <v>313.42444273180485</v>
      </c>
      <c r="N179" s="20">
        <f t="shared" ca="1" si="35"/>
        <v>313.42444273180485</v>
      </c>
    </row>
    <row r="180" spans="1:14">
      <c r="A180" s="8"/>
      <c r="B180" s="8">
        <v>180</v>
      </c>
      <c r="C180" s="1001"/>
      <c r="D180" s="1025"/>
      <c r="E180" s="1026"/>
      <c r="F180" s="1026"/>
      <c r="G180" s="1026"/>
      <c r="H180" s="898"/>
      <c r="I180" s="20"/>
      <c r="J180" s="20"/>
      <c r="K180" s="20"/>
      <c r="L180" s="20"/>
      <c r="M180" s="20"/>
      <c r="N180" s="20"/>
    </row>
    <row r="181" spans="1:14">
      <c r="A181" s="8" t="s">
        <v>164</v>
      </c>
      <c r="B181" s="8">
        <v>181</v>
      </c>
      <c r="C181" s="1001" t="s">
        <v>344</v>
      </c>
      <c r="D181" s="1036">
        <v>55</v>
      </c>
      <c r="E181" s="1037">
        <v>55</v>
      </c>
      <c r="F181" s="1037">
        <v>55</v>
      </c>
      <c r="G181" s="1037">
        <v>55</v>
      </c>
      <c r="H181" s="898">
        <f t="shared" ref="H181:N181" ca="1" si="36">INDIRECT(H$7 &amp; $B181)</f>
        <v>55</v>
      </c>
      <c r="I181" s="20">
        <f t="shared" ca="1" si="36"/>
        <v>55</v>
      </c>
      <c r="J181" s="20">
        <f t="shared" ca="1" si="36"/>
        <v>55</v>
      </c>
      <c r="K181" s="20">
        <f t="shared" ca="1" si="36"/>
        <v>55</v>
      </c>
      <c r="L181" s="20">
        <f t="shared" ca="1" si="36"/>
        <v>55</v>
      </c>
      <c r="M181" s="20">
        <f t="shared" ca="1" si="36"/>
        <v>55</v>
      </c>
      <c r="N181" s="20">
        <f t="shared" ca="1" si="36"/>
        <v>55</v>
      </c>
    </row>
    <row r="182" spans="1:14">
      <c r="A182" s="8"/>
      <c r="B182" s="8">
        <v>182</v>
      </c>
      <c r="C182" s="1001"/>
      <c r="D182" s="1036"/>
      <c r="E182" s="1037"/>
      <c r="F182" s="1037"/>
      <c r="G182" s="1037"/>
      <c r="H182" s="898"/>
      <c r="I182" s="20"/>
      <c r="J182" s="20"/>
      <c r="K182" s="20"/>
      <c r="L182" s="20"/>
      <c r="M182" s="20"/>
      <c r="N182" s="20"/>
    </row>
    <row r="183" spans="1:14">
      <c r="A183" s="8"/>
      <c r="B183" s="8">
        <v>183</v>
      </c>
      <c r="C183" s="1001" t="s">
        <v>345</v>
      </c>
      <c r="D183" s="1036"/>
      <c r="E183" s="1037"/>
      <c r="F183" s="1037"/>
      <c r="G183" s="1037"/>
      <c r="H183" s="898"/>
      <c r="I183" s="20"/>
      <c r="J183" s="20"/>
      <c r="K183" s="20"/>
      <c r="L183" s="20"/>
      <c r="M183" s="20"/>
      <c r="N183" s="20"/>
    </row>
    <row r="184" spans="1:14" ht="15">
      <c r="A184" s="8" t="s">
        <v>346</v>
      </c>
      <c r="B184" s="8">
        <v>184</v>
      </c>
      <c r="C184" s="1038" t="s">
        <v>347</v>
      </c>
      <c r="D184" s="1039">
        <v>561.69148625945911</v>
      </c>
      <c r="E184" s="1040">
        <f>D184*(1+'6.GrowthFactors'!D9)</f>
        <v>582.07254444724811</v>
      </c>
      <c r="F184" s="1026">
        <f>E184</f>
        <v>582.07254444724811</v>
      </c>
      <c r="G184" s="1026">
        <v>582.07254444724811</v>
      </c>
      <c r="H184" s="898">
        <f t="shared" ref="H184:N188" ca="1" si="37">INDIRECT(H$7 &amp; $B184)</f>
        <v>561.69148625945911</v>
      </c>
      <c r="I184" s="20">
        <f t="shared" ca="1" si="37"/>
        <v>582.07254444724811</v>
      </c>
      <c r="J184" s="20">
        <f t="shared" ca="1" si="37"/>
        <v>582.07254444724811</v>
      </c>
      <c r="K184" s="20">
        <f t="shared" ca="1" si="37"/>
        <v>582.07254444724811</v>
      </c>
      <c r="L184" s="20">
        <f t="shared" ca="1" si="37"/>
        <v>582.07254444724811</v>
      </c>
      <c r="M184" s="20">
        <f t="shared" ca="1" si="37"/>
        <v>582.07254444724811</v>
      </c>
      <c r="N184" s="20">
        <f t="shared" ca="1" si="37"/>
        <v>582.07254444724811</v>
      </c>
    </row>
    <row r="185" spans="1:14" ht="15">
      <c r="A185" s="8" t="s">
        <v>348</v>
      </c>
      <c r="B185" s="8">
        <v>185</v>
      </c>
      <c r="C185" s="1038" t="s">
        <v>349</v>
      </c>
      <c r="D185" s="1039">
        <v>269.59081319019515</v>
      </c>
      <c r="E185" s="1040">
        <f>D185*(1+'6.GrowthFactors'!D10)</f>
        <v>272.47233708458509</v>
      </c>
      <c r="F185" s="1026">
        <f>E185</f>
        <v>272.47233708458509</v>
      </c>
      <c r="G185" s="1026">
        <v>272.47233708458509</v>
      </c>
      <c r="H185" s="898">
        <f t="shared" ca="1" si="37"/>
        <v>269.59081319019515</v>
      </c>
      <c r="I185" s="20">
        <f t="shared" ca="1" si="37"/>
        <v>272.47233708458509</v>
      </c>
      <c r="J185" s="20">
        <f t="shared" ca="1" si="37"/>
        <v>272.47233708458509</v>
      </c>
      <c r="K185" s="20">
        <f t="shared" ca="1" si="37"/>
        <v>272.47233708458509</v>
      </c>
      <c r="L185" s="20">
        <f t="shared" ca="1" si="37"/>
        <v>272.47233708458509</v>
      </c>
      <c r="M185" s="20">
        <f t="shared" ca="1" si="37"/>
        <v>272.47233708458509</v>
      </c>
      <c r="N185" s="20">
        <f t="shared" ca="1" si="37"/>
        <v>272.47233708458509</v>
      </c>
    </row>
    <row r="186" spans="1:14" ht="15">
      <c r="A186" s="8" t="s">
        <v>350</v>
      </c>
      <c r="B186" s="8">
        <v>186</v>
      </c>
      <c r="C186" s="1038" t="s">
        <v>351</v>
      </c>
      <c r="D186" s="1039">
        <v>92.31574193489989</v>
      </c>
      <c r="E186" s="1040">
        <f>D186*(1+'6.GrowthFactors'!D11)</f>
        <v>95.665432208031433</v>
      </c>
      <c r="F186" s="1026">
        <f>E186</f>
        <v>95.665432208031433</v>
      </c>
      <c r="G186" s="1026">
        <v>95.665432208031433</v>
      </c>
      <c r="H186" s="898">
        <f t="shared" ca="1" si="37"/>
        <v>92.31574193489989</v>
      </c>
      <c r="I186" s="20">
        <f t="shared" ca="1" si="37"/>
        <v>95.665432208031433</v>
      </c>
      <c r="J186" s="20">
        <f t="shared" ca="1" si="37"/>
        <v>95.665432208031433</v>
      </c>
      <c r="K186" s="20">
        <f t="shared" ca="1" si="37"/>
        <v>95.665432208031433</v>
      </c>
      <c r="L186" s="20">
        <f t="shared" ca="1" si="37"/>
        <v>95.665432208031433</v>
      </c>
      <c r="M186" s="20">
        <f t="shared" ca="1" si="37"/>
        <v>95.665432208031433</v>
      </c>
      <c r="N186" s="20">
        <f t="shared" ca="1" si="37"/>
        <v>95.665432208031433</v>
      </c>
    </row>
    <row r="187" spans="1:14" ht="15">
      <c r="A187" s="8" t="s">
        <v>352</v>
      </c>
      <c r="B187" s="8">
        <v>187</v>
      </c>
      <c r="C187" s="1038" t="s">
        <v>353</v>
      </c>
      <c r="D187" s="1039">
        <v>71.20107681306348</v>
      </c>
      <c r="E187" s="1040">
        <f>D187*(1+'6.GrowthFactors'!D12)</f>
        <v>71.20107681306348</v>
      </c>
      <c r="F187" s="1026">
        <f>E187</f>
        <v>71.20107681306348</v>
      </c>
      <c r="G187" s="1026">
        <v>71.20107681306348</v>
      </c>
      <c r="H187" s="898">
        <f t="shared" ca="1" si="37"/>
        <v>71.20107681306348</v>
      </c>
      <c r="I187" s="20">
        <f t="shared" ca="1" si="37"/>
        <v>71.20107681306348</v>
      </c>
      <c r="J187" s="20">
        <f t="shared" ca="1" si="37"/>
        <v>71.20107681306348</v>
      </c>
      <c r="K187" s="20">
        <f t="shared" ca="1" si="37"/>
        <v>71.20107681306348</v>
      </c>
      <c r="L187" s="20">
        <f t="shared" ca="1" si="37"/>
        <v>71.20107681306348</v>
      </c>
      <c r="M187" s="20">
        <f t="shared" ca="1" si="37"/>
        <v>71.20107681306348</v>
      </c>
      <c r="N187" s="20">
        <f t="shared" ca="1" si="37"/>
        <v>71.20107681306348</v>
      </c>
    </row>
    <row r="188" spans="1:14" ht="15.75" thickBot="1">
      <c r="A188" s="8" t="s">
        <v>354</v>
      </c>
      <c r="B188" s="8">
        <v>188</v>
      </c>
      <c r="C188" s="1041" t="s">
        <v>355</v>
      </c>
      <c r="D188" s="1042">
        <v>144.06795322060901</v>
      </c>
      <c r="E188" s="1043">
        <f>D188*(1+'6.GrowthFactors'!D13)</f>
        <v>138.75302258360577</v>
      </c>
      <c r="F188" s="1044">
        <f>E188</f>
        <v>138.75302258360577</v>
      </c>
      <c r="G188" s="1044">
        <v>138.75302258360577</v>
      </c>
      <c r="H188" s="900">
        <f t="shared" ca="1" si="37"/>
        <v>144.06795322060901</v>
      </c>
      <c r="I188" s="1170">
        <f t="shared" ca="1" si="37"/>
        <v>138.75302258360577</v>
      </c>
      <c r="J188" s="1170">
        <f t="shared" ca="1" si="37"/>
        <v>138.75302258360577</v>
      </c>
      <c r="K188" s="1170">
        <f t="shared" ca="1" si="37"/>
        <v>138.75302258360577</v>
      </c>
      <c r="L188" s="1170">
        <f t="shared" ca="1" si="37"/>
        <v>138.75302258360577</v>
      </c>
      <c r="M188" s="1170">
        <f t="shared" ca="1" si="37"/>
        <v>138.75302258360577</v>
      </c>
      <c r="N188" s="1170">
        <f t="shared" ca="1" si="37"/>
        <v>138.75302258360577</v>
      </c>
    </row>
  </sheetData>
  <sheetProtection algorithmName="SHA-512" hashValue="uI441vzh+0u8fftv7k0Y46tMbej53PEOTBK5mwF+ZVQfwm4xfa4BeSycLc0Bj4wIPvqnunKKnyFnSObfLPDLqQ==" saltValue="iKiAORgIHZCW8Y4j4eOD/w==" spinCount="100000" sheet="1" objects="1" scenarios="1" formatColumns="0" formatRows="0"/>
  <dataValidations count="2">
    <dataValidation type="list" allowBlank="1" showInputMessage="1" showErrorMessage="1" sqref="H5:J5 M5:N5" xr:uid="{00000000-0002-0000-0D00-000000000000}">
      <formula1>$D$5:$G$5</formula1>
    </dataValidation>
    <dataValidation type="list" allowBlank="1" showInputMessage="1" showErrorMessage="1" sqref="K5:L5" xr:uid="{18CAA96B-9D07-41B8-9ADC-715D7B0FF03C}">
      <formula1>$E$5:$F$5</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59999389629810485"/>
  </sheetPr>
  <dimension ref="A1:AD189"/>
  <sheetViews>
    <sheetView topLeftCell="A2" zoomScaleNormal="100" workbookViewId="0">
      <pane xSplit="8" ySplit="5" topLeftCell="I7" activePane="bottomRight" state="frozen"/>
      <selection pane="topRight"/>
      <selection pane="bottomLeft"/>
      <selection pane="bottomRight"/>
    </sheetView>
  </sheetViews>
  <sheetFormatPr defaultColWidth="12.7109375" defaultRowHeight="15" outlineLevelRow="1" outlineLevelCol="1"/>
  <cols>
    <col min="1" max="1" width="18" hidden="1" customWidth="1" outlineLevel="1"/>
    <col min="2" max="2" width="28.140625" style="63" hidden="1" customWidth="1" outlineLevel="1"/>
    <col min="3" max="3" width="18.5703125" style="63" hidden="1" customWidth="1" outlineLevel="1"/>
    <col min="4" max="4" width="22" style="63" hidden="1" customWidth="1" outlineLevel="1"/>
    <col min="5" max="5" width="5.140625" style="63" hidden="1" customWidth="1" outlineLevel="1"/>
    <col min="6" max="6" width="9.7109375" style="63" hidden="1" customWidth="1" outlineLevel="1"/>
    <col min="7" max="7" width="52" style="62" bestFit="1" customWidth="1" collapsed="1"/>
    <col min="8" max="8" width="52.7109375" bestFit="1" customWidth="1"/>
    <col min="9" max="9" width="16.7109375" customWidth="1"/>
    <col min="10" max="14" width="7.5703125" bestFit="1" customWidth="1"/>
    <col min="15" max="15" width="16.140625" bestFit="1" customWidth="1"/>
    <col min="16" max="16" width="12.140625" customWidth="1"/>
    <col min="17" max="17" width="22" hidden="1" customWidth="1" outlineLevel="1"/>
    <col min="18" max="18" width="8.5703125" hidden="1" customWidth="1" outlineLevel="1"/>
    <col min="19" max="19" width="22.85546875" hidden="1" customWidth="1" outlineLevel="1"/>
    <col min="20" max="20" width="52.140625" hidden="1" customWidth="1" outlineLevel="1"/>
    <col min="21" max="21" width="9.85546875" bestFit="1" customWidth="1" collapsed="1"/>
    <col min="22" max="25" width="9.85546875" bestFit="1" customWidth="1"/>
    <col min="26" max="26" width="14.7109375" bestFit="1" customWidth="1"/>
    <col min="27" max="27" width="9.85546875" bestFit="1" customWidth="1"/>
    <col min="28" max="28" width="6.140625" hidden="1" customWidth="1" outlineLevel="1"/>
    <col min="29" max="29" width="2" hidden="1" customWidth="1" outlineLevel="1"/>
    <col min="30" max="30" width="12.7109375" collapsed="1"/>
  </cols>
  <sheetData>
    <row r="1" spans="1:29" ht="15.75" hidden="1" customHeight="1" outlineLevel="1" thickBot="1">
      <c r="A1" s="175"/>
      <c r="B1" s="175"/>
      <c r="C1" s="175"/>
      <c r="D1" s="143"/>
      <c r="E1" s="143"/>
      <c r="F1" s="143"/>
      <c r="G1" s="467"/>
      <c r="H1" s="468"/>
      <c r="I1" s="131"/>
      <c r="J1" s="131"/>
      <c r="K1" s="131"/>
      <c r="L1" s="131"/>
      <c r="M1" s="131"/>
      <c r="N1" s="131"/>
      <c r="O1" s="131"/>
      <c r="P1" s="131"/>
      <c r="Q1" s="481"/>
      <c r="R1" s="481"/>
      <c r="S1" s="131"/>
      <c r="T1" s="131"/>
      <c r="U1" s="131"/>
      <c r="V1" s="131"/>
      <c r="W1" s="131"/>
      <c r="X1" s="131"/>
      <c r="Y1" s="131"/>
      <c r="Z1" s="131"/>
      <c r="AA1" s="131"/>
      <c r="AB1" s="518"/>
      <c r="AC1" s="139"/>
    </row>
    <row r="2" spans="1:29" ht="15.75" collapsed="1" thickBot="1">
      <c r="A2" s="175"/>
      <c r="B2" s="175"/>
      <c r="C2" s="175" t="s">
        <v>356</v>
      </c>
      <c r="D2" s="144"/>
      <c r="E2" s="144"/>
      <c r="F2" s="290"/>
      <c r="G2" s="470" t="s">
        <v>357</v>
      </c>
      <c r="H2" s="469">
        <f>VLOOKUP($F$3, $B$2:$C$5, MATCH("School Size", $B$2:$C$2,0),0)</f>
        <v>360</v>
      </c>
      <c r="I2" s="466"/>
      <c r="J2" s="465"/>
      <c r="K2" s="465"/>
      <c r="L2" s="310"/>
      <c r="M2" s="310"/>
      <c r="N2" s="310"/>
      <c r="O2" s="310"/>
      <c r="P2" s="310"/>
      <c r="Q2" s="482"/>
      <c r="R2" s="482"/>
      <c r="S2" s="128"/>
      <c r="T2" s="128"/>
      <c r="U2" s="526"/>
      <c r="V2" s="526"/>
      <c r="W2" s="526"/>
      <c r="X2" s="526"/>
      <c r="Y2" s="526"/>
      <c r="Z2" s="526"/>
      <c r="AA2" s="526"/>
      <c r="AB2" s="518"/>
      <c r="AC2" s="139"/>
    </row>
    <row r="3" spans="1:29">
      <c r="A3" s="175"/>
      <c r="B3" s="174" t="s">
        <v>99</v>
      </c>
      <c r="C3" s="181">
        <f>VLOOKUP($B3, '9.ComputerAssumptions'!$A$2:$B$5, MATCH($C$2, '9.ComputerAssumptions'!$A$2:$B$2,0),0)</f>
        <v>360</v>
      </c>
      <c r="D3" s="144"/>
      <c r="E3" s="144"/>
      <c r="F3" s="290" t="s">
        <v>99</v>
      </c>
      <c r="G3" s="471" t="str">
        <f>$F$3 &amp; " School"</f>
        <v>Elementary School</v>
      </c>
      <c r="H3" s="1234" t="s">
        <v>358</v>
      </c>
      <c r="I3" s="1202" t="s">
        <v>359</v>
      </c>
      <c r="J3" s="1202"/>
      <c r="K3" s="1202"/>
      <c r="L3" s="1202"/>
      <c r="M3" s="1202"/>
      <c r="N3" s="1202"/>
      <c r="O3" s="1203"/>
      <c r="P3" s="560"/>
      <c r="Q3" s="483"/>
      <c r="R3" s="483"/>
      <c r="S3" s="129"/>
      <c r="T3" s="525"/>
      <c r="U3" s="1199" t="s">
        <v>360</v>
      </c>
      <c r="V3" s="1200"/>
      <c r="W3" s="1200"/>
      <c r="X3" s="1200"/>
      <c r="Y3" s="1200"/>
      <c r="Z3" s="1200"/>
      <c r="AA3" s="1201"/>
      <c r="AB3" s="518"/>
      <c r="AC3" s="139"/>
    </row>
    <row r="4" spans="1:29" ht="26.25" thickBot="1">
      <c r="A4" s="175"/>
      <c r="B4" s="174" t="s">
        <v>100</v>
      </c>
      <c r="C4" s="181">
        <f>VLOOKUP($B4, '9.ComputerAssumptions'!$A$2:$B$5, MATCH($C$2, '9.ComputerAssumptions'!$A$2:$B$2,0),0)</f>
        <v>500</v>
      </c>
      <c r="D4" s="145"/>
      <c r="E4" s="145"/>
      <c r="F4" s="464"/>
      <c r="G4" s="472" t="s">
        <v>361</v>
      </c>
      <c r="H4" s="1235"/>
      <c r="I4" s="227" t="str">
        <f>'1.Years'!A7</f>
        <v>2022-23</v>
      </c>
      <c r="J4" s="227" t="str">
        <f>'1.Years'!B7</f>
        <v>2023-24</v>
      </c>
      <c r="K4" s="227" t="str">
        <f>'1.Years'!C7</f>
        <v>2024-25</v>
      </c>
      <c r="L4" s="227" t="str">
        <f>'1.Years'!D7</f>
        <v>2025-26</v>
      </c>
      <c r="M4" s="227" t="str">
        <f>'1.Years'!E7</f>
        <v>2026-27</v>
      </c>
      <c r="N4" s="227" t="str">
        <f>'1.Years'!F7</f>
        <v>2027-28</v>
      </c>
      <c r="O4" s="303" t="str">
        <f>'1.Years'!G7</f>
        <v>2028-29</v>
      </c>
      <c r="P4" s="561" t="s">
        <v>362</v>
      </c>
      <c r="Q4" s="484"/>
      <c r="R4" s="484"/>
      <c r="S4" s="129"/>
      <c r="T4" s="525"/>
      <c r="U4" s="527" t="str">
        <f t="shared" ref="U4:AA4" si="0">I4</f>
        <v>2022-23</v>
      </c>
      <c r="V4" s="228" t="str">
        <f t="shared" si="0"/>
        <v>2023-24</v>
      </c>
      <c r="W4" s="228" t="str">
        <f t="shared" si="0"/>
        <v>2024-25</v>
      </c>
      <c r="X4" s="228" t="str">
        <f t="shared" si="0"/>
        <v>2025-26</v>
      </c>
      <c r="Y4" s="228" t="str">
        <f t="shared" si="0"/>
        <v>2026-27</v>
      </c>
      <c r="Z4" s="228" t="str">
        <f t="shared" si="0"/>
        <v>2027-28</v>
      </c>
      <c r="AA4" s="528" t="str">
        <f t="shared" si="0"/>
        <v>2028-29</v>
      </c>
      <c r="AB4" s="519"/>
      <c r="AC4" s="139"/>
    </row>
    <row r="5" spans="1:29" ht="15" hidden="1" customHeight="1" outlineLevel="1">
      <c r="A5" s="175"/>
      <c r="B5" s="182" t="s">
        <v>101</v>
      </c>
      <c r="C5" s="181">
        <f>VLOOKUP($B5, '9.ComputerAssumptions'!$A$2:$B$5, MATCH($C$2, '9.ComputerAssumptions'!$A$2:$B$2,0),0)</f>
        <v>1000</v>
      </c>
      <c r="D5" s="131"/>
      <c r="E5" s="131"/>
      <c r="F5" s="131"/>
      <c r="G5" s="222"/>
      <c r="H5" s="223"/>
      <c r="I5" s="224"/>
      <c r="J5" s="224"/>
      <c r="K5" s="224"/>
      <c r="L5" s="224"/>
      <c r="M5" s="224"/>
      <c r="N5" s="224"/>
      <c r="O5" s="224"/>
      <c r="P5" s="224"/>
      <c r="Q5" s="485"/>
      <c r="R5" s="485"/>
      <c r="S5" s="131"/>
      <c r="T5" s="132"/>
      <c r="U5" s="225"/>
      <c r="V5" s="226"/>
      <c r="W5" s="226"/>
      <c r="X5" s="226"/>
      <c r="Y5" s="226"/>
      <c r="Z5" s="226"/>
      <c r="AA5" s="226"/>
      <c r="AB5" s="520"/>
      <c r="AC5" s="139"/>
    </row>
    <row r="6" spans="1:29" ht="15.75" hidden="1" customHeight="1" outlineLevel="1" thickBot="1">
      <c r="A6" s="146"/>
      <c r="B6" s="146"/>
      <c r="C6" s="147"/>
      <c r="D6" s="133"/>
      <c r="E6" s="133"/>
      <c r="F6" s="133"/>
      <c r="G6" s="233"/>
      <c r="H6" s="239"/>
      <c r="I6" s="244"/>
      <c r="J6" s="244"/>
      <c r="K6" s="244"/>
      <c r="L6" s="244"/>
      <c r="M6" s="244"/>
      <c r="N6" s="244"/>
      <c r="O6" s="244"/>
      <c r="P6" s="244"/>
      <c r="Q6" s="486"/>
      <c r="R6" s="486"/>
      <c r="S6" s="133"/>
      <c r="T6" s="134"/>
      <c r="U6" s="257"/>
      <c r="V6" s="258"/>
      <c r="W6" s="258"/>
      <c r="X6" s="258"/>
      <c r="Y6" s="258"/>
      <c r="Z6" s="258"/>
      <c r="AA6" s="258"/>
      <c r="AB6" s="254"/>
      <c r="AC6" s="139"/>
    </row>
    <row r="7" spans="1:29" collapsed="1">
      <c r="A7" s="146"/>
      <c r="B7" s="148" t="s">
        <v>363</v>
      </c>
      <c r="C7" s="147"/>
      <c r="D7" s="147" t="s">
        <v>364</v>
      </c>
      <c r="E7" s="147"/>
      <c r="F7" s="229"/>
      <c r="G7" s="235" t="s">
        <v>365</v>
      </c>
      <c r="H7" s="241">
        <f t="shared" ref="H7:H13" ca="1" si="1">INDEX(INDIRECT($S$7 &amp; $S$8), MATCH($T7, INDIRECT($S$7 &amp; $S$9), 0), MATCH(I$4, INDIRECT($S$7 &amp; $S$10), 0))</f>
        <v>73300</v>
      </c>
      <c r="I7" s="246">
        <f t="shared" ref="I7:O12" ca="1" si="2">INDEX(INDIRECT($B$7 &amp; $B$8), MATCH($D7, INDIRECT($B$7 &amp; $B$9), 0), MATCH(I$4, INDIRECT($B$7 &amp; $B$10), 0))</f>
        <v>4.3937732328771073E-2</v>
      </c>
      <c r="J7" s="247">
        <f t="shared" ca="1" si="2"/>
        <v>5.2675379955796853E-2</v>
      </c>
      <c r="K7" s="247">
        <f t="shared" ca="1" si="2"/>
        <v>3.1813178496871153E-2</v>
      </c>
      <c r="L7" s="247">
        <f t="shared" ca="1" si="2"/>
        <v>5.0975250926298177E-2</v>
      </c>
      <c r="M7" s="247">
        <f t="shared" ca="1" si="2"/>
        <v>3.4001816617267533E-2</v>
      </c>
      <c r="N7" s="247">
        <f t="shared" ca="1" si="2"/>
        <v>3.4883317729463625E-2</v>
      </c>
      <c r="O7" s="304">
        <f t="shared" ca="1" si="2"/>
        <v>3.5773719774389923E-2</v>
      </c>
      <c r="P7" s="562"/>
      <c r="Q7" s="1171"/>
      <c r="R7" s="1171"/>
      <c r="S7" s="134" t="s">
        <v>363</v>
      </c>
      <c r="T7" s="253" t="s">
        <v>366</v>
      </c>
      <c r="U7" s="259">
        <f t="shared" ref="U7:U12" ca="1" si="3">INDEX(INDIRECT($S$7 &amp; $S$8), MATCH($T7, INDIRECT($S$7 &amp; $S$9), 0), MATCH(U$4, INDIRECT($S$7 &amp; $S$10), 0))</f>
        <v>73300</v>
      </c>
      <c r="V7" s="260">
        <f t="shared" ref="V7:AA12" ca="1" si="4">U7*(1+J7)</f>
        <v>77161.105350759914</v>
      </c>
      <c r="W7" s="260">
        <f t="shared" ca="1" si="4"/>
        <v>79615.845368299517</v>
      </c>
      <c r="X7" s="260">
        <f t="shared" ca="1" si="4"/>
        <v>83674.283063657946</v>
      </c>
      <c r="Y7" s="260">
        <f t="shared" ca="1" si="4"/>
        <v>86519.360691969778</v>
      </c>
      <c r="Z7" s="260">
        <f t="shared" ca="1" si="4"/>
        <v>89537.443040737824</v>
      </c>
      <c r="AA7" s="261">
        <f t="shared" ca="1" si="4"/>
        <v>92740.530437392576</v>
      </c>
      <c r="AB7" s="254"/>
      <c r="AC7" s="139"/>
    </row>
    <row r="8" spans="1:29">
      <c r="A8" s="146"/>
      <c r="B8" s="148" t="s">
        <v>367</v>
      </c>
      <c r="C8" s="147"/>
      <c r="D8" s="147" t="s">
        <v>368</v>
      </c>
      <c r="E8" s="147"/>
      <c r="F8" s="229"/>
      <c r="G8" s="236" t="s">
        <v>369</v>
      </c>
      <c r="H8" s="242">
        <f t="shared" ca="1" si="1"/>
        <v>127310</v>
      </c>
      <c r="I8" s="249">
        <f t="shared" ca="1" si="2"/>
        <v>4.6108965403895086E-2</v>
      </c>
      <c r="J8" s="105">
        <f t="shared" ca="1" si="2"/>
        <v>4.3063290940369647E-2</v>
      </c>
      <c r="K8" s="105">
        <f t="shared" ca="1" si="2"/>
        <v>2.9099999999999904E-2</v>
      </c>
      <c r="L8" s="105">
        <f t="shared" ca="1" si="2"/>
        <v>4.6183059999999942E-2</v>
      </c>
      <c r="M8" s="105">
        <f t="shared" ca="1" si="2"/>
        <v>2.9100000000000792E-2</v>
      </c>
      <c r="N8" s="105">
        <f t="shared" ca="1" si="2"/>
        <v>2.9099999999998793E-2</v>
      </c>
      <c r="O8" s="305">
        <f t="shared" ca="1" si="2"/>
        <v>2.9100000000002124E-2</v>
      </c>
      <c r="P8" s="563"/>
      <c r="Q8" s="121"/>
      <c r="R8" s="121"/>
      <c r="S8" s="134" t="s">
        <v>367</v>
      </c>
      <c r="T8" s="253" t="s">
        <v>370</v>
      </c>
      <c r="U8" s="67">
        <f t="shared" ca="1" si="3"/>
        <v>127310</v>
      </c>
      <c r="V8" s="23">
        <f t="shared" ca="1" si="4"/>
        <v>132792.38756961847</v>
      </c>
      <c r="W8" s="23">
        <f t="shared" ca="1" si="4"/>
        <v>136656.64604789435</v>
      </c>
      <c r="X8" s="23">
        <f t="shared" ca="1" si="4"/>
        <v>142967.86813172302</v>
      </c>
      <c r="Y8" s="23">
        <f t="shared" ca="1" si="4"/>
        <v>147128.23309435628</v>
      </c>
      <c r="Z8" s="23">
        <f t="shared" ca="1" si="4"/>
        <v>151409.66467740189</v>
      </c>
      <c r="AA8" s="24">
        <f t="shared" ca="1" si="4"/>
        <v>155815.6859195146</v>
      </c>
      <c r="AB8" s="254"/>
      <c r="AC8" s="139"/>
    </row>
    <row r="9" spans="1:29">
      <c r="A9" s="146"/>
      <c r="B9" s="148" t="s">
        <v>371</v>
      </c>
      <c r="C9" s="147"/>
      <c r="D9" s="147" t="s">
        <v>372</v>
      </c>
      <c r="E9" s="147"/>
      <c r="F9" s="229"/>
      <c r="G9" s="236" t="s">
        <v>373</v>
      </c>
      <c r="H9" s="242">
        <f t="shared" ca="1" si="1"/>
        <v>117910</v>
      </c>
      <c r="I9" s="249">
        <f t="shared" ca="1" si="2"/>
        <v>5.4464477355655738E-2</v>
      </c>
      <c r="J9" s="105">
        <f t="shared" ca="1" si="2"/>
        <v>3.8522212610045292E-2</v>
      </c>
      <c r="K9" s="105">
        <f t="shared" ca="1" si="2"/>
        <v>2.6499999999999968E-2</v>
      </c>
      <c r="L9" s="105">
        <f t="shared" ca="1" si="2"/>
        <v>4.6516750000000107E-2</v>
      </c>
      <c r="M9" s="105">
        <f t="shared" ca="1" si="2"/>
        <v>2.6499999999999746E-2</v>
      </c>
      <c r="N9" s="105">
        <f t="shared" ca="1" si="2"/>
        <v>2.6499999999999524E-2</v>
      </c>
      <c r="O9" s="305">
        <f t="shared" ca="1" si="2"/>
        <v>2.6499999999996859E-2</v>
      </c>
      <c r="P9" s="563"/>
      <c r="Q9" s="121"/>
      <c r="R9" s="121"/>
      <c r="S9" s="134" t="s">
        <v>371</v>
      </c>
      <c r="T9" s="253" t="s">
        <v>374</v>
      </c>
      <c r="U9" s="67">
        <f t="shared" ca="1" si="3"/>
        <v>117910</v>
      </c>
      <c r="V9" s="23">
        <f t="shared" ca="1" si="4"/>
        <v>122452.15408885044</v>
      </c>
      <c r="W9" s="23">
        <f t="shared" ca="1" si="4"/>
        <v>125697.13617220498</v>
      </c>
      <c r="X9" s="23">
        <f t="shared" ca="1" si="4"/>
        <v>131544.15843124341</v>
      </c>
      <c r="Y9" s="23">
        <f t="shared" ca="1" si="4"/>
        <v>135030.07862967133</v>
      </c>
      <c r="Z9" s="23">
        <f t="shared" ca="1" si="4"/>
        <v>138608.37571335756</v>
      </c>
      <c r="AA9" s="24">
        <f t="shared" ca="1" si="4"/>
        <v>142281.4976697611</v>
      </c>
      <c r="AB9" s="254"/>
      <c r="AC9" s="139"/>
    </row>
    <row r="10" spans="1:29">
      <c r="A10" s="146"/>
      <c r="B10" s="148" t="s">
        <v>375</v>
      </c>
      <c r="C10" s="147"/>
      <c r="D10" s="147" t="s">
        <v>364</v>
      </c>
      <c r="E10" s="147"/>
      <c r="F10" s="229"/>
      <c r="G10" s="236" t="s">
        <v>376</v>
      </c>
      <c r="H10" s="242">
        <f t="shared" ca="1" si="1"/>
        <v>74785.188193197333</v>
      </c>
      <c r="I10" s="249">
        <f t="shared" ca="1" si="2"/>
        <v>4.3937732328771073E-2</v>
      </c>
      <c r="J10" s="105">
        <f t="shared" ca="1" si="2"/>
        <v>5.2675379955796853E-2</v>
      </c>
      <c r="K10" s="105">
        <f t="shared" ca="1" si="2"/>
        <v>3.1813178496871153E-2</v>
      </c>
      <c r="L10" s="105">
        <f t="shared" ca="1" si="2"/>
        <v>5.0975250926298177E-2</v>
      </c>
      <c r="M10" s="105">
        <f t="shared" ca="1" si="2"/>
        <v>3.4001816617267533E-2</v>
      </c>
      <c r="N10" s="105">
        <f t="shared" ca="1" si="2"/>
        <v>3.4883317729463625E-2</v>
      </c>
      <c r="O10" s="305">
        <f t="shared" ca="1" si="2"/>
        <v>3.5773719774389923E-2</v>
      </c>
      <c r="P10" s="563"/>
      <c r="Q10" s="121"/>
      <c r="R10" s="121"/>
      <c r="S10" s="134" t="s">
        <v>375</v>
      </c>
      <c r="T10" s="253" t="s">
        <v>377</v>
      </c>
      <c r="U10" s="67">
        <f t="shared" ca="1" si="3"/>
        <v>74785.188193197333</v>
      </c>
      <c r="V10" s="23">
        <f t="shared" ca="1" si="4"/>
        <v>78724.526396339774</v>
      </c>
      <c r="W10" s="23">
        <f t="shared" ca="1" si="4"/>
        <v>81229.003806668174</v>
      </c>
      <c r="X10" s="23">
        <f t="shared" ca="1" si="4"/>
        <v>85369.672658206313</v>
      </c>
      <c r="Y10" s="23">
        <f t="shared" ca="1" si="4"/>
        <v>88272.396612606797</v>
      </c>
      <c r="Z10" s="23">
        <f t="shared" ca="1" si="4"/>
        <v>91351.630670385595</v>
      </c>
      <c r="AA10" s="24">
        <f t="shared" ca="1" si="4"/>
        <v>94619.618306921533</v>
      </c>
      <c r="AB10" s="254"/>
      <c r="AC10" s="139"/>
    </row>
    <row r="11" spans="1:29">
      <c r="A11" s="146"/>
      <c r="B11" s="149"/>
      <c r="C11" s="149"/>
      <c r="D11" s="147" t="s">
        <v>378</v>
      </c>
      <c r="E11" s="147"/>
      <c r="F11" s="229"/>
      <c r="G11" s="236" t="s">
        <v>379</v>
      </c>
      <c r="H11" s="243">
        <f t="shared" ca="1" si="1"/>
        <v>22.976859199438202</v>
      </c>
      <c r="I11" s="249">
        <f t="shared" ca="1" si="2"/>
        <v>8.1000000000000072E-2</v>
      </c>
      <c r="J11" s="105">
        <f t="shared" ca="1" si="2"/>
        <v>4.3834138486312457E-2</v>
      </c>
      <c r="K11" s="105">
        <f t="shared" ca="1" si="2"/>
        <v>2.8486102532427338E-2</v>
      </c>
      <c r="L11" s="105">
        <f t="shared" ca="1" si="2"/>
        <v>2.2641118124436477E-2</v>
      </c>
      <c r="M11" s="105">
        <f t="shared" ca="1" si="2"/>
        <v>2.5124742571344671E-2</v>
      </c>
      <c r="N11" s="105">
        <f t="shared" ca="1" si="2"/>
        <v>2.5992818155702424E-2</v>
      </c>
      <c r="O11" s="305">
        <f t="shared" ca="1" si="2"/>
        <v>2.4542600896860889E-2</v>
      </c>
      <c r="P11" s="563"/>
      <c r="Q11" s="121"/>
      <c r="R11" s="121"/>
      <c r="S11" s="133"/>
      <c r="T11" s="253" t="s">
        <v>380</v>
      </c>
      <c r="U11" s="312">
        <f t="shared" ca="1" si="3"/>
        <v>22.976859199438202</v>
      </c>
      <c r="V11" s="102">
        <f t="shared" ca="1" si="4"/>
        <v>23.984030027566881</v>
      </c>
      <c r="W11" s="102">
        <f t="shared" ca="1" si="4"/>
        <v>24.66724156607297</v>
      </c>
      <c r="X11" s="102">
        <f t="shared" ca="1" si="4"/>
        <v>25.22573549617444</v>
      </c>
      <c r="Y11" s="102">
        <f t="shared" ca="1" si="4"/>
        <v>25.859525606688656</v>
      </c>
      <c r="Z11" s="102">
        <f t="shared" ca="1" si="4"/>
        <v>26.531687553376042</v>
      </c>
      <c r="AA11" s="313">
        <f t="shared" ca="1" si="4"/>
        <v>27.182844172118763</v>
      </c>
      <c r="AB11" s="254"/>
      <c r="AC11" s="139"/>
    </row>
    <row r="12" spans="1:29">
      <c r="A12" s="146"/>
      <c r="B12" s="149"/>
      <c r="C12" s="149"/>
      <c r="D12" s="147" t="s">
        <v>378</v>
      </c>
      <c r="E12" s="147"/>
      <c r="F12" s="229"/>
      <c r="G12" s="236" t="s">
        <v>381</v>
      </c>
      <c r="H12" s="243">
        <f t="shared" ca="1" si="1"/>
        <v>19.060954773869348</v>
      </c>
      <c r="I12" s="249">
        <f t="shared" ca="1" si="2"/>
        <v>8.1000000000000072E-2</v>
      </c>
      <c r="J12" s="105">
        <f t="shared" ca="1" si="2"/>
        <v>4.3834138486312457E-2</v>
      </c>
      <c r="K12" s="105">
        <f t="shared" ca="1" si="2"/>
        <v>2.8486102532427338E-2</v>
      </c>
      <c r="L12" s="105">
        <f t="shared" ca="1" si="2"/>
        <v>2.2641118124436477E-2</v>
      </c>
      <c r="M12" s="105">
        <f t="shared" ca="1" si="2"/>
        <v>2.5124742571344671E-2</v>
      </c>
      <c r="N12" s="105">
        <f t="shared" ca="1" si="2"/>
        <v>2.5992818155702424E-2</v>
      </c>
      <c r="O12" s="305">
        <f t="shared" ca="1" si="2"/>
        <v>2.4542600896860889E-2</v>
      </c>
      <c r="P12" s="563"/>
      <c r="Q12" s="121"/>
      <c r="R12" s="121"/>
      <c r="S12" s="133"/>
      <c r="T12" s="253" t="s">
        <v>382</v>
      </c>
      <c r="U12" s="312">
        <f t="shared" ca="1" si="3"/>
        <v>19.060954773869348</v>
      </c>
      <c r="V12" s="102">
        <f t="shared" ca="1" si="4"/>
        <v>19.896475305108478</v>
      </c>
      <c r="W12" s="102">
        <f t="shared" ca="1" si="4"/>
        <v>20.463248340683709</v>
      </c>
      <c r="X12" s="102">
        <f t="shared" ca="1" si="4"/>
        <v>20.926559163574808</v>
      </c>
      <c r="Y12" s="102">
        <f t="shared" ca="1" si="4"/>
        <v>21.452333575463641</v>
      </c>
      <c r="Z12" s="102">
        <f t="shared" ca="1" si="4"/>
        <v>22.009940181106135</v>
      </c>
      <c r="AA12" s="313">
        <f t="shared" ca="1" si="4"/>
        <v>22.550121358734806</v>
      </c>
      <c r="AB12" s="254"/>
      <c r="AC12" s="139"/>
    </row>
    <row r="13" spans="1:29" ht="15.75" thickBot="1">
      <c r="A13" s="146"/>
      <c r="B13" s="149"/>
      <c r="C13" s="95"/>
      <c r="D13" s="95"/>
      <c r="E13" s="95"/>
      <c r="F13" s="230"/>
      <c r="G13" s="238" t="s">
        <v>383</v>
      </c>
      <c r="H13" s="460">
        <f t="shared" ca="1" si="1"/>
        <v>24.125702159410114</v>
      </c>
      <c r="I13" s="461"/>
      <c r="J13" s="462">
        <f ca="1">V13/U13-1</f>
        <v>4.3834138486312568E-2</v>
      </c>
      <c r="K13" s="462">
        <f ca="1">W13/V13-1</f>
        <v>2.8486102532427449E-2</v>
      </c>
      <c r="L13" s="462">
        <f ca="1">X13/W13-1</f>
        <v>2.2641118124436588E-2</v>
      </c>
      <c r="M13" s="462">
        <f ca="1">Y13/X13-1</f>
        <v>2.512474257134456E-2</v>
      </c>
      <c r="N13" s="462">
        <f t="shared" ref="N13:O13" ca="1" si="5">Z13/Y13-1</f>
        <v>2.5992818155702313E-2</v>
      </c>
      <c r="O13" s="463">
        <f t="shared" ca="1" si="5"/>
        <v>2.4542600896861E-2</v>
      </c>
      <c r="P13" s="564"/>
      <c r="Q13" s="121"/>
      <c r="R13" s="121"/>
      <c r="S13" s="133"/>
      <c r="T13" s="253" t="s">
        <v>384</v>
      </c>
      <c r="U13" s="324">
        <f ca="1">U11*1.05</f>
        <v>24.125702159410114</v>
      </c>
      <c r="V13" s="806">
        <f t="shared" ref="V13:AA13" ca="1" si="6">V11*1.05</f>
        <v>25.183231528945225</v>
      </c>
      <c r="W13" s="806">
        <f t="shared" ca="1" si="6"/>
        <v>25.90060364437662</v>
      </c>
      <c r="X13" s="806">
        <f t="shared" ca="1" si="6"/>
        <v>26.487022270983164</v>
      </c>
      <c r="Y13" s="806">
        <f t="shared" ca="1" si="6"/>
        <v>27.152501887023089</v>
      </c>
      <c r="Z13" s="806">
        <f t="shared" ca="1" si="6"/>
        <v>27.858271931044843</v>
      </c>
      <c r="AA13" s="807">
        <f t="shared" ca="1" si="6"/>
        <v>28.541986380724701</v>
      </c>
      <c r="AB13" s="254"/>
      <c r="AC13" s="139"/>
    </row>
    <row r="14" spans="1:29" ht="15" hidden="1" customHeight="1" outlineLevel="1">
      <c r="A14" s="146"/>
      <c r="B14" s="149"/>
      <c r="C14" s="95"/>
      <c r="D14" s="95"/>
      <c r="E14" s="95"/>
      <c r="F14" s="230"/>
      <c r="G14" s="459"/>
      <c r="H14" s="124"/>
      <c r="I14" s="123"/>
      <c r="J14" s="123"/>
      <c r="K14" s="123"/>
      <c r="L14" s="123"/>
      <c r="M14" s="123"/>
      <c r="N14" s="123"/>
      <c r="O14" s="123"/>
      <c r="P14" s="123"/>
      <c r="Q14" s="121"/>
      <c r="R14" s="121"/>
      <c r="S14" s="135"/>
      <c r="T14" s="135"/>
      <c r="U14" s="124"/>
      <c r="V14" s="124"/>
      <c r="W14" s="124"/>
      <c r="X14" s="124"/>
      <c r="Y14" s="124"/>
      <c r="Z14" s="124"/>
      <c r="AA14" s="124"/>
      <c r="AB14" s="254"/>
      <c r="AC14" s="139"/>
    </row>
    <row r="15" spans="1:29" ht="15" hidden="1" customHeight="1" outlineLevel="1">
      <c r="A15" s="150"/>
      <c r="B15" s="150"/>
      <c r="C15" s="74"/>
      <c r="D15" s="74"/>
      <c r="E15" s="74"/>
      <c r="F15" s="93"/>
      <c r="G15" s="84"/>
      <c r="H15" s="77"/>
      <c r="I15" s="136"/>
      <c r="J15" s="136"/>
      <c r="K15" s="136"/>
      <c r="L15" s="136"/>
      <c r="M15" s="136"/>
      <c r="N15" s="136"/>
      <c r="O15" s="136"/>
      <c r="P15" s="136"/>
      <c r="Q15" s="487"/>
      <c r="R15" s="487"/>
      <c r="S15" s="98"/>
      <c r="T15" s="98"/>
      <c r="U15" s="77"/>
      <c r="V15" s="77"/>
      <c r="W15" s="77"/>
      <c r="X15" s="77"/>
      <c r="Y15" s="77"/>
      <c r="Z15" s="77"/>
      <c r="AA15" s="77"/>
      <c r="AB15" s="255"/>
      <c r="AC15" s="139"/>
    </row>
    <row r="16" spans="1:29" ht="15.75" hidden="1" customHeight="1" outlineLevel="1" thickBot="1">
      <c r="A16" s="150"/>
      <c r="B16" s="151" t="s">
        <v>385</v>
      </c>
      <c r="C16" s="74"/>
      <c r="D16" s="150"/>
      <c r="E16" s="150"/>
      <c r="F16" s="231"/>
      <c r="G16" s="457"/>
      <c r="H16" s="458"/>
      <c r="I16" s="458"/>
      <c r="J16" s="458"/>
      <c r="K16" s="458"/>
      <c r="L16" s="458"/>
      <c r="M16" s="458"/>
      <c r="N16" s="458"/>
      <c r="O16" s="458"/>
      <c r="P16" s="458"/>
      <c r="Q16" s="488"/>
      <c r="R16" s="488"/>
      <c r="S16" s="137" t="s">
        <v>385</v>
      </c>
      <c r="T16" s="99" t="s">
        <v>386</v>
      </c>
      <c r="U16" s="105">
        <f ca="1">INDEX(INDIRECT($S$16 &amp; $S$17), MATCH($T16, INDIRECT($S$16 &amp; $S$18), 0), MATCH(U$4, INDIRECT($S$16 &amp; $S$19), 0))</f>
        <v>3.4000000000000002E-2</v>
      </c>
      <c r="V16" s="105">
        <f t="shared" ref="V16:AA16" ca="1" si="7">INDEX(INDIRECT($S$16 &amp; $S$17), MATCH($T16, INDIRECT($S$16 &amp; $S$18), 0), MATCH(V$4, INDIRECT($S$16 &amp; $S$19), 0))</f>
        <v>3.4000000000000002E-2</v>
      </c>
      <c r="W16" s="105">
        <f t="shared" ca="1" si="7"/>
        <v>3.4000000000000002E-2</v>
      </c>
      <c r="X16" s="105">
        <f t="shared" ca="1" si="7"/>
        <v>3.4000000000000002E-2</v>
      </c>
      <c r="Y16" s="105">
        <f t="shared" ca="1" si="7"/>
        <v>3.4000000000000002E-2</v>
      </c>
      <c r="Z16" s="105">
        <f t="shared" ca="1" si="7"/>
        <v>3.4000000000000002E-2</v>
      </c>
      <c r="AA16" s="105">
        <f t="shared" ca="1" si="7"/>
        <v>3.4000000000000002E-2</v>
      </c>
      <c r="AB16" s="255"/>
      <c r="AC16" s="139"/>
    </row>
    <row r="17" spans="1:30" collapsed="1">
      <c r="A17" s="150"/>
      <c r="B17" s="151" t="s">
        <v>387</v>
      </c>
      <c r="C17" s="74"/>
      <c r="D17" s="152" t="s">
        <v>388</v>
      </c>
      <c r="E17" s="152"/>
      <c r="F17" s="232"/>
      <c r="G17" s="235" t="s">
        <v>389</v>
      </c>
      <c r="H17" s="235" t="s">
        <v>389</v>
      </c>
      <c r="I17" s="259">
        <f ca="1">INDEX(INDIRECT($B$16 &amp; $B$17), MATCH($D17, INDIRECT($B$16 &amp; $B$18), 0), MATCH(I$4, INDIRECT($B$16 &amp; $B$19), 0))</f>
        <v>18828</v>
      </c>
      <c r="J17" s="279"/>
      <c r="K17" s="279"/>
      <c r="L17" s="279"/>
      <c r="M17" s="279"/>
      <c r="N17" s="279"/>
      <c r="O17" s="308"/>
      <c r="P17" s="241"/>
      <c r="Q17" s="489"/>
      <c r="R17" s="489"/>
      <c r="S17" s="137" t="s">
        <v>390</v>
      </c>
      <c r="T17" s="125"/>
      <c r="U17" s="23">
        <f ca="1">I17</f>
        <v>18828</v>
      </c>
      <c r="V17" s="23">
        <f t="shared" ref="V17:AA17" ca="1" si="8">U17*(1+V16)</f>
        <v>19468.152000000002</v>
      </c>
      <c r="W17" s="23">
        <f t="shared" ca="1" si="8"/>
        <v>20130.069168000002</v>
      </c>
      <c r="X17" s="23">
        <f t="shared" ca="1" si="8"/>
        <v>20814.491519712003</v>
      </c>
      <c r="Y17" s="23">
        <f t="shared" ca="1" si="8"/>
        <v>21522.184231382213</v>
      </c>
      <c r="Z17" s="23">
        <f t="shared" ca="1" si="8"/>
        <v>22253.938495249207</v>
      </c>
      <c r="AA17" s="23">
        <f t="shared" ca="1" si="8"/>
        <v>23010.572404087681</v>
      </c>
      <c r="AB17" s="255"/>
      <c r="AC17" s="139"/>
    </row>
    <row r="18" spans="1:30" s="63" customFormat="1">
      <c r="A18" s="150"/>
      <c r="B18" s="151" t="s">
        <v>391</v>
      </c>
      <c r="C18" s="74"/>
      <c r="D18" s="74" t="s">
        <v>392</v>
      </c>
      <c r="E18" s="74"/>
      <c r="F18" s="93"/>
      <c r="G18" s="237" t="s">
        <v>393</v>
      </c>
      <c r="H18" s="237" t="s">
        <v>393</v>
      </c>
      <c r="I18" s="249">
        <f ca="1">INDEX(INDIRECT($B$16 &amp; $B$17), MATCH($D18, INDIRECT($B$16 &amp; $B$18), 0), MATCH(I$4, INDIRECT($B$16 &amp; $B$19), 0))</f>
        <v>0.34320000000000001</v>
      </c>
      <c r="J18" s="105">
        <f t="shared" ref="J18:O19" ca="1" si="9">INDEX(INDIRECT($B$16 &amp; $B$17), MATCH($D18, INDIRECT($B$16 &amp; $B$18), 0), MATCH(J$4, INDIRECT($B$16 &amp; $B$19), 0))</f>
        <v>0.35339999999999999</v>
      </c>
      <c r="K18" s="105">
        <f t="shared" ca="1" si="9"/>
        <v>0.35339999999999999</v>
      </c>
      <c r="L18" s="105">
        <f t="shared" ca="1" si="9"/>
        <v>0.35010000000000002</v>
      </c>
      <c r="M18" s="105">
        <f t="shared" ca="1" si="9"/>
        <v>0.35010000000000002</v>
      </c>
      <c r="N18" s="105">
        <f t="shared" ca="1" si="9"/>
        <v>0.35010000000000002</v>
      </c>
      <c r="O18" s="305">
        <f t="shared" ca="1" si="9"/>
        <v>0.35010000000000002</v>
      </c>
      <c r="P18" s="565"/>
      <c r="Q18" s="490"/>
      <c r="R18" s="490"/>
      <c r="S18" s="137" t="s">
        <v>394</v>
      </c>
      <c r="T18" s="126"/>
      <c r="U18" s="105">
        <f ca="1">I18</f>
        <v>0.34320000000000001</v>
      </c>
      <c r="V18" s="105">
        <f t="shared" ref="V18:AA19" ca="1" si="10">J18</f>
        <v>0.35339999999999999</v>
      </c>
      <c r="W18" s="105">
        <f t="shared" ca="1" si="10"/>
        <v>0.35339999999999999</v>
      </c>
      <c r="X18" s="105">
        <f t="shared" ca="1" si="10"/>
        <v>0.35010000000000002</v>
      </c>
      <c r="Y18" s="105">
        <f t="shared" ca="1" si="10"/>
        <v>0.35010000000000002</v>
      </c>
      <c r="Z18" s="105">
        <f t="shared" ca="1" si="10"/>
        <v>0.35010000000000002</v>
      </c>
      <c r="AA18" s="105">
        <f t="shared" ca="1" si="10"/>
        <v>0.35010000000000002</v>
      </c>
      <c r="AB18" s="256"/>
      <c r="AC18" s="139"/>
      <c r="AD18"/>
    </row>
    <row r="19" spans="1:30" ht="15.75" thickBot="1">
      <c r="A19" s="150"/>
      <c r="B19" s="151" t="s">
        <v>395</v>
      </c>
      <c r="C19" s="74"/>
      <c r="D19" s="74" t="s">
        <v>396</v>
      </c>
      <c r="E19" s="74"/>
      <c r="F19" s="93"/>
      <c r="G19" s="238" t="s">
        <v>397</v>
      </c>
      <c r="H19" s="238" t="s">
        <v>397</v>
      </c>
      <c r="I19" s="252">
        <f ca="1">INDEX(INDIRECT($B$16 &amp; $B$17), MATCH($D19, INDIRECT($B$16 &amp; $B$18), 0), MATCH(I$4, INDIRECT($B$16 &amp; $B$19), 0))</f>
        <v>420</v>
      </c>
      <c r="J19" s="65">
        <f t="shared" ca="1" si="9"/>
        <v>420</v>
      </c>
      <c r="K19" s="65">
        <f t="shared" ca="1" si="9"/>
        <v>420</v>
      </c>
      <c r="L19" s="65">
        <f t="shared" ca="1" si="9"/>
        <v>420</v>
      </c>
      <c r="M19" s="65">
        <f t="shared" ca="1" si="9"/>
        <v>420</v>
      </c>
      <c r="N19" s="65">
        <f t="shared" ca="1" si="9"/>
        <v>420</v>
      </c>
      <c r="O19" s="307">
        <f t="shared" ca="1" si="9"/>
        <v>420</v>
      </c>
      <c r="P19" s="566"/>
      <c r="Q19" s="489"/>
      <c r="R19" s="489"/>
      <c r="S19" s="137" t="s">
        <v>395</v>
      </c>
      <c r="T19" s="127"/>
      <c r="U19" s="23">
        <f ca="1">I19</f>
        <v>420</v>
      </c>
      <c r="V19" s="23">
        <f t="shared" ca="1" si="10"/>
        <v>420</v>
      </c>
      <c r="W19" s="23">
        <f t="shared" ca="1" si="10"/>
        <v>420</v>
      </c>
      <c r="X19" s="23">
        <f t="shared" ca="1" si="10"/>
        <v>420</v>
      </c>
      <c r="Y19" s="23">
        <f t="shared" ca="1" si="10"/>
        <v>420</v>
      </c>
      <c r="Z19" s="23">
        <f t="shared" ca="1" si="10"/>
        <v>420</v>
      </c>
      <c r="AA19" s="23">
        <f t="shared" ca="1" si="10"/>
        <v>420</v>
      </c>
      <c r="AB19" s="255"/>
      <c r="AC19" s="139"/>
    </row>
    <row r="20" spans="1:30" ht="15" hidden="1" customHeight="1" outlineLevel="1">
      <c r="A20" s="150"/>
      <c r="B20" s="150"/>
      <c r="C20" s="74"/>
      <c r="D20" s="74"/>
      <c r="E20" s="74"/>
      <c r="F20" s="74"/>
      <c r="G20" s="234"/>
      <c r="H20" s="240"/>
      <c r="I20" s="245"/>
      <c r="J20" s="245"/>
      <c r="K20" s="245"/>
      <c r="L20" s="245"/>
      <c r="M20" s="245"/>
      <c r="N20" s="245"/>
      <c r="O20" s="245"/>
      <c r="P20" s="245"/>
      <c r="Q20" s="489"/>
      <c r="R20" s="489"/>
      <c r="S20" s="127"/>
      <c r="T20" s="127"/>
      <c r="U20" s="138"/>
      <c r="V20" s="138"/>
      <c r="W20" s="138"/>
      <c r="X20" s="138"/>
      <c r="Y20" s="138"/>
      <c r="Z20" s="138"/>
      <c r="AA20" s="138"/>
      <c r="AB20" s="255"/>
      <c r="AC20" s="139"/>
    </row>
    <row r="21" spans="1:30" ht="15" hidden="1" customHeight="1" outlineLevel="1">
      <c r="A21" s="162"/>
      <c r="B21" s="161"/>
      <c r="C21" s="162"/>
      <c r="D21" s="162"/>
      <c r="E21" s="162"/>
      <c r="F21" s="162"/>
      <c r="G21" s="163"/>
      <c r="H21" s="164"/>
      <c r="I21" s="165"/>
      <c r="J21" s="165"/>
      <c r="K21" s="165"/>
      <c r="L21" s="165"/>
      <c r="M21" s="165"/>
      <c r="N21" s="165"/>
      <c r="O21" s="165"/>
      <c r="P21" s="165"/>
      <c r="Q21" s="491"/>
      <c r="R21" s="491"/>
      <c r="S21" s="166"/>
      <c r="T21" s="166"/>
      <c r="U21" s="165"/>
      <c r="V21" s="165"/>
      <c r="W21" s="165"/>
      <c r="X21" s="165"/>
      <c r="Y21" s="165"/>
      <c r="Z21" s="165"/>
      <c r="AA21" s="165"/>
      <c r="AB21" s="264"/>
      <c r="AC21" s="139"/>
    </row>
    <row r="22" spans="1:30" ht="15.75" hidden="1" customHeight="1" outlineLevel="1" thickBot="1">
      <c r="A22" s="162"/>
      <c r="B22" s="161"/>
      <c r="C22" s="162"/>
      <c r="D22" s="162"/>
      <c r="E22" s="162"/>
      <c r="F22" s="162"/>
      <c r="G22" s="267"/>
      <c r="H22" s="269"/>
      <c r="I22" s="276"/>
      <c r="J22" s="276"/>
      <c r="K22" s="276"/>
      <c r="L22" s="276"/>
      <c r="M22" s="276"/>
      <c r="N22" s="276"/>
      <c r="O22" s="276"/>
      <c r="P22" s="276"/>
      <c r="Q22" s="491"/>
      <c r="R22" s="491"/>
      <c r="S22" s="167" t="s">
        <v>385</v>
      </c>
      <c r="T22" s="166" t="s">
        <v>44</v>
      </c>
      <c r="U22" s="265">
        <f t="shared" ref="U22:AA22" ca="1" si="11">INDEX(INDIRECT($S$22 &amp; $S$23), MATCH($T22, INDIRECT($S$22 &amp; $S$24), 0), MATCH(U$4, INDIRECT($S$22 &amp; $S$25), 0))</f>
        <v>5.4000000000000003E-3</v>
      </c>
      <c r="V22" s="265">
        <f t="shared" ca="1" si="11"/>
        <v>6.6E-3</v>
      </c>
      <c r="W22" s="265">
        <f t="shared" ca="1" si="11"/>
        <v>6.6E-3</v>
      </c>
      <c r="X22" s="265">
        <f t="shared" ca="1" si="11"/>
        <v>6.6E-3</v>
      </c>
      <c r="Y22" s="265">
        <f t="shared" ca="1" si="11"/>
        <v>6.6E-3</v>
      </c>
      <c r="Z22" s="265">
        <f t="shared" ca="1" si="11"/>
        <v>6.6E-3</v>
      </c>
      <c r="AA22" s="265">
        <f t="shared" ca="1" si="11"/>
        <v>6.6E-3</v>
      </c>
      <c r="AB22" s="264"/>
      <c r="AC22" s="139"/>
    </row>
    <row r="23" spans="1:30" collapsed="1">
      <c r="A23" s="162"/>
      <c r="B23" s="168" t="s">
        <v>398</v>
      </c>
      <c r="C23" s="162" t="s">
        <v>260</v>
      </c>
      <c r="D23" s="162" t="s">
        <v>203</v>
      </c>
      <c r="E23" s="169">
        <f>IF(LEFT($F$3)="E", (1/6)*$H$2,0)</f>
        <v>60</v>
      </c>
      <c r="F23" s="266">
        <f>IF(LEFT($G$3, 1)="E", 1, 0)</f>
        <v>1</v>
      </c>
      <c r="G23" s="1218" t="s">
        <v>399</v>
      </c>
      <c r="H23" s="884" t="s">
        <v>400</v>
      </c>
      <c r="I23" s="96">
        <f ca="1">CEILING($F23*IF(VLOOKUP($C23,INDIRECT($B$23 &amp; $B$24), MATCH(I$4,INDIRECT($B$23 &amp; $B$25),0)+6, 0)="Y",$E23/VLOOKUP($D23,INDIRECT($B$23 &amp; $B$24), MATCH(I$4,INDIRECT($B$23 &amp; $B$25),0)+6, 0),(0.5*$E23)/VLOOKUP($D23,INDIRECT($B$23 &amp; $B$24), MATCH(I$4,INDIRECT($B$23 &amp; $B$25),0)+6, 0)), $F23)</f>
        <v>3</v>
      </c>
      <c r="J23" s="96">
        <f t="shared" ref="J23:O26" ca="1" si="12">CEILING($F23*IF(VLOOKUP($C23,INDIRECT($B$23 &amp; $B$24), MATCH(J$4,INDIRECT($B$23 &amp; $B$25),0)+6, 0)="Y",$E23/VLOOKUP($D23,INDIRECT($B$23 &amp; $B$24), MATCH(J$4,INDIRECT($B$23 &amp; $B$25),0)+6, 0),(0.5*$E23)/VLOOKUP($D23,INDIRECT($B$23 &amp; $B$24), MATCH(J$4,INDIRECT($B$23 &amp; $B$25),0)+6, 0)), $F23)</f>
        <v>3</v>
      </c>
      <c r="K23" s="96">
        <f t="shared" ca="1" si="12"/>
        <v>3</v>
      </c>
      <c r="L23" s="96">
        <f t="shared" ca="1" si="12"/>
        <v>3</v>
      </c>
      <c r="M23" s="96">
        <f t="shared" ca="1" si="12"/>
        <v>3</v>
      </c>
      <c r="N23" s="96">
        <f t="shared" ca="1" si="12"/>
        <v>3</v>
      </c>
      <c r="O23" s="96">
        <f t="shared" ca="1" si="12"/>
        <v>3</v>
      </c>
      <c r="P23" s="885"/>
      <c r="Q23" s="491"/>
      <c r="R23" s="491"/>
      <c r="S23" s="167" t="s">
        <v>390</v>
      </c>
      <c r="T23" s="262"/>
      <c r="U23" s="259">
        <f t="shared" ref="U23:U32" ca="1" si="13">((U$7*(1+U$18))+U$17+U$19)*I23</f>
        <v>353113.68</v>
      </c>
      <c r="V23" s="260">
        <f t="shared" ref="V23:V32" ca="1" si="14">((V$7*(1+V$18))+V$17+V$19)*J23</f>
        <v>372953.97594515543</v>
      </c>
      <c r="W23" s="260">
        <f t="shared" ref="W23:W32" ca="1" si="15">((W$7*(1+W$18))+W$17+W$19)*K23</f>
        <v>384906.46286836971</v>
      </c>
      <c r="X23" s="260">
        <f t="shared" ref="X23:X32" ca="1" si="16">((X$7*(1+X$18))+X$17+X$19)*L23</f>
        <v>402609.42325186986</v>
      </c>
      <c r="Y23" s="260">
        <f t="shared" ref="Y23:Y32" ca="1" si="17">((Y$7*(1+Y$18))+Y$17+Y$19)*M23</f>
        <v>416255.91930483183</v>
      </c>
      <c r="Z23" s="260">
        <f t="shared" ref="Z23:Z32" ca="1" si="18">((Z$7*(1+Z$18))+Z$17+Z$19)*N23</f>
        <v>430675.32103364798</v>
      </c>
      <c r="AA23" s="261">
        <f t="shared" ref="AA23:AA32" ca="1" si="19">((AA$7*(1+AA$18))+AA$17+AA$19)*O23</f>
        <v>445918.68764283427</v>
      </c>
      <c r="AB23" s="264"/>
      <c r="AC23" s="139">
        <v>1</v>
      </c>
    </row>
    <row r="24" spans="1:30">
      <c r="A24" s="162"/>
      <c r="B24" s="162" t="s">
        <v>401</v>
      </c>
      <c r="C24" s="162" t="s">
        <v>260</v>
      </c>
      <c r="D24" s="162" t="s">
        <v>205</v>
      </c>
      <c r="E24" s="169">
        <f>IF(LEFT($F$3)="E", (1/6)*$H$2, 0)</f>
        <v>60</v>
      </c>
      <c r="F24" s="266">
        <f>IF(LEFT($G$3, 1)="E", 1, 0)</f>
        <v>1</v>
      </c>
      <c r="G24" s="1219"/>
      <c r="H24" s="634" t="s">
        <v>402</v>
      </c>
      <c r="I24" s="96">
        <f ca="1">CEILING($F24*IF(VLOOKUP($C24,INDIRECT($B$23 &amp; $B$24), MATCH(I$4,INDIRECT($B$23 &amp; $B$25),0)+6, 0)="Y",$E24/VLOOKUP($D24,INDIRECT($B$23 &amp; $B$24), MATCH(I$4,INDIRECT($B$23 &amp; $B$25),0)+6, 0),(0.5*$E24)/VLOOKUP($D24,INDIRECT($B$23 &amp; $B$24), MATCH(I$4,INDIRECT($B$23 &amp; $B$25),0)+6, 0)), $F24)</f>
        <v>3</v>
      </c>
      <c r="J24" s="96">
        <f t="shared" ca="1" si="12"/>
        <v>3</v>
      </c>
      <c r="K24" s="96">
        <f t="shared" ca="1" si="12"/>
        <v>3</v>
      </c>
      <c r="L24" s="96">
        <f t="shared" ca="1" si="12"/>
        <v>3</v>
      </c>
      <c r="M24" s="96">
        <f t="shared" ca="1" si="12"/>
        <v>3</v>
      </c>
      <c r="N24" s="96">
        <f t="shared" ca="1" si="12"/>
        <v>3</v>
      </c>
      <c r="O24" s="96">
        <f t="shared" ca="1" si="12"/>
        <v>3</v>
      </c>
      <c r="P24" s="886"/>
      <c r="Q24" s="491"/>
      <c r="R24" s="491"/>
      <c r="S24" s="165" t="s">
        <v>394</v>
      </c>
      <c r="T24" s="263"/>
      <c r="U24" s="67">
        <f t="shared" ca="1" si="13"/>
        <v>353113.68</v>
      </c>
      <c r="V24" s="23">
        <f t="shared" ca="1" si="14"/>
        <v>372953.97594515543</v>
      </c>
      <c r="W24" s="23">
        <f t="shared" ca="1" si="15"/>
        <v>384906.46286836971</v>
      </c>
      <c r="X24" s="23">
        <f t="shared" ca="1" si="16"/>
        <v>402609.42325186986</v>
      </c>
      <c r="Y24" s="23">
        <f t="shared" ca="1" si="17"/>
        <v>416255.91930483183</v>
      </c>
      <c r="Z24" s="23">
        <f t="shared" ca="1" si="18"/>
        <v>430675.32103364798</v>
      </c>
      <c r="AA24" s="24">
        <f t="shared" ca="1" si="19"/>
        <v>445918.68764283427</v>
      </c>
      <c r="AB24" s="264"/>
      <c r="AC24" s="139">
        <v>1</v>
      </c>
    </row>
    <row r="25" spans="1:30">
      <c r="A25" s="162"/>
      <c r="B25" s="162" t="s">
        <v>403</v>
      </c>
      <c r="C25" s="162" t="s">
        <v>260</v>
      </c>
      <c r="D25" s="162" t="s">
        <v>264</v>
      </c>
      <c r="E25" s="169">
        <f>IF(LEFT($F$3)="E", (2/6)*$H$2,0)</f>
        <v>120</v>
      </c>
      <c r="F25" s="266">
        <f>IF(LEFT($G$3, 1)="E", 1, 0)</f>
        <v>1</v>
      </c>
      <c r="G25" s="1219"/>
      <c r="H25" s="634" t="s">
        <v>404</v>
      </c>
      <c r="I25" s="96">
        <f ca="1">CEILING($F25*IF(VLOOKUP($C25,INDIRECT($B$23 &amp; $B$24), MATCH(I$4,INDIRECT($B$23 &amp; $B$25),0)+6, 0)="Y",$E25/VLOOKUP($D25,INDIRECT($B$23 &amp; $B$24), MATCH(I$4,INDIRECT($B$23 &amp; $B$25),0)+6, 0),(0.5*$E25)/VLOOKUP($D25,INDIRECT($B$23 &amp; $B$24), MATCH(I$4,INDIRECT($B$23 &amp; $B$25),0)+6, 0)), $F25)</f>
        <v>6</v>
      </c>
      <c r="J25" s="96">
        <f t="shared" ca="1" si="12"/>
        <v>6</v>
      </c>
      <c r="K25" s="96">
        <f t="shared" ca="1" si="12"/>
        <v>6</v>
      </c>
      <c r="L25" s="96">
        <f t="shared" ca="1" si="12"/>
        <v>6</v>
      </c>
      <c r="M25" s="96">
        <f t="shared" ca="1" si="12"/>
        <v>6</v>
      </c>
      <c r="N25" s="96">
        <f t="shared" ca="1" si="12"/>
        <v>6</v>
      </c>
      <c r="O25" s="96">
        <f t="shared" ca="1" si="12"/>
        <v>6</v>
      </c>
      <c r="P25" s="886"/>
      <c r="Q25" s="491"/>
      <c r="R25" s="491"/>
      <c r="S25" s="167" t="s">
        <v>395</v>
      </c>
      <c r="T25" s="263"/>
      <c r="U25" s="67">
        <f t="shared" ca="1" si="13"/>
        <v>706227.36</v>
      </c>
      <c r="V25" s="23">
        <f t="shared" ca="1" si="14"/>
        <v>745907.95189031085</v>
      </c>
      <c r="W25" s="23">
        <f t="shared" ca="1" si="15"/>
        <v>769812.92573673942</v>
      </c>
      <c r="X25" s="23">
        <f t="shared" ca="1" si="16"/>
        <v>805218.84650373971</v>
      </c>
      <c r="Y25" s="23">
        <f t="shared" ca="1" si="17"/>
        <v>832511.83860966365</v>
      </c>
      <c r="Z25" s="23">
        <f t="shared" ca="1" si="18"/>
        <v>861350.64206729596</v>
      </c>
      <c r="AA25" s="24">
        <f t="shared" ca="1" si="19"/>
        <v>891837.37528566853</v>
      </c>
      <c r="AB25" s="264"/>
      <c r="AC25" s="139">
        <v>1</v>
      </c>
    </row>
    <row r="26" spans="1:30">
      <c r="A26" s="162"/>
      <c r="B26" s="162"/>
      <c r="C26" s="162" t="s">
        <v>260</v>
      </c>
      <c r="D26" s="162" t="s">
        <v>266</v>
      </c>
      <c r="E26" s="169">
        <f>IF(LEFT($F$3)="E", (2/6)*$H$2, 0)</f>
        <v>120</v>
      </c>
      <c r="F26" s="266">
        <f>IF(LEFT($G$3, 1)="E", 1, 0)</f>
        <v>1</v>
      </c>
      <c r="G26" s="1219"/>
      <c r="H26" s="634" t="s">
        <v>405</v>
      </c>
      <c r="I26" s="96">
        <f ca="1">CEILING($F26*IF(VLOOKUP($C26,INDIRECT($B$23 &amp; $B$24), MATCH(I$4,INDIRECT($B$23 &amp; $B$25),0)+6, 0)="Y",$E26/VLOOKUP($D26,INDIRECT($B$23 &amp; $B$24), MATCH(I$4,INDIRECT($B$23 &amp; $B$25),0)+6, 0),(0.5*$E26)/VLOOKUP($D26,INDIRECT($B$23 &amp; $B$24), MATCH(I$4,INDIRECT($B$23 &amp; $B$25),0)+6, 0)), $F26)</f>
        <v>6</v>
      </c>
      <c r="J26" s="96">
        <f t="shared" ca="1" si="12"/>
        <v>6</v>
      </c>
      <c r="K26" s="96">
        <f t="shared" ca="1" si="12"/>
        <v>6</v>
      </c>
      <c r="L26" s="96">
        <f t="shared" ca="1" si="12"/>
        <v>6</v>
      </c>
      <c r="M26" s="96">
        <f t="shared" ca="1" si="12"/>
        <v>6</v>
      </c>
      <c r="N26" s="96">
        <f t="shared" ca="1" si="12"/>
        <v>6</v>
      </c>
      <c r="O26" s="96">
        <f t="shared" ca="1" si="12"/>
        <v>6</v>
      </c>
      <c r="P26" s="886"/>
      <c r="Q26" s="491"/>
      <c r="R26" s="491"/>
      <c r="S26" s="491"/>
      <c r="T26" s="263"/>
      <c r="U26" s="67">
        <f t="shared" ca="1" si="13"/>
        <v>706227.36</v>
      </c>
      <c r="V26" s="23">
        <f t="shared" ca="1" si="14"/>
        <v>745907.95189031085</v>
      </c>
      <c r="W26" s="23">
        <f t="shared" ca="1" si="15"/>
        <v>769812.92573673942</v>
      </c>
      <c r="X26" s="23">
        <f t="shared" ca="1" si="16"/>
        <v>805218.84650373971</v>
      </c>
      <c r="Y26" s="23">
        <f t="shared" ca="1" si="17"/>
        <v>832511.83860966365</v>
      </c>
      <c r="Z26" s="23">
        <f t="shared" ca="1" si="18"/>
        <v>861350.64206729596</v>
      </c>
      <c r="AA26" s="24">
        <f t="shared" ca="1" si="19"/>
        <v>891837.37528566853</v>
      </c>
      <c r="AB26" s="264"/>
      <c r="AC26" s="139">
        <v>1</v>
      </c>
    </row>
    <row r="27" spans="1:30" ht="15.75" thickBot="1">
      <c r="A27" s="162"/>
      <c r="B27" s="162"/>
      <c r="C27" s="162" t="s">
        <v>260</v>
      </c>
      <c r="D27" s="162" t="str">
        <f>LEFT($G$3,1) &amp; "S_ProgramStaff"</f>
        <v>ES_ProgramStaff</v>
      </c>
      <c r="E27" s="162"/>
      <c r="F27" s="266">
        <f>IF(LEFT($G$3, 1)="E", 1, 0)</f>
        <v>1</v>
      </c>
      <c r="G27" s="1219"/>
      <c r="H27" s="273" t="s">
        <v>406</v>
      </c>
      <c r="I27" s="282">
        <f t="shared" ref="I27:O27" ca="1" si="20">$F27*VLOOKUP($D27,INDIRECT($B$23 &amp; $B$24), MATCH(I$4,INDIRECT($B$23 &amp; $B$25),0)+6, 0)</f>
        <v>3</v>
      </c>
      <c r="J27" s="221">
        <f t="shared" ca="1" si="20"/>
        <v>3</v>
      </c>
      <c r="K27" s="221">
        <f t="shared" ca="1" si="20"/>
        <v>3</v>
      </c>
      <c r="L27" s="221">
        <f t="shared" ca="1" si="20"/>
        <v>4.5</v>
      </c>
      <c r="M27" s="221">
        <f t="shared" ca="1" si="20"/>
        <v>4.5</v>
      </c>
      <c r="N27" s="221">
        <f t="shared" ca="1" si="20"/>
        <v>3</v>
      </c>
      <c r="O27" s="309">
        <f t="shared" ca="1" si="20"/>
        <v>3</v>
      </c>
      <c r="P27" s="569"/>
      <c r="Q27" s="491"/>
      <c r="R27" s="491"/>
      <c r="S27" s="173"/>
      <c r="T27" s="263"/>
      <c r="U27" s="252">
        <f t="shared" ca="1" si="13"/>
        <v>353113.68</v>
      </c>
      <c r="V27" s="65">
        <f t="shared" ca="1" si="14"/>
        <v>372953.97594515543</v>
      </c>
      <c r="W27" s="65">
        <f t="shared" ca="1" si="15"/>
        <v>384906.46286836971</v>
      </c>
      <c r="X27" s="65">
        <f t="shared" ca="1" si="16"/>
        <v>603914.13487780478</v>
      </c>
      <c r="Y27" s="65">
        <f t="shared" ca="1" si="17"/>
        <v>624383.87895724771</v>
      </c>
      <c r="Z27" s="65">
        <f t="shared" ca="1" si="18"/>
        <v>430675.32103364798</v>
      </c>
      <c r="AA27" s="68">
        <f t="shared" ca="1" si="19"/>
        <v>445918.68764283427</v>
      </c>
      <c r="AB27" s="264"/>
      <c r="AC27" s="139">
        <v>1</v>
      </c>
    </row>
    <row r="28" spans="1:30">
      <c r="A28" s="162"/>
      <c r="B28" s="162"/>
      <c r="C28" s="162"/>
      <c r="D28" s="170" t="str">
        <f>LEFT($G$3,1) &amp; "S_CoreStaff"</f>
        <v>ES_CoreStaff</v>
      </c>
      <c r="E28" s="162"/>
      <c r="F28" s="266">
        <f>IF(LEFT($G$3, 1)="E", 0, 1)</f>
        <v>0</v>
      </c>
      <c r="G28" s="1219"/>
      <c r="H28" s="274" t="s">
        <v>407</v>
      </c>
      <c r="I28" s="284">
        <f t="shared" ref="I28:O28" ca="1" si="21">IFERROR($F28*VLOOKUP($D28,INDIRECT($B$23 &amp; $B$24), MATCH(I$4,INDIRECT($B$23 &amp; $B$25),0)+6, 0),0)</f>
        <v>0</v>
      </c>
      <c r="J28" s="220">
        <f t="shared" ca="1" si="21"/>
        <v>0</v>
      </c>
      <c r="K28" s="220">
        <f t="shared" ca="1" si="21"/>
        <v>0</v>
      </c>
      <c r="L28" s="220">
        <f t="shared" ca="1" si="21"/>
        <v>0</v>
      </c>
      <c r="M28" s="220">
        <f t="shared" ca="1" si="21"/>
        <v>0</v>
      </c>
      <c r="N28" s="220">
        <f t="shared" ca="1" si="21"/>
        <v>0</v>
      </c>
      <c r="O28" s="285">
        <f t="shared" ca="1" si="21"/>
        <v>0</v>
      </c>
      <c r="P28" s="567"/>
      <c r="Q28" s="491"/>
      <c r="R28" s="491"/>
      <c r="S28" s="173"/>
      <c r="T28" s="263"/>
      <c r="U28" s="69">
        <f t="shared" ca="1" si="13"/>
        <v>0</v>
      </c>
      <c r="V28" s="70">
        <f t="shared" ca="1" si="14"/>
        <v>0</v>
      </c>
      <c r="W28" s="70">
        <f t="shared" ca="1" si="15"/>
        <v>0</v>
      </c>
      <c r="X28" s="70">
        <f t="shared" ca="1" si="16"/>
        <v>0</v>
      </c>
      <c r="Y28" s="70">
        <f t="shared" ca="1" si="17"/>
        <v>0</v>
      </c>
      <c r="Z28" s="70">
        <f t="shared" ca="1" si="18"/>
        <v>0</v>
      </c>
      <c r="AA28" s="71">
        <f t="shared" ca="1" si="19"/>
        <v>0</v>
      </c>
      <c r="AB28" s="264"/>
      <c r="AC28" s="139">
        <v>1</v>
      </c>
    </row>
    <row r="29" spans="1:30">
      <c r="A29" s="162"/>
      <c r="B29" s="162"/>
      <c r="C29" s="162"/>
      <c r="D29" s="170" t="str">
        <f>LEFT($G$3,1) &amp; "S_ProgramStaff"</f>
        <v>ES_ProgramStaff</v>
      </c>
      <c r="E29" s="162"/>
      <c r="F29" s="266">
        <f>IF(LEFT($G$3, 1)="E", 0, 1)</f>
        <v>0</v>
      </c>
      <c r="G29" s="1219"/>
      <c r="H29" s="272" t="s">
        <v>408</v>
      </c>
      <c r="I29" s="281">
        <f t="shared" ref="I29:O29" ca="1" si="22">$F29*VLOOKUP($D29,INDIRECT($B$23 &amp; $B$24), MATCH(I$4,INDIRECT($B$23 &amp; $B$25),0)+6, 0)</f>
        <v>0</v>
      </c>
      <c r="J29" s="96">
        <f t="shared" ca="1" si="22"/>
        <v>0</v>
      </c>
      <c r="K29" s="96">
        <f t="shared" ca="1" si="22"/>
        <v>0</v>
      </c>
      <c r="L29" s="96">
        <f t="shared" ca="1" si="22"/>
        <v>0</v>
      </c>
      <c r="M29" s="96">
        <f t="shared" ca="1" si="22"/>
        <v>0</v>
      </c>
      <c r="N29" s="96">
        <f t="shared" ca="1" si="22"/>
        <v>0</v>
      </c>
      <c r="O29" s="251">
        <f t="shared" ca="1" si="22"/>
        <v>0</v>
      </c>
      <c r="P29" s="568"/>
      <c r="Q29" s="491"/>
      <c r="R29" s="491"/>
      <c r="S29" s="173"/>
      <c r="T29" s="263"/>
      <c r="U29" s="67">
        <f t="shared" ca="1" si="13"/>
        <v>0</v>
      </c>
      <c r="V29" s="23">
        <f t="shared" ca="1" si="14"/>
        <v>0</v>
      </c>
      <c r="W29" s="23">
        <f t="shared" ca="1" si="15"/>
        <v>0</v>
      </c>
      <c r="X29" s="23">
        <f t="shared" ca="1" si="16"/>
        <v>0</v>
      </c>
      <c r="Y29" s="23">
        <f t="shared" ca="1" si="17"/>
        <v>0</v>
      </c>
      <c r="Z29" s="23">
        <f t="shared" ca="1" si="18"/>
        <v>0</v>
      </c>
      <c r="AA29" s="24">
        <f t="shared" ca="1" si="19"/>
        <v>0</v>
      </c>
      <c r="AB29" s="264"/>
      <c r="AC29" s="139">
        <v>1</v>
      </c>
    </row>
    <row r="30" spans="1:30">
      <c r="A30" s="162"/>
      <c r="B30" s="162"/>
      <c r="C30" s="162"/>
      <c r="D30" s="171" t="str">
        <f>LEFT($G$3,1) &amp; "S_librarian"</f>
        <v>ES_librarian</v>
      </c>
      <c r="E30" s="162"/>
      <c r="F30" s="266"/>
      <c r="G30" s="1219"/>
      <c r="H30" s="237" t="s">
        <v>409</v>
      </c>
      <c r="I30" s="96">
        <f t="shared" ref="I30:O32" ca="1" si="23">VLOOKUP($D30,INDIRECT($B$23 &amp; $B$24), MATCH(I$4,INDIRECT($B$23 &amp; $B$25),0)+6, 0)</f>
        <v>0.75</v>
      </c>
      <c r="J30" s="96">
        <f t="shared" ca="1" si="23"/>
        <v>0.75</v>
      </c>
      <c r="K30" s="96">
        <f t="shared" ca="1" si="23"/>
        <v>0.75</v>
      </c>
      <c r="L30" s="96">
        <f t="shared" ca="1" si="23"/>
        <v>1</v>
      </c>
      <c r="M30" s="96">
        <f t="shared" ca="1" si="23"/>
        <v>1</v>
      </c>
      <c r="N30" s="96">
        <f t="shared" ca="1" si="23"/>
        <v>0.75</v>
      </c>
      <c r="O30" s="251">
        <f t="shared" ca="1" si="23"/>
        <v>0.75</v>
      </c>
      <c r="P30" s="568"/>
      <c r="Q30" s="491"/>
      <c r="R30" s="491"/>
      <c r="S30" s="173"/>
      <c r="T30" s="263"/>
      <c r="U30" s="67">
        <f t="shared" ca="1" si="13"/>
        <v>88278.42</v>
      </c>
      <c r="V30" s="23">
        <f t="shared" ca="1" si="14"/>
        <v>93238.493986288857</v>
      </c>
      <c r="W30" s="23">
        <f t="shared" ca="1" si="15"/>
        <v>96226.615717092427</v>
      </c>
      <c r="X30" s="23">
        <f t="shared" ca="1" si="16"/>
        <v>134203.14108395661</v>
      </c>
      <c r="Y30" s="23">
        <f t="shared" ca="1" si="17"/>
        <v>138751.97310161061</v>
      </c>
      <c r="Z30" s="23">
        <f t="shared" ca="1" si="18"/>
        <v>107668.830258412</v>
      </c>
      <c r="AA30" s="24">
        <f t="shared" ca="1" si="19"/>
        <v>111479.67191070857</v>
      </c>
      <c r="AB30" s="264"/>
      <c r="AC30" s="139">
        <v>1</v>
      </c>
    </row>
    <row r="31" spans="1:30">
      <c r="A31" s="162"/>
      <c r="B31" s="162"/>
      <c r="C31" s="162"/>
      <c r="D31" s="162" t="str">
        <f>LEFT($G$3,1) &amp; "S_ESL"</f>
        <v>ES_ESL</v>
      </c>
      <c r="E31" s="162"/>
      <c r="F31" s="266"/>
      <c r="G31" s="1219"/>
      <c r="H31" s="272" t="s">
        <v>410</v>
      </c>
      <c r="I31" s="281">
        <f t="shared" ca="1" si="23"/>
        <v>0.5</v>
      </c>
      <c r="J31" s="96">
        <f t="shared" ca="1" si="23"/>
        <v>0.5</v>
      </c>
      <c r="K31" s="96">
        <f t="shared" ca="1" si="23"/>
        <v>0.5</v>
      </c>
      <c r="L31" s="96">
        <f t="shared" ca="1" si="23"/>
        <v>1</v>
      </c>
      <c r="M31" s="96">
        <f t="shared" ca="1" si="23"/>
        <v>1</v>
      </c>
      <c r="N31" s="96">
        <f t="shared" ca="1" si="23"/>
        <v>0.5</v>
      </c>
      <c r="O31" s="251">
        <f t="shared" ca="1" si="23"/>
        <v>0.5</v>
      </c>
      <c r="P31" s="568"/>
      <c r="Q31" s="492"/>
      <c r="R31" s="492"/>
      <c r="S31" s="184" t="s">
        <v>411</v>
      </c>
      <c r="T31" s="286"/>
      <c r="U31" s="67">
        <f t="shared" ca="1" si="13"/>
        <v>58852.28</v>
      </c>
      <c r="V31" s="23">
        <f t="shared" ca="1" si="14"/>
        <v>62158.995990859235</v>
      </c>
      <c r="W31" s="23">
        <f t="shared" ca="1" si="15"/>
        <v>64151.077144728282</v>
      </c>
      <c r="X31" s="23">
        <f t="shared" ca="1" si="16"/>
        <v>134203.14108395661</v>
      </c>
      <c r="Y31" s="23">
        <f t="shared" ca="1" si="17"/>
        <v>138751.97310161061</v>
      </c>
      <c r="Z31" s="23">
        <f t="shared" ca="1" si="18"/>
        <v>71779.220172274669</v>
      </c>
      <c r="AA31" s="24">
        <f t="shared" ca="1" si="19"/>
        <v>74319.781273805711</v>
      </c>
      <c r="AB31" s="264"/>
      <c r="AC31" s="139">
        <v>1</v>
      </c>
    </row>
    <row r="32" spans="1:30">
      <c r="A32" s="162"/>
      <c r="B32" s="162"/>
      <c r="C32" s="162"/>
      <c r="D32" s="162" t="str">
        <f>LEFT($G$3,1) &amp; "S_SpEd"</f>
        <v>ES_SpEd</v>
      </c>
      <c r="E32" s="162"/>
      <c r="F32" s="266"/>
      <c r="G32" s="1219"/>
      <c r="H32" s="237" t="s">
        <v>412</v>
      </c>
      <c r="I32" s="281">
        <f t="shared" ca="1" si="23"/>
        <v>3</v>
      </c>
      <c r="J32" s="96">
        <f t="shared" ca="1" si="23"/>
        <v>3</v>
      </c>
      <c r="K32" s="96">
        <f t="shared" ca="1" si="23"/>
        <v>3</v>
      </c>
      <c r="L32" s="96">
        <f t="shared" ca="1" si="23"/>
        <v>3</v>
      </c>
      <c r="M32" s="96">
        <f t="shared" ca="1" si="23"/>
        <v>3</v>
      </c>
      <c r="N32" s="96">
        <f t="shared" ca="1" si="23"/>
        <v>3</v>
      </c>
      <c r="O32" s="251">
        <f t="shared" ca="1" si="23"/>
        <v>3</v>
      </c>
      <c r="P32" s="568"/>
      <c r="Q32" s="492"/>
      <c r="R32" s="492"/>
      <c r="S32" s="176" t="s">
        <v>413</v>
      </c>
      <c r="T32" s="287"/>
      <c r="U32" s="67">
        <f t="shared" ca="1" si="13"/>
        <v>353113.68</v>
      </c>
      <c r="V32" s="23">
        <f t="shared" ca="1" si="14"/>
        <v>372953.97594515543</v>
      </c>
      <c r="W32" s="23">
        <f t="shared" ca="1" si="15"/>
        <v>384906.46286836971</v>
      </c>
      <c r="X32" s="23">
        <f t="shared" ca="1" si="16"/>
        <v>402609.42325186986</v>
      </c>
      <c r="Y32" s="23">
        <f t="shared" ca="1" si="17"/>
        <v>416255.91930483183</v>
      </c>
      <c r="Z32" s="23">
        <f t="shared" ca="1" si="18"/>
        <v>430675.32103364798</v>
      </c>
      <c r="AA32" s="24">
        <f t="shared" ca="1" si="19"/>
        <v>445918.68764283427</v>
      </c>
      <c r="AB32" s="264"/>
      <c r="AC32" s="139">
        <v>1</v>
      </c>
    </row>
    <row r="33" spans="1:29">
      <c r="A33" s="162"/>
      <c r="B33" s="162"/>
      <c r="C33" s="162"/>
      <c r="D33" s="162"/>
      <c r="E33" s="162"/>
      <c r="F33" s="266"/>
      <c r="G33" s="1219"/>
      <c r="H33" s="272" t="s">
        <v>414</v>
      </c>
      <c r="I33" s="281"/>
      <c r="J33" s="96"/>
      <c r="K33" s="96"/>
      <c r="L33" s="96"/>
      <c r="M33" s="96"/>
      <c r="N33" s="96"/>
      <c r="O33" s="251"/>
      <c r="P33" s="570">
        <f ca="1">INDEX(INDIRECT($S$31 &amp; $S$32),MATCH($T33,INDIRECT($S$31 &amp; $S$33),0),MATCH($G$3,INDIRECT($S$31 &amp; $S$34),0))</f>
        <v>113.72281234311674</v>
      </c>
      <c r="Q33" s="492"/>
      <c r="R33" s="492"/>
      <c r="S33" s="176" t="s">
        <v>415</v>
      </c>
      <c r="T33" s="288" t="s">
        <v>416</v>
      </c>
      <c r="U33" s="67">
        <f ca="1">$P33*$H$2</f>
        <v>40940.212443522025</v>
      </c>
      <c r="V33" s="23">
        <f t="shared" ref="V33:AA34" ca="1" si="24">U33*(1+J$7)</f>
        <v>43096.753689455589</v>
      </c>
      <c r="W33" s="23">
        <f t="shared" ca="1" si="24"/>
        <v>44467.79840721393</v>
      </c>
      <c r="X33" s="23">
        <f t="shared" ca="1" si="24"/>
        <v>46734.555589161704</v>
      </c>
      <c r="Y33" s="23">
        <f t="shared" ca="1" si="24"/>
        <v>48323.615377993876</v>
      </c>
      <c r="Z33" s="23">
        <f t="shared" ca="1" si="24"/>
        <v>50009.303407060834</v>
      </c>
      <c r="AA33" s="24">
        <f t="shared" ca="1" si="24"/>
        <v>51798.322213257474</v>
      </c>
      <c r="AB33" s="264"/>
      <c r="AC33" s="139">
        <v>1</v>
      </c>
    </row>
    <row r="34" spans="1:29">
      <c r="A34" s="162"/>
      <c r="B34" s="162"/>
      <c r="C34" s="162"/>
      <c r="D34" s="162"/>
      <c r="E34" s="162"/>
      <c r="F34" s="266"/>
      <c r="G34" s="1219"/>
      <c r="H34" s="272" t="s">
        <v>417</v>
      </c>
      <c r="I34" s="281"/>
      <c r="J34" s="96"/>
      <c r="K34" s="96"/>
      <c r="L34" s="96"/>
      <c r="M34" s="96"/>
      <c r="N34" s="96"/>
      <c r="O34" s="251"/>
      <c r="P34" s="570">
        <f ca="1">INDEX(INDIRECT($S$31 &amp; $S$32),MATCH($T34,INDIRECT($S$31 &amp; $S$33),0),MATCH($G$3,INDIRECT($S$31 &amp; $S$34),0))</f>
        <v>17.138474177323033</v>
      </c>
      <c r="Q34" s="492"/>
      <c r="R34" s="492"/>
      <c r="S34" s="176" t="s">
        <v>418</v>
      </c>
      <c r="T34" s="288" t="s">
        <v>419</v>
      </c>
      <c r="U34" s="67">
        <f ca="1">$P34*$H$2</f>
        <v>6169.8507038362923</v>
      </c>
      <c r="V34" s="23">
        <f t="shared" ca="1" si="24"/>
        <v>6494.8499339314094</v>
      </c>
      <c r="W34" s="23">
        <f t="shared" ca="1" si="24"/>
        <v>6701.4717541899608</v>
      </c>
      <c r="X34" s="23">
        <f t="shared" ca="1" si="24"/>
        <v>7043.0809584352937</v>
      </c>
      <c r="Y34" s="23">
        <f t="shared" ca="1" si="24"/>
        <v>7282.5585056045793</v>
      </c>
      <c r="Z34" s="23">
        <f t="shared" ca="1" si="24"/>
        <v>7536.5983078389918</v>
      </c>
      <c r="AA34" s="24">
        <f t="shared" ca="1" si="24"/>
        <v>7806.210463755765</v>
      </c>
      <c r="AB34" s="264"/>
      <c r="AC34" s="139">
        <v>1</v>
      </c>
    </row>
    <row r="35" spans="1:29" ht="15.75" thickBot="1">
      <c r="A35" s="162"/>
      <c r="B35" s="162"/>
      <c r="C35" s="162"/>
      <c r="D35" s="162" t="str">
        <f>LEFT($G$3,1) &amp; "S_ASSP"</f>
        <v>ES_ASSP</v>
      </c>
      <c r="E35" s="162"/>
      <c r="F35" s="266">
        <f>IF(LEFT($G$3, 1)="E", 0, 1)</f>
        <v>0</v>
      </c>
      <c r="G35" s="1219"/>
      <c r="H35" s="473" t="s">
        <v>420</v>
      </c>
      <c r="I35" s="474">
        <f t="shared" ref="I35:O35" ca="1" si="25">IFERROR($F35*VLOOKUP($D35,INDIRECT($B$23 &amp; $B$24), MATCH(I$4,INDIRECT($B$23 &amp; $B$25),0)+6, 0),0)</f>
        <v>0</v>
      </c>
      <c r="J35" s="475">
        <f t="shared" ca="1" si="25"/>
        <v>0</v>
      </c>
      <c r="K35" s="475">
        <f t="shared" ca="1" si="25"/>
        <v>0</v>
      </c>
      <c r="L35" s="475">
        <f t="shared" ca="1" si="25"/>
        <v>0</v>
      </c>
      <c r="M35" s="475">
        <f t="shared" ca="1" si="25"/>
        <v>0</v>
      </c>
      <c r="N35" s="475">
        <f t="shared" ca="1" si="25"/>
        <v>0</v>
      </c>
      <c r="O35" s="476">
        <f t="shared" ca="1" si="25"/>
        <v>0</v>
      </c>
      <c r="P35" s="571"/>
      <c r="Q35" s="493"/>
      <c r="R35" s="493"/>
      <c r="S35" s="173"/>
      <c r="T35" s="263"/>
      <c r="U35" s="455">
        <f t="shared" ref="U35:AA35" ca="1" si="26">((U$7*(1+U$18))+U$17+U$19)*I35</f>
        <v>0</v>
      </c>
      <c r="V35" s="456">
        <f t="shared" ca="1" si="26"/>
        <v>0</v>
      </c>
      <c r="W35" s="456">
        <f t="shared" ca="1" si="26"/>
        <v>0</v>
      </c>
      <c r="X35" s="456">
        <f t="shared" ca="1" si="26"/>
        <v>0</v>
      </c>
      <c r="Y35" s="456">
        <f t="shared" ca="1" si="26"/>
        <v>0</v>
      </c>
      <c r="Z35" s="456">
        <f t="shared" ca="1" si="26"/>
        <v>0</v>
      </c>
      <c r="AA35" s="529">
        <f t="shared" ca="1" si="26"/>
        <v>0</v>
      </c>
      <c r="AB35" s="264"/>
      <c r="AC35" s="139">
        <v>1</v>
      </c>
    </row>
    <row r="36" spans="1:29">
      <c r="A36" s="162"/>
      <c r="B36" s="162"/>
      <c r="C36" s="162"/>
      <c r="D36" s="162" t="str">
        <f>LEFT($G$3,1) &amp; "S_Couns"</f>
        <v>ES_Couns</v>
      </c>
      <c r="E36" s="162"/>
      <c r="F36" s="266">
        <v>1</v>
      </c>
      <c r="G36" s="1219"/>
      <c r="H36" s="477" t="s">
        <v>421</v>
      </c>
      <c r="I36" s="478">
        <f t="shared" ref="I36:O37" ca="1" si="27">VLOOKUP($D36,INDIRECT($B$23 &amp; $B$24), MATCH(I$4,INDIRECT($B$23 &amp; $B$25),0)+6, 0)</f>
        <v>1</v>
      </c>
      <c r="J36" s="479">
        <f t="shared" ca="1" si="27"/>
        <v>1</v>
      </c>
      <c r="K36" s="479">
        <f t="shared" ca="1" si="27"/>
        <v>1</v>
      </c>
      <c r="L36" s="479">
        <f t="shared" ca="1" si="27"/>
        <v>1.44</v>
      </c>
      <c r="M36" s="479">
        <f t="shared" ca="1" si="27"/>
        <v>1.44</v>
      </c>
      <c r="N36" s="479">
        <f t="shared" ca="1" si="27"/>
        <v>1</v>
      </c>
      <c r="O36" s="480">
        <f t="shared" ca="1" si="27"/>
        <v>1</v>
      </c>
      <c r="P36" s="572"/>
      <c r="Q36" s="493"/>
      <c r="R36" s="493"/>
      <c r="S36" s="173"/>
      <c r="T36" s="263"/>
      <c r="U36" s="530">
        <f t="shared" ref="U36:AA36" ca="1" si="28">((U$10*(1+U$18))+U$17+U$19)*I36</f>
        <v>119699.46478110265</v>
      </c>
      <c r="V36" s="531">
        <f t="shared" ca="1" si="28"/>
        <v>126433.92602480625</v>
      </c>
      <c r="W36" s="531">
        <f t="shared" ca="1" si="28"/>
        <v>130485.4029199447</v>
      </c>
      <c r="X36" s="531">
        <f t="shared" ca="1" si="28"/>
        <v>196548.60466880113</v>
      </c>
      <c r="Y36" s="531">
        <f t="shared" ca="1" si="28"/>
        <v>203210.9955332102</v>
      </c>
      <c r="Z36" s="531">
        <f t="shared" ca="1" si="28"/>
        <v>146007.7750633368</v>
      </c>
      <c r="AA36" s="532">
        <f t="shared" ca="1" si="28"/>
        <v>151176.51908026246</v>
      </c>
      <c r="AB36" s="264"/>
      <c r="AC36" s="139">
        <v>1</v>
      </c>
    </row>
    <row r="37" spans="1:29">
      <c r="A37" s="162"/>
      <c r="B37" s="162"/>
      <c r="C37" s="162"/>
      <c r="D37" s="162" t="str">
        <f>LEFT($G$3,1) &amp; "S_InstAsst"</f>
        <v>ES_InstAsst</v>
      </c>
      <c r="E37" s="162"/>
      <c r="F37" s="266">
        <v>1</v>
      </c>
      <c r="G37" s="1219"/>
      <c r="H37" s="447" t="s">
        <v>293</v>
      </c>
      <c r="I37" s="448">
        <f t="shared" ca="1" si="27"/>
        <v>1.4</v>
      </c>
      <c r="J37" s="176">
        <f t="shared" ca="1" si="27"/>
        <v>1.4</v>
      </c>
      <c r="K37" s="176">
        <f t="shared" ca="1" si="27"/>
        <v>1.4</v>
      </c>
      <c r="L37" s="176">
        <f t="shared" ca="1" si="27"/>
        <v>2</v>
      </c>
      <c r="M37" s="176">
        <f t="shared" ca="1" si="27"/>
        <v>2</v>
      </c>
      <c r="N37" s="176">
        <f t="shared" ca="1" si="27"/>
        <v>1.4</v>
      </c>
      <c r="O37" s="449">
        <f t="shared" ca="1" si="27"/>
        <v>1.4</v>
      </c>
      <c r="P37" s="573"/>
      <c r="Q37" s="493"/>
      <c r="R37" s="493"/>
      <c r="S37" s="173"/>
      <c r="T37" s="263"/>
      <c r="U37" s="533">
        <f t="shared" ref="U37:AA37" ca="1" si="29">((U$12*8*185*(1+U$18-U$22))+U$17+U$19)*I37</f>
        <v>79782.672254311561</v>
      </c>
      <c r="V37" s="177">
        <f t="shared" ca="1" si="29"/>
        <v>83365.911933586438</v>
      </c>
      <c r="W37" s="177">
        <f t="shared" ca="1" si="29"/>
        <v>85874.215571962399</v>
      </c>
      <c r="X37" s="177">
        <f t="shared" ca="1" si="29"/>
        <v>125688.88645876176</v>
      </c>
      <c r="Y37" s="177">
        <f t="shared" ca="1" si="29"/>
        <v>129195.15053232522</v>
      </c>
      <c r="Z37" s="177">
        <f t="shared" ca="1" si="29"/>
        <v>93013.288693579831</v>
      </c>
      <c r="AA37" s="534">
        <f t="shared" ca="1" si="29"/>
        <v>95576.295795916332</v>
      </c>
      <c r="AB37" s="264"/>
      <c r="AC37" s="139">
        <v>1</v>
      </c>
    </row>
    <row r="38" spans="1:29" ht="15.75" thickBot="1">
      <c r="A38" s="162"/>
      <c r="B38" s="162"/>
      <c r="C38" s="162"/>
      <c r="D38" s="172" t="s">
        <v>292</v>
      </c>
      <c r="E38" s="162"/>
      <c r="F38" s="266">
        <f>IF(LEFT($G$3, 1)="H", 1, 0)</f>
        <v>0</v>
      </c>
      <c r="G38" s="1220"/>
      <c r="H38" s="450" t="s">
        <v>422</v>
      </c>
      <c r="I38" s="451">
        <f t="shared" ref="I38:O38" ca="1" si="30">$F38*VLOOKUP($D38,INDIRECT($B$23 &amp; $B$24), MATCH(I$4,INDIRECT($B$23 &amp; $B$25),0)+6, 0)</f>
        <v>0</v>
      </c>
      <c r="J38" s="452">
        <f t="shared" ca="1" si="30"/>
        <v>0</v>
      </c>
      <c r="K38" s="452">
        <f t="shared" ca="1" si="30"/>
        <v>0</v>
      </c>
      <c r="L38" s="452">
        <f t="shared" ca="1" si="30"/>
        <v>0</v>
      </c>
      <c r="M38" s="452">
        <f t="shared" ca="1" si="30"/>
        <v>0</v>
      </c>
      <c r="N38" s="452">
        <f t="shared" ca="1" si="30"/>
        <v>0</v>
      </c>
      <c r="O38" s="453">
        <f t="shared" ca="1" si="30"/>
        <v>0</v>
      </c>
      <c r="P38" s="574"/>
      <c r="Q38" s="493"/>
      <c r="R38" s="493"/>
      <c r="S38" s="173"/>
      <c r="T38" s="263"/>
      <c r="U38" s="535">
        <f t="shared" ref="U38:AA38" ca="1" si="31">((U$7*(1+U$18))+U$17+U$19)*I38</f>
        <v>0</v>
      </c>
      <c r="V38" s="536">
        <f t="shared" ca="1" si="31"/>
        <v>0</v>
      </c>
      <c r="W38" s="536">
        <f t="shared" ca="1" si="31"/>
        <v>0</v>
      </c>
      <c r="X38" s="536">
        <f t="shared" ca="1" si="31"/>
        <v>0</v>
      </c>
      <c r="Y38" s="536">
        <f t="shared" ca="1" si="31"/>
        <v>0</v>
      </c>
      <c r="Z38" s="536">
        <f t="shared" ca="1" si="31"/>
        <v>0</v>
      </c>
      <c r="AA38" s="537">
        <f t="shared" ca="1" si="31"/>
        <v>0</v>
      </c>
      <c r="AB38" s="264"/>
      <c r="AC38" s="139">
        <v>1</v>
      </c>
    </row>
    <row r="39" spans="1:29" ht="15" hidden="1" customHeight="1" outlineLevel="1">
      <c r="A39" s="172"/>
      <c r="B39" s="172"/>
      <c r="C39" s="162"/>
      <c r="D39" s="162"/>
      <c r="E39" s="162"/>
      <c r="F39" s="161"/>
      <c r="G39" s="268"/>
      <c r="H39" s="270"/>
      <c r="I39" s="277"/>
      <c r="J39" s="277"/>
      <c r="K39" s="277"/>
      <c r="L39" s="277"/>
      <c r="M39" s="277"/>
      <c r="N39" s="277"/>
      <c r="O39" s="277"/>
      <c r="P39" s="277"/>
      <c r="Q39" s="263"/>
      <c r="R39" s="263"/>
      <c r="S39" s="173"/>
      <c r="T39" s="173"/>
      <c r="U39" s="289"/>
      <c r="V39" s="289"/>
      <c r="W39" s="289"/>
      <c r="X39" s="289"/>
      <c r="Y39" s="289"/>
      <c r="Z39" s="289"/>
      <c r="AA39" s="289"/>
      <c r="AB39" s="264"/>
      <c r="AC39" s="139">
        <v>0</v>
      </c>
    </row>
    <row r="40" spans="1:29" ht="15.75" hidden="1" customHeight="1" outlineLevel="1" thickBot="1">
      <c r="A40" s="178"/>
      <c r="B40" s="178"/>
      <c r="C40" s="144"/>
      <c r="D40" s="144"/>
      <c r="E40" s="144"/>
      <c r="F40" s="143"/>
      <c r="G40" s="179"/>
      <c r="H40" s="113"/>
      <c r="I40" s="180"/>
      <c r="J40" s="180"/>
      <c r="K40" s="180"/>
      <c r="L40" s="180"/>
      <c r="M40" s="180"/>
      <c r="N40" s="180"/>
      <c r="O40" s="180"/>
      <c r="P40" s="180"/>
      <c r="Q40" s="287"/>
      <c r="R40" s="287"/>
      <c r="S40" s="176"/>
      <c r="T40" s="176"/>
      <c r="U40" s="540"/>
      <c r="V40" s="540"/>
      <c r="W40" s="540"/>
      <c r="X40" s="540"/>
      <c r="Y40" s="540"/>
      <c r="Z40" s="540"/>
      <c r="AA40" s="540"/>
      <c r="AB40" s="521"/>
      <c r="AC40" s="139">
        <v>0</v>
      </c>
    </row>
    <row r="41" spans="1:29" ht="15" hidden="1" customHeight="1" outlineLevel="1">
      <c r="A41" s="178"/>
      <c r="B41" s="178"/>
      <c r="C41" s="143"/>
      <c r="D41" s="143"/>
      <c r="E41" s="143"/>
      <c r="F41" s="143"/>
      <c r="G41" s="179"/>
      <c r="H41" s="113"/>
      <c r="I41" s="180"/>
      <c r="J41" s="180"/>
      <c r="K41" s="180"/>
      <c r="L41" s="180"/>
      <c r="M41" s="180"/>
      <c r="N41" s="180"/>
      <c r="O41" s="180"/>
      <c r="P41" s="186"/>
      <c r="Q41" s="494"/>
      <c r="R41" s="494"/>
      <c r="S41" s="188" t="s">
        <v>398</v>
      </c>
      <c r="T41" s="494" t="str">
        <f>LEFT($G$3,1) &amp; "S_AIT"</f>
        <v>ES_AIT</v>
      </c>
      <c r="U41" s="278">
        <f t="shared" ref="U41:AA41" ca="1" si="32">INDEX(INDIRECT($S$41 &amp; $S$42), MATCH($T$41, INDIRECT($S$41 &amp; $S$43), 0), MATCH(U$4, INDIRECT($S$41 &amp; $S$44),0))</f>
        <v>2</v>
      </c>
      <c r="V41" s="279">
        <f t="shared" ca="1" si="32"/>
        <v>2</v>
      </c>
      <c r="W41" s="279">
        <f t="shared" ca="1" si="32"/>
        <v>2</v>
      </c>
      <c r="X41" s="279">
        <f t="shared" ca="1" si="32"/>
        <v>6</v>
      </c>
      <c r="Y41" s="279">
        <f t="shared" ca="1" si="32"/>
        <v>6</v>
      </c>
      <c r="Z41" s="279">
        <f t="shared" ca="1" si="32"/>
        <v>2</v>
      </c>
      <c r="AA41" s="280">
        <f t="shared" ca="1" si="32"/>
        <v>2</v>
      </c>
      <c r="AB41" s="521"/>
      <c r="AC41" s="139">
        <v>0</v>
      </c>
    </row>
    <row r="42" spans="1:29" ht="15" hidden="1" customHeight="1" outlineLevel="1">
      <c r="A42" s="178"/>
      <c r="B42" s="178"/>
      <c r="C42" s="143"/>
      <c r="D42" s="143"/>
      <c r="E42" s="143"/>
      <c r="F42" s="143"/>
      <c r="G42" s="179"/>
      <c r="H42" s="113"/>
      <c r="I42" s="180"/>
      <c r="J42" s="180"/>
      <c r="K42" s="180"/>
      <c r="L42" s="180"/>
      <c r="M42" s="180"/>
      <c r="N42" s="180"/>
      <c r="O42" s="180"/>
      <c r="P42" s="186"/>
      <c r="Q42" s="494"/>
      <c r="R42" s="494"/>
      <c r="S42" s="189" t="s">
        <v>423</v>
      </c>
      <c r="T42" s="538" t="s">
        <v>198</v>
      </c>
      <c r="U42" s="281">
        <f t="shared" ref="U42:AA42" ca="1" si="33">INDEX(INDIRECT($S$41 &amp; $S$42), MATCH($T$41, INDIRECT($S$41 &amp; $S$43), 0), MATCH($T$42, INDIRECT($S$41 &amp; $S$44),0))</f>
        <v>6</v>
      </c>
      <c r="V42" s="96">
        <f t="shared" ca="1" si="33"/>
        <v>6</v>
      </c>
      <c r="W42" s="96">
        <f t="shared" ca="1" si="33"/>
        <v>6</v>
      </c>
      <c r="X42" s="96">
        <f t="shared" ca="1" si="33"/>
        <v>6</v>
      </c>
      <c r="Y42" s="96">
        <f t="shared" ca="1" si="33"/>
        <v>6</v>
      </c>
      <c r="Z42" s="96">
        <f t="shared" ca="1" si="33"/>
        <v>6</v>
      </c>
      <c r="AA42" s="251">
        <f t="shared" ca="1" si="33"/>
        <v>6</v>
      </c>
      <c r="AB42" s="521"/>
      <c r="AC42" s="139">
        <v>0</v>
      </c>
    </row>
    <row r="43" spans="1:29" ht="15" hidden="1" customHeight="1" outlineLevel="1">
      <c r="A43" s="178"/>
      <c r="B43" s="178"/>
      <c r="C43" s="143"/>
      <c r="D43" s="143"/>
      <c r="E43" s="143"/>
      <c r="F43" s="143"/>
      <c r="G43" s="179"/>
      <c r="H43" s="113"/>
      <c r="I43" s="180"/>
      <c r="J43" s="180"/>
      <c r="K43" s="180"/>
      <c r="L43" s="180"/>
      <c r="M43" s="180"/>
      <c r="N43" s="180"/>
      <c r="O43" s="180"/>
      <c r="P43" s="186"/>
      <c r="Q43" s="494"/>
      <c r="R43" s="494"/>
      <c r="S43" s="189" t="s">
        <v>424</v>
      </c>
      <c r="T43" s="494" t="str">
        <f>T41 &amp; "/" &amp;T42</f>
        <v>ES_AIT/QEM</v>
      </c>
      <c r="U43" s="542">
        <f ca="1">U41/U42</f>
        <v>0.33333333333333331</v>
      </c>
      <c r="V43" s="104">
        <f t="shared" ref="V43:AA43" ca="1" si="34">V41/V42</f>
        <v>0.33333333333333331</v>
      </c>
      <c r="W43" s="104">
        <f t="shared" ca="1" si="34"/>
        <v>0.33333333333333331</v>
      </c>
      <c r="X43" s="104">
        <f t="shared" ca="1" si="34"/>
        <v>1</v>
      </c>
      <c r="Y43" s="104">
        <f t="shared" ca="1" si="34"/>
        <v>1</v>
      </c>
      <c r="Z43" s="104">
        <f t="shared" ca="1" si="34"/>
        <v>0.33333333333333331</v>
      </c>
      <c r="AA43" s="543">
        <f t="shared" ca="1" si="34"/>
        <v>0.33333333333333331</v>
      </c>
      <c r="AB43" s="521"/>
      <c r="AC43" s="139">
        <v>0</v>
      </c>
    </row>
    <row r="44" spans="1:29" ht="15" hidden="1" customHeight="1" outlineLevel="1">
      <c r="A44" s="178"/>
      <c r="B44" s="178"/>
      <c r="C44" s="143"/>
      <c r="D44" s="143"/>
      <c r="E44" s="143"/>
      <c r="F44" s="143"/>
      <c r="G44" s="179"/>
      <c r="H44" s="113"/>
      <c r="I44" s="180"/>
      <c r="J44" s="180"/>
      <c r="K44" s="180"/>
      <c r="L44" s="180"/>
      <c r="M44" s="180"/>
      <c r="N44" s="180"/>
      <c r="O44" s="180"/>
      <c r="P44" s="186"/>
      <c r="Q44" s="494"/>
      <c r="R44" s="494"/>
      <c r="S44" s="189" t="s">
        <v>425</v>
      </c>
      <c r="T44" s="539" t="s">
        <v>364</v>
      </c>
      <c r="U44" s="249">
        <f t="shared" ref="U44:AA44" ca="1" si="35">VLOOKUP($T44, $D$7:$O$12, MATCH(U$4, $D$4:$O$4, 0), 0)</f>
        <v>4.3937732328771073E-2</v>
      </c>
      <c r="V44" s="105">
        <f t="shared" ca="1" si="35"/>
        <v>5.2675379955796853E-2</v>
      </c>
      <c r="W44" s="105">
        <f t="shared" ca="1" si="35"/>
        <v>3.1813178496871153E-2</v>
      </c>
      <c r="X44" s="105">
        <f t="shared" ca="1" si="35"/>
        <v>5.0975250926298177E-2</v>
      </c>
      <c r="Y44" s="105">
        <f t="shared" ca="1" si="35"/>
        <v>3.4001816617267533E-2</v>
      </c>
      <c r="Z44" s="105">
        <f t="shared" ca="1" si="35"/>
        <v>3.4883317729463625E-2</v>
      </c>
      <c r="AA44" s="250">
        <f t="shared" ca="1" si="35"/>
        <v>3.5773719774389923E-2</v>
      </c>
      <c r="AB44" s="522"/>
      <c r="AC44" s="139">
        <v>0</v>
      </c>
    </row>
    <row r="45" spans="1:29" ht="15" hidden="1" customHeight="1" outlineLevel="1">
      <c r="A45" s="178"/>
      <c r="B45" s="178"/>
      <c r="C45" s="143"/>
      <c r="D45" s="143"/>
      <c r="E45" s="143"/>
      <c r="F45" s="143"/>
      <c r="G45" s="179"/>
      <c r="H45" s="113"/>
      <c r="I45" s="180"/>
      <c r="J45" s="180"/>
      <c r="K45" s="180"/>
      <c r="L45" s="180"/>
      <c r="M45" s="180"/>
      <c r="N45" s="180"/>
      <c r="O45" s="180"/>
      <c r="P45" s="186"/>
      <c r="Q45" s="494"/>
      <c r="R45" s="494"/>
      <c r="S45" s="184" t="s">
        <v>426</v>
      </c>
      <c r="T45" s="494" t="s">
        <v>427</v>
      </c>
      <c r="U45" s="249"/>
      <c r="V45" s="105">
        <f ca="1">V44</f>
        <v>5.2675379955796853E-2</v>
      </c>
      <c r="W45" s="105">
        <f ca="1">(1+V45)*(1+W44)-1</f>
        <v>8.6164329717592247E-2</v>
      </c>
      <c r="X45" s="105">
        <f ca="1">(1+W45)*(1+X44)-1</f>
        <v>0.141531828972141</v>
      </c>
      <c r="Y45" s="105">
        <f ca="1">(1+X45)*(1+Y44)-1</f>
        <v>0.18034598488362574</v>
      </c>
      <c r="Z45" s="105">
        <f ca="1">(1+Y45)*(1+Z44)-1</f>
        <v>0.22152036890501803</v>
      </c>
      <c r="AA45" s="250">
        <f ca="1">(1+Z45)*(1+AA44)-1</f>
        <v>0.26521869628093553</v>
      </c>
      <c r="AB45" s="522"/>
      <c r="AC45" s="139">
        <v>0</v>
      </c>
    </row>
    <row r="46" spans="1:29" ht="15" hidden="1" customHeight="1" outlineLevel="1">
      <c r="A46" s="178"/>
      <c r="B46" s="178"/>
      <c r="C46" s="143"/>
      <c r="D46" s="143"/>
      <c r="E46" s="143"/>
      <c r="F46" s="143"/>
      <c r="G46" s="179"/>
      <c r="H46" s="113"/>
      <c r="I46" s="180"/>
      <c r="J46" s="180"/>
      <c r="K46" s="180"/>
      <c r="L46" s="180"/>
      <c r="M46" s="180"/>
      <c r="N46" s="180"/>
      <c r="O46" s="180"/>
      <c r="P46" s="186"/>
      <c r="Q46" s="494"/>
      <c r="R46" s="494"/>
      <c r="S46" s="187" t="s">
        <v>428</v>
      </c>
      <c r="T46" s="494" t="s">
        <v>378</v>
      </c>
      <c r="U46" s="249">
        <f t="shared" ref="U46:AA46" ca="1" si="36">VLOOKUP($T46, $D$7:$O$12, MATCH(U$4, $D$4:$O$4, 0), 0)</f>
        <v>8.1000000000000072E-2</v>
      </c>
      <c r="V46" s="105">
        <f t="shared" ca="1" si="36"/>
        <v>4.3834138486312457E-2</v>
      </c>
      <c r="W46" s="105">
        <f t="shared" ca="1" si="36"/>
        <v>2.8486102532427338E-2</v>
      </c>
      <c r="X46" s="105">
        <f t="shared" ca="1" si="36"/>
        <v>2.2641118124436477E-2</v>
      </c>
      <c r="Y46" s="105">
        <f t="shared" ca="1" si="36"/>
        <v>2.5124742571344671E-2</v>
      </c>
      <c r="Z46" s="105">
        <f t="shared" ca="1" si="36"/>
        <v>2.5992818155702424E-2</v>
      </c>
      <c r="AA46" s="250">
        <f t="shared" ca="1" si="36"/>
        <v>2.4542600896860889E-2</v>
      </c>
      <c r="AB46" s="522"/>
      <c r="AC46" s="139">
        <v>0</v>
      </c>
    </row>
    <row r="47" spans="1:29" ht="15" hidden="1" customHeight="1" outlineLevel="1">
      <c r="A47" s="178"/>
      <c r="B47" s="178"/>
      <c r="C47" s="143"/>
      <c r="D47" s="143"/>
      <c r="E47" s="143"/>
      <c r="F47" s="143"/>
      <c r="G47" s="179"/>
      <c r="H47" s="113"/>
      <c r="I47" s="180"/>
      <c r="J47" s="180"/>
      <c r="K47" s="180"/>
      <c r="L47" s="180"/>
      <c r="M47" s="180"/>
      <c r="N47" s="180"/>
      <c r="O47" s="180"/>
      <c r="P47" s="186"/>
      <c r="Q47" s="494"/>
      <c r="R47" s="494"/>
      <c r="S47" s="187" t="s">
        <v>429</v>
      </c>
      <c r="T47" s="494" t="s">
        <v>430</v>
      </c>
      <c r="U47" s="249"/>
      <c r="V47" s="105">
        <f ca="1">V46</f>
        <v>4.3834138486312457E-2</v>
      </c>
      <c r="W47" s="105">
        <f ca="1">(1+V47)*(1+W46)-1</f>
        <v>7.3568904782081779E-2</v>
      </c>
      <c r="X47" s="105">
        <f ca="1">(1+W47)*(1+X46)-1</f>
        <v>9.7875705169975014E-2</v>
      </c>
      <c r="Y47" s="105">
        <f ca="1">(1+X47)*(1+Y46)-1</f>
        <v>0.12545954963770423</v>
      </c>
      <c r="Z47" s="105">
        <f ca="1">(1+Y47)*(1+Z46)-1</f>
        <v>0.1547134150530356</v>
      </c>
      <c r="AA47" s="250">
        <f ca="1">(1+Z47)*(1+AA46)-1</f>
        <v>0.18305308554893363</v>
      </c>
      <c r="AB47" s="522"/>
      <c r="AC47" s="139">
        <v>0</v>
      </c>
    </row>
    <row r="48" spans="1:29" ht="15" hidden="1" customHeight="1" outlineLevel="1">
      <c r="A48" s="178"/>
      <c r="B48" s="178"/>
      <c r="C48" s="143"/>
      <c r="D48" s="143"/>
      <c r="E48" s="143"/>
      <c r="F48" s="143"/>
      <c r="G48" s="179"/>
      <c r="H48" s="113"/>
      <c r="I48" s="180"/>
      <c r="J48" s="180"/>
      <c r="K48" s="180"/>
      <c r="L48" s="180"/>
      <c r="M48" s="180"/>
      <c r="N48" s="180"/>
      <c r="O48" s="180"/>
      <c r="P48" s="186"/>
      <c r="Q48" s="494"/>
      <c r="R48" s="494"/>
      <c r="S48" s="187" t="s">
        <v>431</v>
      </c>
      <c r="T48" s="494" t="s">
        <v>432</v>
      </c>
      <c r="U48" s="249">
        <f t="shared" ref="U48:AA48" ca="1" si="37">VLOOKUP($T48,INDIRECT($S$45 &amp; $S$46), MATCH(U$4, INDIRECT($S$45 &amp; $S$48), 0), 0)</f>
        <v>7.0547861313106974E-2</v>
      </c>
      <c r="V48" s="105">
        <f t="shared" ca="1" si="37"/>
        <v>3.6285147071598134E-2</v>
      </c>
      <c r="W48" s="105">
        <f t="shared" ca="1" si="37"/>
        <v>1.9822455990704757E-2</v>
      </c>
      <c r="X48" s="105">
        <f t="shared" ca="1" si="37"/>
        <v>2.1685549903348367E-2</v>
      </c>
      <c r="Y48" s="105">
        <f t="shared" ca="1" si="37"/>
        <v>2.2299011614558939E-2</v>
      </c>
      <c r="Z48" s="105">
        <f t="shared" ca="1" si="37"/>
        <v>2.2811108999718055E-2</v>
      </c>
      <c r="AA48" s="250">
        <f t="shared" ca="1" si="37"/>
        <v>2.3117392100695966E-2</v>
      </c>
      <c r="AB48" s="522"/>
      <c r="AC48" s="139">
        <v>0</v>
      </c>
    </row>
    <row r="49" spans="1:29" ht="15.75" hidden="1" customHeight="1" outlineLevel="1" thickBot="1">
      <c r="A49" s="178"/>
      <c r="B49" s="178"/>
      <c r="C49" s="143"/>
      <c r="D49" s="143"/>
      <c r="E49" s="143"/>
      <c r="F49" s="143"/>
      <c r="G49" s="179"/>
      <c r="H49" s="113"/>
      <c r="I49" s="180"/>
      <c r="J49" s="180"/>
      <c r="K49" s="180"/>
      <c r="L49" s="180"/>
      <c r="M49" s="180"/>
      <c r="N49" s="180"/>
      <c r="O49" s="180"/>
      <c r="P49" s="186"/>
      <c r="Q49" s="494"/>
      <c r="R49" s="494"/>
      <c r="S49" s="187"/>
      <c r="T49" s="494" t="s">
        <v>433</v>
      </c>
      <c r="U49" s="461"/>
      <c r="V49" s="462">
        <f ca="1">V48</f>
        <v>3.6285147071598134E-2</v>
      </c>
      <c r="W49" s="462">
        <f ca="1">(1+V49)*(1+W48)-1</f>
        <v>5.6826863793245863E-2</v>
      </c>
      <c r="X49" s="462">
        <f ca="1">(1+W49)*(1+X48)-1</f>
        <v>7.9744735487233376E-2</v>
      </c>
      <c r="Y49" s="462">
        <f ca="1">(1+X49)*(1+Y48)-1</f>
        <v>0.10382197588462216</v>
      </c>
      <c r="Z49" s="462">
        <f ca="1">(1+Y49)*(1+Z48)-1</f>
        <v>0.12900137929281041</v>
      </c>
      <c r="AA49" s="544">
        <f ca="1">(1+Z49)*(1+AA48)-1</f>
        <v>0.15510094686014897</v>
      </c>
      <c r="AB49" s="522"/>
      <c r="AC49" s="139">
        <v>0</v>
      </c>
    </row>
    <row r="50" spans="1:29" ht="15" hidden="1" customHeight="1" outlineLevel="1">
      <c r="A50" s="178"/>
      <c r="B50" s="178"/>
      <c r="C50" s="143"/>
      <c r="D50" s="143"/>
      <c r="E50" s="143"/>
      <c r="F50" s="143"/>
      <c r="G50" s="179"/>
      <c r="H50" s="113"/>
      <c r="I50" s="180"/>
      <c r="J50" s="180"/>
      <c r="K50" s="180"/>
      <c r="L50" s="180"/>
      <c r="M50" s="186"/>
      <c r="N50" s="180"/>
      <c r="O50" s="180"/>
      <c r="P50" s="180"/>
      <c r="Q50" s="495"/>
      <c r="R50" s="495"/>
      <c r="S50" s="180"/>
      <c r="T50" s="180"/>
      <c r="U50" s="541"/>
      <c r="V50" s="541"/>
      <c r="W50" s="541"/>
      <c r="X50" s="541"/>
      <c r="Y50" s="541"/>
      <c r="Z50" s="541"/>
      <c r="AA50" s="541"/>
      <c r="AB50" s="293"/>
      <c r="AC50" s="139">
        <v>0</v>
      </c>
    </row>
    <row r="51" spans="1:29" ht="15.75" hidden="1" customHeight="1" outlineLevel="1" thickBot="1">
      <c r="A51" s="178"/>
      <c r="B51" s="185" t="s">
        <v>434</v>
      </c>
      <c r="C51" s="143"/>
      <c r="D51" s="143"/>
      <c r="E51" s="143"/>
      <c r="F51" s="143"/>
      <c r="G51" s="295"/>
      <c r="H51" s="296"/>
      <c r="I51" s="297"/>
      <c r="J51" s="297"/>
      <c r="K51" s="297"/>
      <c r="L51" s="297"/>
      <c r="M51" s="297"/>
      <c r="N51" s="297"/>
      <c r="O51" s="297"/>
      <c r="P51" s="297"/>
      <c r="Q51" s="495"/>
      <c r="R51" s="495"/>
      <c r="S51" s="180"/>
      <c r="T51" s="180"/>
      <c r="U51" s="297"/>
      <c r="V51" s="297"/>
      <c r="W51" s="297"/>
      <c r="X51" s="297"/>
      <c r="Y51" s="297"/>
      <c r="Z51" s="297"/>
      <c r="AA51" s="297"/>
      <c r="AB51" s="293"/>
      <c r="AC51" s="139">
        <v>0</v>
      </c>
    </row>
    <row r="52" spans="1:29" collapsed="1">
      <c r="A52" s="178"/>
      <c r="B52" s="143" t="s">
        <v>435</v>
      </c>
      <c r="C52" s="144" t="str">
        <f>LEFT($G$3,1) &amp; "S_SumSchool"</f>
        <v>ES_SumSchool</v>
      </c>
      <c r="D52" s="143"/>
      <c r="E52" s="143"/>
      <c r="F52" s="290">
        <v>30</v>
      </c>
      <c r="G52" s="1218" t="s">
        <v>436</v>
      </c>
      <c r="H52" s="271" t="s">
        <v>437</v>
      </c>
      <c r="I52" s="278">
        <f t="shared" ref="I52:O53" ca="1" si="38">INDEX(INDIRECT($B$51 &amp; $B$52), MATCH($C52, INDIRECT($B$51 &amp; $B$53),0), MATCH(I$4, INDIRECT($B$51 &amp; $B$54),0))</f>
        <v>3</v>
      </c>
      <c r="J52" s="279">
        <f t="shared" ca="1" si="38"/>
        <v>3</v>
      </c>
      <c r="K52" s="279">
        <f t="shared" ca="1" si="38"/>
        <v>3</v>
      </c>
      <c r="L52" s="279">
        <f t="shared" ca="1" si="38"/>
        <v>3</v>
      </c>
      <c r="M52" s="279">
        <f t="shared" ca="1" si="38"/>
        <v>3</v>
      </c>
      <c r="N52" s="279">
        <f t="shared" ca="1" si="38"/>
        <v>3</v>
      </c>
      <c r="O52" s="280">
        <f t="shared" ca="1" si="38"/>
        <v>3</v>
      </c>
      <c r="P52" s="323">
        <f ca="1">INDEX(INDIRECT($S$52 &amp; $S$53), MATCH($T52, INDIRECT($S$52 &amp; $S$54),0), MATCH(I$4, INDIRECT($S$52 &amp; $S$55),0))</f>
        <v>516.10915789473677</v>
      </c>
      <c r="Q52" s="1046"/>
      <c r="R52" s="1046"/>
      <c r="S52" s="1047" t="s">
        <v>363</v>
      </c>
      <c r="T52" s="1048" t="s">
        <v>438</v>
      </c>
      <c r="U52" s="259">
        <f ca="1">$P52*$F52*I52*U43</f>
        <v>15483.274736842101</v>
      </c>
      <c r="V52" s="260">
        <f t="shared" ref="V52:AA52" ca="1" si="39">$P52*$F52*J52*V43*(1+V45)</f>
        <v>16298.862116565249</v>
      </c>
      <c r="W52" s="260">
        <f t="shared" ca="1" si="39"/>
        <v>16817.380726375428</v>
      </c>
      <c r="X52" s="260">
        <f t="shared" ca="1" si="39"/>
        <v>53023.952786476526</v>
      </c>
      <c r="Y52" s="260">
        <f t="shared" ca="1" si="39"/>
        <v>54826.863505444955</v>
      </c>
      <c r="Z52" s="260">
        <f t="shared" ca="1" si="39"/>
        <v>18913.135468405108</v>
      </c>
      <c r="AA52" s="261">
        <f t="shared" ca="1" si="39"/>
        <v>19589.728676706909</v>
      </c>
      <c r="AB52" s="293"/>
      <c r="AC52" s="139">
        <v>1</v>
      </c>
    </row>
    <row r="53" spans="1:29">
      <c r="A53" s="178"/>
      <c r="B53" s="143" t="s">
        <v>439</v>
      </c>
      <c r="C53" s="144" t="str">
        <f>LEFT($G$3,1) &amp; "S_ClsfdSumSchool"</f>
        <v>ES_ClsfdSumSchool</v>
      </c>
      <c r="D53" s="143"/>
      <c r="E53" s="143"/>
      <c r="F53" s="290">
        <v>30</v>
      </c>
      <c r="G53" s="1230"/>
      <c r="H53" s="272" t="s">
        <v>440</v>
      </c>
      <c r="I53" s="281">
        <f t="shared" ca="1" si="38"/>
        <v>7</v>
      </c>
      <c r="J53" s="96">
        <f t="shared" ca="1" si="38"/>
        <v>7</v>
      </c>
      <c r="K53" s="96">
        <f t="shared" ca="1" si="38"/>
        <v>7</v>
      </c>
      <c r="L53" s="96">
        <f t="shared" ca="1" si="38"/>
        <v>7</v>
      </c>
      <c r="M53" s="96">
        <f t="shared" ca="1" si="38"/>
        <v>7</v>
      </c>
      <c r="N53" s="96">
        <f t="shared" ca="1" si="38"/>
        <v>7</v>
      </c>
      <c r="O53" s="251">
        <f t="shared" ca="1" si="38"/>
        <v>7</v>
      </c>
      <c r="P53" s="312">
        <f ca="1">INDEX(INDIRECT($S$52 &amp; $S$53), MATCH($T53, INDIRECT($S$52 &amp; $S$54),0), MATCH(I$4, INDIRECT($S$52 &amp; $S$55),0))</f>
        <v>259.32602366853928</v>
      </c>
      <c r="Q53" s="1046"/>
      <c r="R53" s="1046"/>
      <c r="S53" s="1049" t="s">
        <v>441</v>
      </c>
      <c r="T53" s="306" t="s">
        <v>442</v>
      </c>
      <c r="U53" s="67">
        <f ca="1">$P53*$F53*I53*U43</f>
        <v>18152.821656797751</v>
      </c>
      <c r="V53" s="23">
        <f t="shared" ref="V53:AA53" ca="1" si="40">$P53*$F53*J53*V43*(1+V47)</f>
        <v>18948.534955219158</v>
      </c>
      <c r="W53" s="23">
        <f t="shared" ca="1" si="40"/>
        <v>19488.304864792815</v>
      </c>
      <c r="X53" s="23">
        <f t="shared" ca="1" si="40"/>
        <v>59788.625631844872</v>
      </c>
      <c r="Y53" s="23">
        <f t="shared" ca="1" si="40"/>
        <v>61290.799459539478</v>
      </c>
      <c r="Z53" s="23">
        <f t="shared" ca="1" si="40"/>
        <v>20961.306688169636</v>
      </c>
      <c r="AA53" s="24">
        <f t="shared" ca="1" si="40"/>
        <v>21475.751672494083</v>
      </c>
      <c r="AB53" s="293"/>
      <c r="AC53" s="139">
        <v>1</v>
      </c>
    </row>
    <row r="54" spans="1:29">
      <c r="A54" s="178"/>
      <c r="B54" s="143" t="s">
        <v>443</v>
      </c>
      <c r="C54" s="144" t="str">
        <f>LEFT($G$3,1) &amp; "S_SumSchlSupplies"</f>
        <v>ES_SumSchlSupplies</v>
      </c>
      <c r="D54" s="143"/>
      <c r="E54" s="143"/>
      <c r="F54" s="290">
        <f>IF(LEFT($F$3,1) = "E", 0.2*(5/6)*$H$2, 0.2*$H$2)</f>
        <v>60.000000000000007</v>
      </c>
      <c r="G54" s="1230"/>
      <c r="H54" s="272" t="s">
        <v>444</v>
      </c>
      <c r="I54" s="281"/>
      <c r="J54" s="96"/>
      <c r="K54" s="96"/>
      <c r="L54" s="96"/>
      <c r="M54" s="96"/>
      <c r="N54" s="96"/>
      <c r="O54" s="251"/>
      <c r="P54" s="312">
        <f ca="1">INDEX(INDIRECT($B$51 &amp; $B$52), MATCH($C54, INDIRECT($B$51 &amp; $B$53),0), MATCH(P$4, INDIRECT($B$51 &amp; $B$54),0))</f>
        <v>24</v>
      </c>
      <c r="Q54" s="496"/>
      <c r="R54" s="496"/>
      <c r="S54" s="191" t="s">
        <v>445</v>
      </c>
      <c r="T54" s="338"/>
      <c r="U54" s="67">
        <f ca="1">$P54*$F54*U43</f>
        <v>480.00000000000006</v>
      </c>
      <c r="V54" s="23">
        <f t="shared" ref="V54:AA54" ca="1" si="41">$P54*$F54*V43*(1+V49)</f>
        <v>497.41687059436714</v>
      </c>
      <c r="W54" s="23">
        <f t="shared" ca="1" si="41"/>
        <v>507.27689462075807</v>
      </c>
      <c r="X54" s="23">
        <f t="shared" ca="1" si="41"/>
        <v>1554.8324191016163</v>
      </c>
      <c r="Y54" s="23">
        <f t="shared" ca="1" si="41"/>
        <v>1589.5036452738561</v>
      </c>
      <c r="Z54" s="23">
        <f t="shared" ca="1" si="41"/>
        <v>541.92066206054903</v>
      </c>
      <c r="AA54" s="24">
        <f t="shared" ca="1" si="41"/>
        <v>554.44845449287152</v>
      </c>
      <c r="AB54" s="293"/>
      <c r="AC54" s="139">
        <v>1</v>
      </c>
    </row>
    <row r="55" spans="1:29" ht="15" hidden="1" customHeight="1" outlineLevel="1">
      <c r="A55" s="178"/>
      <c r="B55" s="144"/>
      <c r="C55" s="144"/>
      <c r="D55" s="143"/>
      <c r="E55" s="143"/>
      <c r="F55" s="290"/>
      <c r="G55" s="1230"/>
      <c r="H55" s="317"/>
      <c r="I55" s="321"/>
      <c r="J55" s="180"/>
      <c r="K55" s="180"/>
      <c r="L55" s="180"/>
      <c r="M55" s="180"/>
      <c r="N55" s="180"/>
      <c r="O55" s="298"/>
      <c r="P55" s="321"/>
      <c r="Q55" s="496"/>
      <c r="R55" s="496"/>
      <c r="S55" s="191" t="s">
        <v>375</v>
      </c>
      <c r="T55" s="337"/>
      <c r="U55" s="321"/>
      <c r="V55" s="180"/>
      <c r="W55" s="180"/>
      <c r="X55" s="180"/>
      <c r="Y55" s="180"/>
      <c r="Z55" s="180"/>
      <c r="AA55" s="298"/>
      <c r="AB55" s="293"/>
      <c r="AC55" s="139">
        <v>0</v>
      </c>
    </row>
    <row r="56" spans="1:29" ht="15" hidden="1" customHeight="1" outlineLevel="1">
      <c r="A56" s="154"/>
      <c r="B56" s="154"/>
      <c r="C56" s="154"/>
      <c r="D56" s="154"/>
      <c r="E56" s="154"/>
      <c r="F56" s="291"/>
      <c r="G56" s="1230"/>
      <c r="H56" s="318"/>
      <c r="I56" s="322"/>
      <c r="J56" s="154"/>
      <c r="K56" s="154"/>
      <c r="L56" s="154"/>
      <c r="M56" s="154"/>
      <c r="N56" s="154"/>
      <c r="O56" s="299"/>
      <c r="P56" s="322"/>
      <c r="Q56" s="497"/>
      <c r="R56" s="497"/>
      <c r="S56" s="154"/>
      <c r="T56" s="291"/>
      <c r="U56" s="322"/>
      <c r="V56" s="154"/>
      <c r="W56" s="154"/>
      <c r="X56" s="154"/>
      <c r="Y56" s="154"/>
      <c r="Z56" s="154"/>
      <c r="AA56" s="299"/>
      <c r="AB56" s="294"/>
      <c r="AC56" s="139">
        <v>0</v>
      </c>
    </row>
    <row r="57" spans="1:29" ht="15.75" collapsed="1" thickBot="1">
      <c r="A57" s="154"/>
      <c r="B57" s="153" t="s">
        <v>398</v>
      </c>
      <c r="C57" s="79" t="str">
        <f>LEFT($G$3,1) &amp; "S_atRisk"</f>
        <v>ES_atRisk</v>
      </c>
      <c r="D57" s="154"/>
      <c r="E57" s="154"/>
      <c r="F57" s="292">
        <f>IF(LEFT($F$3,1) = "E", $H$2-$F54, $H$2)</f>
        <v>300</v>
      </c>
      <c r="G57" s="1230"/>
      <c r="H57" s="275" t="s">
        <v>446</v>
      </c>
      <c r="I57" s="282">
        <f t="shared" ref="I57:O57" ca="1" si="42">INDEX(INDIRECT($B$57&amp;$B$58),MATCH($C57,INDIRECT($B$57&amp;$B$59),0),MATCH(I$4,INDIRECT($B$57&amp;$B$60),0))</f>
        <v>0.1</v>
      </c>
      <c r="J57" s="221">
        <f t="shared" ca="1" si="42"/>
        <v>0.1</v>
      </c>
      <c r="K57" s="221">
        <f t="shared" ca="1" si="42"/>
        <v>0.1</v>
      </c>
      <c r="L57" s="221">
        <f t="shared" ca="1" si="42"/>
        <v>0.2</v>
      </c>
      <c r="M57" s="221">
        <f t="shared" ca="1" si="42"/>
        <v>0.2</v>
      </c>
      <c r="N57" s="221">
        <f t="shared" ca="1" si="42"/>
        <v>0.1</v>
      </c>
      <c r="O57" s="283">
        <f t="shared" ca="1" si="42"/>
        <v>0.1</v>
      </c>
      <c r="P57" s="324">
        <f ca="1">INDEX(INDIRECT($B$51 &amp; $B$52), MATCH($C57, INDIRECT($B$51 &amp; $B$53),0), MATCH(P$4, INDIRECT($B$51 &amp; $B$54),0))</f>
        <v>222</v>
      </c>
      <c r="Q57" s="498"/>
      <c r="R57" s="498"/>
      <c r="S57" s="100"/>
      <c r="T57" s="339"/>
      <c r="U57" s="252">
        <f ca="1">$P57*I57*$F$57</f>
        <v>6660.0000000000009</v>
      </c>
      <c r="V57" s="65">
        <f t="shared" ref="V57:AA57" ca="1" si="43">$P57*J57*$F$57*(1+V45)</f>
        <v>7010.8180305056076</v>
      </c>
      <c r="W57" s="65">
        <f t="shared" ca="1" si="43"/>
        <v>7233.8544359191656</v>
      </c>
      <c r="X57" s="65">
        <f t="shared" ca="1" si="43"/>
        <v>15205.203961908921</v>
      </c>
      <c r="Y57" s="65">
        <f t="shared" ca="1" si="43"/>
        <v>15722.208518649897</v>
      </c>
      <c r="Z57" s="65">
        <f t="shared" ca="1" si="43"/>
        <v>8135.325656907421</v>
      </c>
      <c r="AA57" s="68">
        <f t="shared" ca="1" si="43"/>
        <v>8426.3565172310318</v>
      </c>
      <c r="AB57" s="340"/>
      <c r="AC57" s="139">
        <v>1</v>
      </c>
    </row>
    <row r="58" spans="1:29" ht="15" hidden="1" customHeight="1" outlineLevel="1">
      <c r="A58" s="154"/>
      <c r="B58" s="154" t="s">
        <v>423</v>
      </c>
      <c r="C58" s="154"/>
      <c r="D58" s="154"/>
      <c r="E58" s="154"/>
      <c r="F58" s="291"/>
      <c r="G58" s="1230"/>
      <c r="H58" s="316"/>
      <c r="I58" s="319"/>
      <c r="J58" s="319"/>
      <c r="K58" s="319"/>
      <c r="L58" s="319"/>
      <c r="M58" s="319"/>
      <c r="N58" s="319"/>
      <c r="O58" s="320"/>
      <c r="P58" s="320"/>
      <c r="Q58" s="498"/>
      <c r="R58" s="498"/>
      <c r="S58" s="100"/>
      <c r="T58" s="100"/>
      <c r="U58" s="341"/>
      <c r="V58" s="341"/>
      <c r="W58" s="341"/>
      <c r="X58" s="341"/>
      <c r="Y58" s="341"/>
      <c r="Z58" s="341"/>
      <c r="AA58" s="341"/>
      <c r="AB58" s="340"/>
      <c r="AC58" s="139">
        <v>0</v>
      </c>
    </row>
    <row r="59" spans="1:29" ht="15" hidden="1" customHeight="1" outlineLevel="1">
      <c r="A59" s="154"/>
      <c r="B59" s="154" t="s">
        <v>424</v>
      </c>
      <c r="C59" s="154"/>
      <c r="D59" s="154"/>
      <c r="E59" s="154"/>
      <c r="F59" s="291"/>
      <c r="G59" s="1230"/>
      <c r="H59" s="314"/>
      <c r="I59" s="100"/>
      <c r="J59" s="100"/>
      <c r="K59" s="100"/>
      <c r="L59" s="100"/>
      <c r="M59" s="100"/>
      <c r="N59" s="100"/>
      <c r="O59" s="300"/>
      <c r="P59" s="300"/>
      <c r="Q59" s="498"/>
      <c r="R59" s="498"/>
      <c r="S59" s="100"/>
      <c r="T59" s="100"/>
      <c r="U59" s="141"/>
      <c r="V59" s="141"/>
      <c r="W59" s="141"/>
      <c r="X59" s="141"/>
      <c r="Y59" s="141"/>
      <c r="Z59" s="141"/>
      <c r="AA59" s="141"/>
      <c r="AB59" s="340"/>
      <c r="AC59" s="139">
        <v>0</v>
      </c>
    </row>
    <row r="60" spans="1:29" ht="15.75" hidden="1" customHeight="1" outlineLevel="1" thickBot="1">
      <c r="A60" s="154"/>
      <c r="B60" s="154" t="s">
        <v>425</v>
      </c>
      <c r="C60" s="154"/>
      <c r="D60" s="154"/>
      <c r="E60" s="154"/>
      <c r="F60" s="291"/>
      <c r="G60" s="1231"/>
      <c r="H60" s="315"/>
      <c r="I60" s="301"/>
      <c r="J60" s="301"/>
      <c r="K60" s="301"/>
      <c r="L60" s="301"/>
      <c r="M60" s="301"/>
      <c r="N60" s="301"/>
      <c r="O60" s="302"/>
      <c r="P60" s="302"/>
      <c r="Q60" s="498"/>
      <c r="R60" s="498"/>
      <c r="S60" s="100"/>
      <c r="T60" s="100"/>
      <c r="U60" s="141"/>
      <c r="V60" s="141"/>
      <c r="W60" s="141"/>
      <c r="X60" s="141"/>
      <c r="Y60" s="141"/>
      <c r="Z60" s="141"/>
      <c r="AA60" s="141"/>
      <c r="AB60" s="340"/>
      <c r="AC60" s="139">
        <v>0</v>
      </c>
    </row>
    <row r="61" spans="1:29" ht="15" hidden="1" customHeight="1" outlineLevel="1">
      <c r="A61" s="154"/>
      <c r="B61" s="79"/>
      <c r="C61" s="79"/>
      <c r="D61" s="79"/>
      <c r="E61" s="79"/>
      <c r="F61" s="79"/>
      <c r="G61" s="80"/>
      <c r="H61" s="80"/>
      <c r="I61" s="80"/>
      <c r="J61" s="80"/>
      <c r="K61" s="80"/>
      <c r="L61" s="80"/>
      <c r="M61" s="80"/>
      <c r="N61" s="80"/>
      <c r="O61" s="80"/>
      <c r="P61" s="80"/>
      <c r="Q61" s="292"/>
      <c r="R61" s="292"/>
      <c r="S61" s="79"/>
      <c r="T61" s="79"/>
      <c r="U61" s="79"/>
      <c r="V61" s="79"/>
      <c r="W61" s="79"/>
      <c r="X61" s="79"/>
      <c r="Y61" s="79"/>
      <c r="Z61" s="79"/>
      <c r="AA61" s="79"/>
      <c r="AB61" s="523"/>
      <c r="AC61" s="139">
        <v>0</v>
      </c>
    </row>
    <row r="62" spans="1:29" ht="15.75" hidden="1" customHeight="1" outlineLevel="1" thickBot="1">
      <c r="A62" s="122"/>
      <c r="B62" s="192" t="s">
        <v>398</v>
      </c>
      <c r="C62" s="95"/>
      <c r="D62" s="95"/>
      <c r="E62" s="95"/>
      <c r="F62" s="95"/>
      <c r="G62" s="326"/>
      <c r="H62" s="326"/>
      <c r="I62" s="326"/>
      <c r="J62" s="326"/>
      <c r="K62" s="326"/>
      <c r="L62" s="326"/>
      <c r="M62" s="326"/>
      <c r="N62" s="326"/>
      <c r="O62" s="326"/>
      <c r="P62" s="326"/>
      <c r="Q62" s="230"/>
      <c r="R62" s="230"/>
      <c r="S62" s="160" t="s">
        <v>385</v>
      </c>
      <c r="T62" s="160" t="s">
        <v>44</v>
      </c>
      <c r="U62" s="343">
        <f t="shared" ref="U62:AA62" ca="1" si="44">INDEX(INDIRECT($S$62 &amp; $S$63), MATCH($T62, INDIRECT($S$62 &amp; $S$64), 0), MATCH(U$4, INDIRECT($S$62 &amp; $S$65), 0))</f>
        <v>5.4000000000000003E-3</v>
      </c>
      <c r="V62" s="343">
        <f t="shared" ca="1" si="44"/>
        <v>6.6E-3</v>
      </c>
      <c r="W62" s="343">
        <f t="shared" ca="1" si="44"/>
        <v>6.6E-3</v>
      </c>
      <c r="X62" s="343">
        <f t="shared" ca="1" si="44"/>
        <v>6.6E-3</v>
      </c>
      <c r="Y62" s="343">
        <f t="shared" ca="1" si="44"/>
        <v>6.6E-3</v>
      </c>
      <c r="Z62" s="343">
        <f t="shared" ca="1" si="44"/>
        <v>6.6E-3</v>
      </c>
      <c r="AA62" s="343">
        <f t="shared" ca="1" si="44"/>
        <v>6.6E-3</v>
      </c>
      <c r="AB62" s="524"/>
      <c r="AC62" s="139">
        <v>0</v>
      </c>
    </row>
    <row r="63" spans="1:29" ht="15.75" collapsed="1" thickBot="1">
      <c r="A63" s="122"/>
      <c r="B63" s="149" t="s">
        <v>423</v>
      </c>
      <c r="C63" s="95" t="str">
        <f>LEFT($G$3,1) &amp; "S_InstImp"</f>
        <v>ES_InstImp</v>
      </c>
      <c r="D63" s="95"/>
      <c r="E63" s="192"/>
      <c r="F63" s="325"/>
      <c r="G63" s="328" t="s">
        <v>447</v>
      </c>
      <c r="H63" s="328" t="s">
        <v>447</v>
      </c>
      <c r="I63" s="332">
        <f t="shared" ref="I63:O63" ca="1" si="45">INDEX(INDIRECT($B$62&amp;$B$63),MATCH($C63,INDIRECT($B$62&amp;$B$64),0),MATCH(I$4,INDIRECT($B$62&amp;$B$65),0))</f>
        <v>1</v>
      </c>
      <c r="J63" s="333">
        <f t="shared" ca="1" si="45"/>
        <v>1</v>
      </c>
      <c r="K63" s="333">
        <f t="shared" ca="1" si="45"/>
        <v>1</v>
      </c>
      <c r="L63" s="333">
        <f t="shared" ca="1" si="45"/>
        <v>2</v>
      </c>
      <c r="M63" s="333">
        <f t="shared" ca="1" si="45"/>
        <v>2</v>
      </c>
      <c r="N63" s="333">
        <f t="shared" ca="1" si="45"/>
        <v>1</v>
      </c>
      <c r="O63" s="334">
        <f t="shared" ca="1" si="45"/>
        <v>1</v>
      </c>
      <c r="P63" s="576"/>
      <c r="Q63" s="575"/>
      <c r="R63" s="575"/>
      <c r="S63" s="159" t="s">
        <v>390</v>
      </c>
      <c r="T63" s="342"/>
      <c r="U63" s="345">
        <f t="shared" ref="U63:AA63" ca="1" si="46">(U7*(1+U18-U62)+U17+U19)*I63</f>
        <v>117308.73999999999</v>
      </c>
      <c r="V63" s="346">
        <f t="shared" ca="1" si="46"/>
        <v>123808.72868640345</v>
      </c>
      <c r="W63" s="346">
        <f t="shared" ca="1" si="46"/>
        <v>127776.68971002579</v>
      </c>
      <c r="X63" s="346">
        <f t="shared" ca="1" si="46"/>
        <v>267301.78163147293</v>
      </c>
      <c r="Y63" s="346">
        <f t="shared" ca="1" si="46"/>
        <v>276361.89064208721</v>
      </c>
      <c r="Z63" s="346">
        <f t="shared" ca="1" si="46"/>
        <v>142967.49322048048</v>
      </c>
      <c r="AA63" s="347">
        <f t="shared" ca="1" si="46"/>
        <v>148027.4750467246</v>
      </c>
      <c r="AB63" s="254"/>
      <c r="AC63" s="139">
        <v>1</v>
      </c>
    </row>
    <row r="64" spans="1:29" ht="15" hidden="1" customHeight="1" outlineLevel="1">
      <c r="A64" s="122"/>
      <c r="B64" s="149" t="s">
        <v>424</v>
      </c>
      <c r="C64" s="95"/>
      <c r="D64" s="95"/>
      <c r="E64" s="149"/>
      <c r="F64" s="149"/>
      <c r="G64" s="327"/>
      <c r="H64" s="329"/>
      <c r="I64" s="331"/>
      <c r="J64" s="331"/>
      <c r="K64" s="331"/>
      <c r="L64" s="331"/>
      <c r="M64" s="331"/>
      <c r="N64" s="331"/>
      <c r="O64" s="331"/>
      <c r="P64" s="335"/>
      <c r="Q64" s="499"/>
      <c r="R64" s="499"/>
      <c r="S64" s="159" t="s">
        <v>394</v>
      </c>
      <c r="T64" s="159"/>
      <c r="U64" s="344"/>
      <c r="V64" s="344"/>
      <c r="W64" s="344"/>
      <c r="X64" s="344"/>
      <c r="Y64" s="344"/>
      <c r="Z64" s="344"/>
      <c r="AA64" s="344"/>
      <c r="AB64" s="254"/>
      <c r="AC64" s="139">
        <v>0</v>
      </c>
    </row>
    <row r="65" spans="1:29" ht="15" hidden="1" customHeight="1" outlineLevel="1">
      <c r="A65" s="122"/>
      <c r="B65" s="149" t="s">
        <v>425</v>
      </c>
      <c r="C65" s="95"/>
      <c r="D65" s="95"/>
      <c r="E65" s="149"/>
      <c r="F65" s="149"/>
      <c r="G65" s="193"/>
      <c r="H65" s="194"/>
      <c r="I65" s="195"/>
      <c r="J65" s="195"/>
      <c r="K65" s="195"/>
      <c r="L65" s="195"/>
      <c r="M65" s="195"/>
      <c r="N65" s="195"/>
      <c r="O65" s="195"/>
      <c r="P65" s="196"/>
      <c r="Q65" s="499"/>
      <c r="R65" s="499"/>
      <c r="S65" s="159" t="s">
        <v>395</v>
      </c>
      <c r="T65" s="159"/>
      <c r="U65" s="159"/>
      <c r="V65" s="159"/>
      <c r="W65" s="159"/>
      <c r="X65" s="159"/>
      <c r="Y65" s="159"/>
      <c r="Z65" s="159"/>
      <c r="AA65" s="159"/>
      <c r="AB65" s="254"/>
      <c r="AC65" s="139">
        <v>0</v>
      </c>
    </row>
    <row r="66" spans="1:29" ht="15" hidden="1" customHeight="1" outlineLevel="1">
      <c r="A66" s="122"/>
      <c r="B66" s="122"/>
      <c r="C66" s="95"/>
      <c r="D66" s="95"/>
      <c r="E66" s="95"/>
      <c r="F66" s="95"/>
      <c r="G66" s="122"/>
      <c r="H66" s="122"/>
      <c r="I66" s="122"/>
      <c r="J66" s="122"/>
      <c r="K66" s="122"/>
      <c r="L66" s="122"/>
      <c r="M66" s="122"/>
      <c r="N66" s="122"/>
      <c r="O66" s="122"/>
      <c r="P66" s="183"/>
      <c r="Q66" s="500"/>
      <c r="R66" s="500"/>
      <c r="S66" s="183"/>
      <c r="T66" s="133"/>
      <c r="U66" s="133"/>
      <c r="V66" s="133"/>
      <c r="W66" s="133"/>
      <c r="X66" s="133"/>
      <c r="Y66" s="133"/>
      <c r="Z66" s="133"/>
      <c r="AA66" s="133"/>
      <c r="AB66" s="254"/>
      <c r="AC66" s="139">
        <v>0</v>
      </c>
    </row>
    <row r="67" spans="1:29" ht="15.75" hidden="1" customHeight="1" outlineLevel="1" thickBot="1">
      <c r="A67" s="89"/>
      <c r="B67" s="89"/>
      <c r="C67" s="89"/>
      <c r="D67" s="89"/>
      <c r="E67" s="89"/>
      <c r="F67" s="89"/>
      <c r="G67" s="89"/>
      <c r="H67" s="89"/>
      <c r="I67" s="89"/>
      <c r="J67" s="89"/>
      <c r="K67" s="89"/>
      <c r="L67" s="89"/>
      <c r="M67" s="89"/>
      <c r="N67" s="89"/>
      <c r="O67" s="89"/>
      <c r="P67" s="89"/>
      <c r="Q67" s="89"/>
      <c r="R67" s="89"/>
      <c r="S67" s="203"/>
      <c r="T67" s="203"/>
      <c r="U67" s="545"/>
      <c r="V67" s="545"/>
      <c r="W67" s="545"/>
      <c r="X67" s="545"/>
      <c r="Y67" s="545"/>
      <c r="Z67" s="545"/>
      <c r="AA67" s="545"/>
      <c r="AB67" s="89"/>
      <c r="AC67" s="139">
        <v>0</v>
      </c>
    </row>
    <row r="68" spans="1:29" collapsed="1">
      <c r="A68" s="89"/>
      <c r="B68" s="211" t="s">
        <v>398</v>
      </c>
      <c r="C68" s="81" t="str">
        <f t="shared" ref="C68:C87" si="47">LEFT($G$3,1) &amp; "S" &amp; D68</f>
        <v>ES_Clsfd</v>
      </c>
      <c r="D68" s="203" t="s">
        <v>448</v>
      </c>
      <c r="E68" s="211"/>
      <c r="F68" s="330"/>
      <c r="G68" s="1224" t="s">
        <v>449</v>
      </c>
      <c r="H68" s="271" t="s">
        <v>450</v>
      </c>
      <c r="I68" s="278">
        <f t="shared" ref="I68:O68" ca="1" si="48">IFERROR(INDEX(INDIRECT($B$68 &amp; $B$69), MATCH($C68, INDIRECT($B$68 &amp; $B$70),0), MATCH(I$4, INDIRECT($B$68 &amp; $B$71), 0)),0)-I69-I70</f>
        <v>3</v>
      </c>
      <c r="J68" s="279">
        <f t="shared" ca="1" si="48"/>
        <v>3</v>
      </c>
      <c r="K68" s="279">
        <f t="shared" ca="1" si="48"/>
        <v>3</v>
      </c>
      <c r="L68" s="279">
        <f t="shared" ca="1" si="48"/>
        <v>4</v>
      </c>
      <c r="M68" s="279">
        <f t="shared" ca="1" si="48"/>
        <v>4</v>
      </c>
      <c r="N68" s="279">
        <f t="shared" ca="1" si="48"/>
        <v>3</v>
      </c>
      <c r="O68" s="280">
        <f t="shared" ca="1" si="48"/>
        <v>3</v>
      </c>
      <c r="P68" s="577"/>
      <c r="Q68" s="501">
        <v>8</v>
      </c>
      <c r="R68" s="501"/>
      <c r="S68" s="206">
        <v>185</v>
      </c>
      <c r="T68" s="354" t="s">
        <v>380</v>
      </c>
      <c r="U68" s="360">
        <f t="shared" ref="U68:Z68" ca="1" si="49">IF(LEFT($G$3,1)="E", (VLOOKUP($T68, $T$7:$AA$13, MATCH(U$4, $S$4:$AA$4,0),0)*$Q68*$S68*(1+U$18-U$22)+U$17+U$19)*I68, 0)</f>
        <v>200205.10904670262</v>
      </c>
      <c r="V68" s="361">
        <f t="shared" ca="1" si="49"/>
        <v>207169.4297788706</v>
      </c>
      <c r="W68" s="361">
        <f t="shared" ca="1" si="49"/>
        <v>212494.85881813994</v>
      </c>
      <c r="X68" s="361">
        <f t="shared" ca="1" si="49"/>
        <v>290612.2201821584</v>
      </c>
      <c r="Y68" s="361">
        <f t="shared" ca="1" si="49"/>
        <v>298789.0445150563</v>
      </c>
      <c r="Z68" s="361">
        <f t="shared" ca="1" si="49"/>
        <v>230171.28657062014</v>
      </c>
      <c r="AA68" s="362">
        <f ca="1">IF(LEFT($G$3,1)="E", (VLOOKUP($T68, $T$7:$AA$13, MATCH(AA$4, $T$4:$AA$4,0),0)*$Q68*$S68*(1+AA$18-AA$22)+AA$17+AA$19)*O68, 0)</f>
        <v>232441.18829713558</v>
      </c>
      <c r="AB68" s="89"/>
      <c r="AC68" s="139">
        <v>1</v>
      </c>
    </row>
    <row r="69" spans="1:29">
      <c r="A69" s="81"/>
      <c r="B69" s="212" t="s">
        <v>423</v>
      </c>
      <c r="C69" s="81" t="str">
        <f t="shared" si="47"/>
        <v>ES_SpEdStaff</v>
      </c>
      <c r="D69" s="81" t="s">
        <v>451</v>
      </c>
      <c r="E69" s="81"/>
      <c r="F69" s="82"/>
      <c r="G69" s="1225"/>
      <c r="H69" s="272" t="s">
        <v>452</v>
      </c>
      <c r="I69" s="281">
        <f t="shared" ref="I69:O78" ca="1" si="50">IFERROR(INDEX(INDIRECT($B$73 &amp; $B$74), MATCH($C69, INDIRECT($B$73 &amp; $B$75),0), MATCH(I$4, INDIRECT($B$73 &amp; $B$76), 0)),0)</f>
        <v>5</v>
      </c>
      <c r="J69" s="96">
        <f t="shared" ca="1" si="50"/>
        <v>5</v>
      </c>
      <c r="K69" s="96">
        <f t="shared" ca="1" si="50"/>
        <v>5</v>
      </c>
      <c r="L69" s="96">
        <f t="shared" ca="1" si="50"/>
        <v>5</v>
      </c>
      <c r="M69" s="96">
        <f t="shared" ca="1" si="50"/>
        <v>5</v>
      </c>
      <c r="N69" s="96">
        <f t="shared" ca="1" si="50"/>
        <v>5</v>
      </c>
      <c r="O69" s="251">
        <f t="shared" ca="1" si="50"/>
        <v>5</v>
      </c>
      <c r="P69" s="568"/>
      <c r="Q69" s="501">
        <v>8</v>
      </c>
      <c r="R69" s="501"/>
      <c r="S69" s="206">
        <v>185</v>
      </c>
      <c r="T69" s="354" t="s">
        <v>380</v>
      </c>
      <c r="U69" s="363">
        <f t="shared" ref="U69:U87" ca="1" si="51">(VLOOKUP($T69, $T$7:$AA$13, MATCH(U$4, $S$4:$AA$4,0),0)*$Q69*$S69*(1+$U$18-$U$22)+$U$17+$U$19)*I69</f>
        <v>333675.18174450437</v>
      </c>
      <c r="V69" s="26">
        <f t="shared" ref="V69:V87" ca="1" si="52">(VLOOKUP($T69, $T$7:$AA$13, MATCH(V$4, $S$4:$AA$4,0),0)*$Q69*$S69*(1+V$18-V$22)+V$17+V$19)*J69</f>
        <v>345282.38296478434</v>
      </c>
      <c r="W69" s="26">
        <f t="shared" ref="W69:W87" ca="1" si="53">(VLOOKUP($T69, $T$7:$AA$13, MATCH(W$4, $S$4:$AA$4,0),0)*$Q69*$S69*(1+W$18-W$22)+W$17+W$19)*K69</f>
        <v>354158.09803023323</v>
      </c>
      <c r="X69" s="26">
        <f t="shared" ref="X69:X87" ca="1" si="54">(VLOOKUP($T69, $T$7:$AA$13, MATCH(X$4, $S$4:$AA$4,0),0)*$Q69*$S69*(1+X$18-X$22)+X$17+X$19)*L69</f>
        <v>363265.27522769803</v>
      </c>
      <c r="Y69" s="26">
        <f t="shared" ref="Y69:Y87" ca="1" si="55">(VLOOKUP($T69, $T$7:$AA$13, MATCH(Y$4, $S$4:$AA$4,0),0)*$Q69*$S69*(1+Y$18-Y$22)+Y$17+Y$19)*M69</f>
        <v>373486.30564382038</v>
      </c>
      <c r="Z69" s="26">
        <f t="shared" ref="Z69:Z87" ca="1" si="56">(VLOOKUP($T69, $T$7:$AA$13, MATCH(Z$4, $S$4:$AA$4,0),0)*$Q69*$S69*(1+Z$18-Z$22)+Z$17+Z$19)*N69</f>
        <v>383618.81095103361</v>
      </c>
      <c r="AA69" s="364">
        <f t="shared" ref="AA69:AA87" ca="1" si="57">(VLOOKUP($T69, $T$7:$AA$13, MATCH(AA$4, $T$4:$AA$4,0),0)*$Q69*$S69*(1+AA$18-AA$22)+AA$17+AA$19)*O69</f>
        <v>387401.98049522593</v>
      </c>
      <c r="AB69" s="355"/>
      <c r="AC69" s="139">
        <v>1</v>
      </c>
    </row>
    <row r="70" spans="1:29">
      <c r="A70" s="81"/>
      <c r="B70" s="212" t="s">
        <v>424</v>
      </c>
      <c r="C70" s="81" t="str">
        <f t="shared" si="47"/>
        <v>ES_PrinSec</v>
      </c>
      <c r="D70" s="81" t="s">
        <v>453</v>
      </c>
      <c r="E70" s="81"/>
      <c r="F70" s="82"/>
      <c r="G70" s="1225"/>
      <c r="H70" s="272" t="s">
        <v>454</v>
      </c>
      <c r="I70" s="281">
        <f t="shared" ca="1" si="50"/>
        <v>1</v>
      </c>
      <c r="J70" s="96">
        <f t="shared" ca="1" si="50"/>
        <v>1</v>
      </c>
      <c r="K70" s="96">
        <f t="shared" ca="1" si="50"/>
        <v>1</v>
      </c>
      <c r="L70" s="96">
        <f t="shared" ca="1" si="50"/>
        <v>1</v>
      </c>
      <c r="M70" s="96">
        <f t="shared" ca="1" si="50"/>
        <v>1</v>
      </c>
      <c r="N70" s="96">
        <f t="shared" ca="1" si="50"/>
        <v>1</v>
      </c>
      <c r="O70" s="251">
        <f t="shared" ca="1" si="50"/>
        <v>1</v>
      </c>
      <c r="P70" s="568"/>
      <c r="Q70" s="501">
        <v>8</v>
      </c>
      <c r="R70" s="501"/>
      <c r="S70" s="206">
        <f>IF(LEFT($G$3, 1) = "E", 210,260)</f>
        <v>210</v>
      </c>
      <c r="T70" s="354" t="s">
        <v>384</v>
      </c>
      <c r="U70" s="363">
        <f t="shared" ca="1" si="51"/>
        <v>75847.4135942305</v>
      </c>
      <c r="V70" s="26">
        <f t="shared" ca="1" si="52"/>
        <v>78491.479420254007</v>
      </c>
      <c r="W70" s="26">
        <f t="shared" ca="1" si="53"/>
        <v>80480.241446861008</v>
      </c>
      <c r="X70" s="26">
        <f t="shared" ca="1" si="54"/>
        <v>82519.860478874078</v>
      </c>
      <c r="Y70" s="26">
        <f t="shared" ca="1" si="55"/>
        <v>84820.53264150492</v>
      </c>
      <c r="Z70" s="26">
        <f t="shared" ca="1" si="56"/>
        <v>87095.485115455318</v>
      </c>
      <c r="AA70" s="364">
        <f t="shared" ca="1" si="57"/>
        <v>87852.119024293788</v>
      </c>
      <c r="AB70" s="355"/>
      <c r="AC70" s="139">
        <v>1</v>
      </c>
    </row>
    <row r="71" spans="1:29">
      <c r="A71" s="81"/>
      <c r="B71" s="212" t="s">
        <v>425</v>
      </c>
      <c r="C71" s="81" t="str">
        <f t="shared" si="47"/>
        <v>ES_AltEdTeenParent</v>
      </c>
      <c r="D71" s="81" t="s">
        <v>455</v>
      </c>
      <c r="E71" s="81"/>
      <c r="F71" s="82"/>
      <c r="G71" s="1225"/>
      <c r="H71" s="272" t="s">
        <v>456</v>
      </c>
      <c r="I71" s="281">
        <f t="shared" ca="1" si="50"/>
        <v>0</v>
      </c>
      <c r="J71" s="96">
        <f t="shared" ca="1" si="50"/>
        <v>0</v>
      </c>
      <c r="K71" s="96">
        <f t="shared" ca="1" si="50"/>
        <v>0</v>
      </c>
      <c r="L71" s="96">
        <f t="shared" ca="1" si="50"/>
        <v>0</v>
      </c>
      <c r="M71" s="96">
        <f t="shared" ca="1" si="50"/>
        <v>0</v>
      </c>
      <c r="N71" s="96">
        <f t="shared" ca="1" si="50"/>
        <v>0</v>
      </c>
      <c r="O71" s="251">
        <f t="shared" ca="1" si="50"/>
        <v>0</v>
      </c>
      <c r="P71" s="568"/>
      <c r="Q71" s="501">
        <v>8</v>
      </c>
      <c r="R71" s="501"/>
      <c r="S71" s="206">
        <v>220</v>
      </c>
      <c r="T71" s="354" t="s">
        <v>380</v>
      </c>
      <c r="U71" s="363">
        <f t="shared" ca="1" si="51"/>
        <v>0</v>
      </c>
      <c r="V71" s="26">
        <f t="shared" ca="1" si="52"/>
        <v>0</v>
      </c>
      <c r="W71" s="26">
        <f t="shared" ca="1" si="53"/>
        <v>0</v>
      </c>
      <c r="X71" s="26">
        <f t="shared" ca="1" si="54"/>
        <v>0</v>
      </c>
      <c r="Y71" s="26">
        <f t="shared" ca="1" si="55"/>
        <v>0</v>
      </c>
      <c r="Z71" s="26">
        <f t="shared" ca="1" si="56"/>
        <v>0</v>
      </c>
      <c r="AA71" s="364">
        <f t="shared" ca="1" si="57"/>
        <v>0</v>
      </c>
      <c r="AB71" s="355"/>
      <c r="AC71" s="139">
        <v>1</v>
      </c>
    </row>
    <row r="72" spans="1:29">
      <c r="A72" s="81"/>
      <c r="B72" s="81"/>
      <c r="C72" s="81" t="str">
        <f t="shared" si="47"/>
        <v>ES_CounsOffice</v>
      </c>
      <c r="D72" s="81" t="s">
        <v>457</v>
      </c>
      <c r="E72" s="81"/>
      <c r="F72" s="82"/>
      <c r="G72" s="1225"/>
      <c r="H72" s="272" t="s">
        <v>458</v>
      </c>
      <c r="I72" s="281">
        <f t="shared" ca="1" si="50"/>
        <v>0</v>
      </c>
      <c r="J72" s="96">
        <f t="shared" ca="1" si="50"/>
        <v>0</v>
      </c>
      <c r="K72" s="96">
        <f t="shared" ca="1" si="50"/>
        <v>0</v>
      </c>
      <c r="L72" s="96">
        <f t="shared" ca="1" si="50"/>
        <v>0</v>
      </c>
      <c r="M72" s="96">
        <f t="shared" ca="1" si="50"/>
        <v>0</v>
      </c>
      <c r="N72" s="96">
        <f t="shared" ca="1" si="50"/>
        <v>0</v>
      </c>
      <c r="O72" s="251">
        <f t="shared" ca="1" si="50"/>
        <v>0</v>
      </c>
      <c r="P72" s="568"/>
      <c r="Q72" s="501">
        <v>8</v>
      </c>
      <c r="R72" s="501"/>
      <c r="S72" s="206">
        <v>220</v>
      </c>
      <c r="T72" s="354" t="s">
        <v>380</v>
      </c>
      <c r="U72" s="363">
        <f t="shared" ca="1" si="51"/>
        <v>0</v>
      </c>
      <c r="V72" s="26">
        <f t="shared" ca="1" si="52"/>
        <v>0</v>
      </c>
      <c r="W72" s="26">
        <f t="shared" ca="1" si="53"/>
        <v>0</v>
      </c>
      <c r="X72" s="26">
        <f t="shared" ca="1" si="54"/>
        <v>0</v>
      </c>
      <c r="Y72" s="26">
        <f t="shared" ca="1" si="55"/>
        <v>0</v>
      </c>
      <c r="Z72" s="26">
        <f t="shared" ca="1" si="56"/>
        <v>0</v>
      </c>
      <c r="AA72" s="364">
        <f t="shared" ca="1" si="57"/>
        <v>0</v>
      </c>
      <c r="AB72" s="355"/>
      <c r="AC72" s="139">
        <v>1</v>
      </c>
    </row>
    <row r="73" spans="1:29">
      <c r="A73" s="81"/>
      <c r="B73" s="81" t="s">
        <v>434</v>
      </c>
      <c r="C73" s="81" t="str">
        <f t="shared" si="47"/>
        <v>ES_S2W_Coord</v>
      </c>
      <c r="D73" s="81" t="s">
        <v>459</v>
      </c>
      <c r="E73" s="81"/>
      <c r="F73" s="82"/>
      <c r="G73" s="1225"/>
      <c r="H73" s="272" t="s">
        <v>460</v>
      </c>
      <c r="I73" s="281">
        <f t="shared" ca="1" si="50"/>
        <v>0</v>
      </c>
      <c r="J73" s="96">
        <f t="shared" ca="1" si="50"/>
        <v>0</v>
      </c>
      <c r="K73" s="96">
        <f t="shared" ca="1" si="50"/>
        <v>0</v>
      </c>
      <c r="L73" s="96">
        <f t="shared" ca="1" si="50"/>
        <v>0</v>
      </c>
      <c r="M73" s="96">
        <f t="shared" ca="1" si="50"/>
        <v>0</v>
      </c>
      <c r="N73" s="96">
        <f t="shared" ca="1" si="50"/>
        <v>0</v>
      </c>
      <c r="O73" s="251">
        <f t="shared" ca="1" si="50"/>
        <v>0</v>
      </c>
      <c r="P73" s="568"/>
      <c r="Q73" s="501">
        <v>8</v>
      </c>
      <c r="R73" s="501"/>
      <c r="S73" s="206">
        <v>220</v>
      </c>
      <c r="T73" s="354" t="s">
        <v>380</v>
      </c>
      <c r="U73" s="363">
        <f t="shared" ca="1" si="51"/>
        <v>0</v>
      </c>
      <c r="V73" s="26">
        <f t="shared" ca="1" si="52"/>
        <v>0</v>
      </c>
      <c r="W73" s="26">
        <f t="shared" ca="1" si="53"/>
        <v>0</v>
      </c>
      <c r="X73" s="26">
        <f t="shared" ca="1" si="54"/>
        <v>0</v>
      </c>
      <c r="Y73" s="26">
        <f t="shared" ca="1" si="55"/>
        <v>0</v>
      </c>
      <c r="Z73" s="26">
        <f t="shared" ca="1" si="56"/>
        <v>0</v>
      </c>
      <c r="AA73" s="364">
        <f t="shared" ca="1" si="57"/>
        <v>0</v>
      </c>
      <c r="AB73" s="355"/>
      <c r="AC73" s="139">
        <v>1</v>
      </c>
    </row>
    <row r="74" spans="1:29">
      <c r="A74" s="81"/>
      <c r="B74" s="81" t="s">
        <v>461</v>
      </c>
      <c r="C74" s="81" t="str">
        <f t="shared" si="47"/>
        <v>ES_Registrar</v>
      </c>
      <c r="D74" s="81" t="s">
        <v>462</v>
      </c>
      <c r="E74" s="81"/>
      <c r="F74" s="82"/>
      <c r="G74" s="1225"/>
      <c r="H74" s="272" t="s">
        <v>463</v>
      </c>
      <c r="I74" s="281">
        <f t="shared" ca="1" si="50"/>
        <v>0</v>
      </c>
      <c r="J74" s="96">
        <f t="shared" ca="1" si="50"/>
        <v>0</v>
      </c>
      <c r="K74" s="96">
        <f t="shared" ca="1" si="50"/>
        <v>0</v>
      </c>
      <c r="L74" s="96">
        <f t="shared" ca="1" si="50"/>
        <v>0</v>
      </c>
      <c r="M74" s="96">
        <f t="shared" ca="1" si="50"/>
        <v>0</v>
      </c>
      <c r="N74" s="96">
        <f t="shared" ca="1" si="50"/>
        <v>0</v>
      </c>
      <c r="O74" s="251">
        <f t="shared" ca="1" si="50"/>
        <v>0</v>
      </c>
      <c r="P74" s="568"/>
      <c r="Q74" s="501">
        <v>8</v>
      </c>
      <c r="R74" s="501"/>
      <c r="S74" s="206">
        <v>260</v>
      </c>
      <c r="T74" s="354" t="s">
        <v>380</v>
      </c>
      <c r="U74" s="363">
        <f t="shared" ca="1" si="51"/>
        <v>0</v>
      </c>
      <c r="V74" s="26">
        <f t="shared" ca="1" si="52"/>
        <v>0</v>
      </c>
      <c r="W74" s="26">
        <f t="shared" ca="1" si="53"/>
        <v>0</v>
      </c>
      <c r="X74" s="26">
        <f t="shared" ca="1" si="54"/>
        <v>0</v>
      </c>
      <c r="Y74" s="26">
        <f t="shared" ca="1" si="55"/>
        <v>0</v>
      </c>
      <c r="Z74" s="26">
        <f t="shared" ca="1" si="56"/>
        <v>0</v>
      </c>
      <c r="AA74" s="364">
        <f t="shared" ca="1" si="57"/>
        <v>0</v>
      </c>
      <c r="AB74" s="355"/>
      <c r="AC74" s="139">
        <v>1</v>
      </c>
    </row>
    <row r="75" spans="1:29">
      <c r="A75" s="81"/>
      <c r="B75" s="81" t="s">
        <v>464</v>
      </c>
      <c r="C75" s="81" t="str">
        <f t="shared" si="47"/>
        <v>ES_Attendance</v>
      </c>
      <c r="D75" s="81" t="s">
        <v>465</v>
      </c>
      <c r="E75" s="81"/>
      <c r="F75" s="82"/>
      <c r="G75" s="1225"/>
      <c r="H75" s="272" t="s">
        <v>466</v>
      </c>
      <c r="I75" s="281">
        <f t="shared" ca="1" si="50"/>
        <v>0</v>
      </c>
      <c r="J75" s="96">
        <f t="shared" ca="1" si="50"/>
        <v>0</v>
      </c>
      <c r="K75" s="96">
        <f t="shared" ca="1" si="50"/>
        <v>0</v>
      </c>
      <c r="L75" s="96">
        <f t="shared" ca="1" si="50"/>
        <v>0</v>
      </c>
      <c r="M75" s="96">
        <f t="shared" ca="1" si="50"/>
        <v>0</v>
      </c>
      <c r="N75" s="96">
        <f t="shared" ca="1" si="50"/>
        <v>0</v>
      </c>
      <c r="O75" s="251">
        <f t="shared" ca="1" si="50"/>
        <v>0</v>
      </c>
      <c r="P75" s="568"/>
      <c r="Q75" s="501">
        <v>8</v>
      </c>
      <c r="R75" s="501"/>
      <c r="S75" s="206">
        <v>185</v>
      </c>
      <c r="T75" s="354" t="s">
        <v>380</v>
      </c>
      <c r="U75" s="363">
        <f t="shared" ca="1" si="51"/>
        <v>0</v>
      </c>
      <c r="V75" s="26">
        <f t="shared" ca="1" si="52"/>
        <v>0</v>
      </c>
      <c r="W75" s="26">
        <f t="shared" ca="1" si="53"/>
        <v>0</v>
      </c>
      <c r="X75" s="26">
        <f t="shared" ca="1" si="54"/>
        <v>0</v>
      </c>
      <c r="Y75" s="26">
        <f t="shared" ca="1" si="55"/>
        <v>0</v>
      </c>
      <c r="Z75" s="26">
        <f t="shared" ca="1" si="56"/>
        <v>0</v>
      </c>
      <c r="AA75" s="364">
        <f t="shared" ca="1" si="57"/>
        <v>0</v>
      </c>
      <c r="AB75" s="355"/>
      <c r="AC75" s="139">
        <v>1</v>
      </c>
    </row>
    <row r="76" spans="1:29">
      <c r="A76" s="81"/>
      <c r="B76" s="81" t="s">
        <v>443</v>
      </c>
      <c r="C76" s="81" t="str">
        <f t="shared" si="47"/>
        <v>ES_CommOutreach</v>
      </c>
      <c r="D76" s="81" t="s">
        <v>467</v>
      </c>
      <c r="E76" s="81"/>
      <c r="F76" s="82"/>
      <c r="G76" s="1225"/>
      <c r="H76" s="272" t="s">
        <v>468</v>
      </c>
      <c r="I76" s="281">
        <f t="shared" ca="1" si="50"/>
        <v>0</v>
      </c>
      <c r="J76" s="96">
        <f t="shared" ca="1" si="50"/>
        <v>0</v>
      </c>
      <c r="K76" s="96">
        <f t="shared" ca="1" si="50"/>
        <v>0</v>
      </c>
      <c r="L76" s="96">
        <f t="shared" ca="1" si="50"/>
        <v>0</v>
      </c>
      <c r="M76" s="96">
        <f t="shared" ca="1" si="50"/>
        <v>0</v>
      </c>
      <c r="N76" s="96">
        <f t="shared" ca="1" si="50"/>
        <v>0</v>
      </c>
      <c r="O76" s="251">
        <f t="shared" ca="1" si="50"/>
        <v>0</v>
      </c>
      <c r="P76" s="568"/>
      <c r="Q76" s="501">
        <v>8</v>
      </c>
      <c r="R76" s="501"/>
      <c r="S76" s="206">
        <v>185</v>
      </c>
      <c r="T76" s="354" t="s">
        <v>380</v>
      </c>
      <c r="U76" s="363">
        <f t="shared" ca="1" si="51"/>
        <v>0</v>
      </c>
      <c r="V76" s="26">
        <f t="shared" ca="1" si="52"/>
        <v>0</v>
      </c>
      <c r="W76" s="26">
        <f t="shared" ca="1" si="53"/>
        <v>0</v>
      </c>
      <c r="X76" s="26">
        <f t="shared" ca="1" si="54"/>
        <v>0</v>
      </c>
      <c r="Y76" s="26">
        <f t="shared" ca="1" si="55"/>
        <v>0</v>
      </c>
      <c r="Z76" s="26">
        <f t="shared" ca="1" si="56"/>
        <v>0</v>
      </c>
      <c r="AA76" s="364">
        <f t="shared" ca="1" si="57"/>
        <v>0</v>
      </c>
      <c r="AB76" s="355"/>
      <c r="AC76" s="139">
        <v>1</v>
      </c>
    </row>
    <row r="77" spans="1:29">
      <c r="A77" s="81"/>
      <c r="B77" s="81"/>
      <c r="C77" s="81" t="str">
        <f t="shared" si="47"/>
        <v>ES_FamResCenCoord</v>
      </c>
      <c r="D77" s="81" t="s">
        <v>469</v>
      </c>
      <c r="E77" s="81"/>
      <c r="F77" s="82"/>
      <c r="G77" s="1225"/>
      <c r="H77" s="272" t="s">
        <v>470</v>
      </c>
      <c r="I77" s="281">
        <f t="shared" ca="1" si="50"/>
        <v>1</v>
      </c>
      <c r="J77" s="96">
        <f t="shared" ca="1" si="50"/>
        <v>1</v>
      </c>
      <c r="K77" s="96">
        <f t="shared" ca="1" si="50"/>
        <v>1</v>
      </c>
      <c r="L77" s="96">
        <f t="shared" ca="1" si="50"/>
        <v>1</v>
      </c>
      <c r="M77" s="96">
        <f t="shared" ca="1" si="50"/>
        <v>1</v>
      </c>
      <c r="N77" s="96">
        <f t="shared" ca="1" si="50"/>
        <v>1</v>
      </c>
      <c r="O77" s="251">
        <f t="shared" ca="1" si="50"/>
        <v>1</v>
      </c>
      <c r="P77" s="568"/>
      <c r="Q77" s="501">
        <v>8</v>
      </c>
      <c r="R77" s="501"/>
      <c r="S77" s="206">
        <v>185</v>
      </c>
      <c r="T77" s="354" t="s">
        <v>380</v>
      </c>
      <c r="U77" s="363">
        <f t="shared" ca="1" si="51"/>
        <v>66735.036348900874</v>
      </c>
      <c r="V77" s="26">
        <f t="shared" ca="1" si="52"/>
        <v>69056.476592956868</v>
      </c>
      <c r="W77" s="26">
        <f t="shared" ca="1" si="53"/>
        <v>70831.619606046646</v>
      </c>
      <c r="X77" s="26">
        <f t="shared" ca="1" si="54"/>
        <v>72653.055045539601</v>
      </c>
      <c r="Y77" s="26">
        <f t="shared" ca="1" si="55"/>
        <v>74697.261128764076</v>
      </c>
      <c r="Z77" s="26">
        <f t="shared" ca="1" si="56"/>
        <v>76723.762190206719</v>
      </c>
      <c r="AA77" s="364">
        <f t="shared" ca="1" si="57"/>
        <v>77480.396099045189</v>
      </c>
      <c r="AB77" s="355"/>
      <c r="AC77" s="139">
        <v>1</v>
      </c>
    </row>
    <row r="78" spans="1:29">
      <c r="A78" s="81"/>
      <c r="B78" s="81"/>
      <c r="C78" s="81" t="str">
        <f t="shared" si="47"/>
        <v>ES_DeptSupport</v>
      </c>
      <c r="D78" s="81" t="s">
        <v>471</v>
      </c>
      <c r="E78" s="81"/>
      <c r="F78" s="82"/>
      <c r="G78" s="1225"/>
      <c r="H78" s="272" t="s">
        <v>472</v>
      </c>
      <c r="I78" s="281">
        <f t="shared" ca="1" si="50"/>
        <v>0</v>
      </c>
      <c r="J78" s="96">
        <f t="shared" ca="1" si="50"/>
        <v>0</v>
      </c>
      <c r="K78" s="96">
        <f t="shared" ca="1" si="50"/>
        <v>0</v>
      </c>
      <c r="L78" s="96">
        <f t="shared" ca="1" si="50"/>
        <v>0</v>
      </c>
      <c r="M78" s="96">
        <f t="shared" ca="1" si="50"/>
        <v>0</v>
      </c>
      <c r="N78" s="96">
        <f t="shared" ca="1" si="50"/>
        <v>0</v>
      </c>
      <c r="O78" s="251">
        <f t="shared" ca="1" si="50"/>
        <v>0</v>
      </c>
      <c r="P78" s="568"/>
      <c r="Q78" s="501">
        <v>8</v>
      </c>
      <c r="R78" s="501"/>
      <c r="S78" s="206">
        <v>185</v>
      </c>
      <c r="T78" s="354" t="s">
        <v>380</v>
      </c>
      <c r="U78" s="363">
        <f t="shared" ca="1" si="51"/>
        <v>0</v>
      </c>
      <c r="V78" s="26">
        <f t="shared" ca="1" si="52"/>
        <v>0</v>
      </c>
      <c r="W78" s="26">
        <f t="shared" ca="1" si="53"/>
        <v>0</v>
      </c>
      <c r="X78" s="26">
        <f t="shared" ca="1" si="54"/>
        <v>0</v>
      </c>
      <c r="Y78" s="26">
        <f t="shared" ca="1" si="55"/>
        <v>0</v>
      </c>
      <c r="Z78" s="26">
        <f t="shared" ca="1" si="56"/>
        <v>0</v>
      </c>
      <c r="AA78" s="364">
        <f t="shared" ca="1" si="57"/>
        <v>0</v>
      </c>
      <c r="AB78" s="355"/>
      <c r="AC78" s="139">
        <v>1</v>
      </c>
    </row>
    <row r="79" spans="1:29">
      <c r="A79" s="81"/>
      <c r="B79" s="81"/>
      <c r="C79" s="81" t="str">
        <f t="shared" si="47"/>
        <v>ES_Bookkeeper</v>
      </c>
      <c r="D79" s="81" t="s">
        <v>473</v>
      </c>
      <c r="E79" s="81"/>
      <c r="F79" s="82"/>
      <c r="G79" s="1225"/>
      <c r="H79" s="272" t="s">
        <v>474</v>
      </c>
      <c r="I79" s="281">
        <f t="shared" ref="I79:O86" ca="1" si="58">IFERROR(INDEX(INDIRECT($B$73 &amp; $B$74), MATCH($C79, INDIRECT($B$73 &amp; $B$75),0), MATCH(I$4, INDIRECT($B$73 &amp; $B$76), 0)),0)</f>
        <v>0</v>
      </c>
      <c r="J79" s="96">
        <f t="shared" ca="1" si="58"/>
        <v>0</v>
      </c>
      <c r="K79" s="96">
        <f t="shared" ca="1" si="58"/>
        <v>0</v>
      </c>
      <c r="L79" s="96">
        <f t="shared" ca="1" si="58"/>
        <v>0</v>
      </c>
      <c r="M79" s="96">
        <f t="shared" ca="1" si="58"/>
        <v>0</v>
      </c>
      <c r="N79" s="96">
        <f t="shared" ca="1" si="58"/>
        <v>0</v>
      </c>
      <c r="O79" s="251">
        <f t="shared" ca="1" si="58"/>
        <v>0</v>
      </c>
      <c r="P79" s="568"/>
      <c r="Q79" s="501">
        <v>8</v>
      </c>
      <c r="R79" s="501"/>
      <c r="S79" s="206">
        <v>260</v>
      </c>
      <c r="T79" s="354" t="s">
        <v>380</v>
      </c>
      <c r="U79" s="363">
        <f t="shared" ca="1" si="51"/>
        <v>0</v>
      </c>
      <c r="V79" s="26">
        <f t="shared" ca="1" si="52"/>
        <v>0</v>
      </c>
      <c r="W79" s="26">
        <f t="shared" ca="1" si="53"/>
        <v>0</v>
      </c>
      <c r="X79" s="26">
        <f t="shared" ca="1" si="54"/>
        <v>0</v>
      </c>
      <c r="Y79" s="26">
        <f t="shared" ca="1" si="55"/>
        <v>0</v>
      </c>
      <c r="Z79" s="26">
        <f t="shared" ca="1" si="56"/>
        <v>0</v>
      </c>
      <c r="AA79" s="364">
        <f t="shared" ca="1" si="57"/>
        <v>0</v>
      </c>
      <c r="AB79" s="355"/>
      <c r="AC79" s="139">
        <v>1</v>
      </c>
    </row>
    <row r="80" spans="1:29">
      <c r="A80" s="81"/>
      <c r="B80" s="81"/>
      <c r="C80" s="81" t="str">
        <f t="shared" si="47"/>
        <v>ES_Vol_Coord</v>
      </c>
      <c r="D80" s="81" t="s">
        <v>475</v>
      </c>
      <c r="E80" s="81"/>
      <c r="F80" s="82"/>
      <c r="G80" s="1225"/>
      <c r="H80" s="272" t="s">
        <v>476</v>
      </c>
      <c r="I80" s="281">
        <f t="shared" ca="1" si="58"/>
        <v>0</v>
      </c>
      <c r="J80" s="96">
        <f t="shared" ca="1" si="58"/>
        <v>0</v>
      </c>
      <c r="K80" s="96">
        <f t="shared" ca="1" si="58"/>
        <v>0</v>
      </c>
      <c r="L80" s="96">
        <f t="shared" ca="1" si="58"/>
        <v>0</v>
      </c>
      <c r="M80" s="96">
        <f t="shared" ca="1" si="58"/>
        <v>0</v>
      </c>
      <c r="N80" s="96">
        <f t="shared" ca="1" si="58"/>
        <v>0</v>
      </c>
      <c r="O80" s="251">
        <f t="shared" ca="1" si="58"/>
        <v>0</v>
      </c>
      <c r="P80" s="568"/>
      <c r="Q80" s="501">
        <v>8</v>
      </c>
      <c r="R80" s="501"/>
      <c r="S80" s="206">
        <v>220</v>
      </c>
      <c r="T80" s="354" t="s">
        <v>380</v>
      </c>
      <c r="U80" s="363">
        <f t="shared" ca="1" si="51"/>
        <v>0</v>
      </c>
      <c r="V80" s="26">
        <f t="shared" ca="1" si="52"/>
        <v>0</v>
      </c>
      <c r="W80" s="26">
        <f t="shared" ca="1" si="53"/>
        <v>0</v>
      </c>
      <c r="X80" s="26">
        <f t="shared" ca="1" si="54"/>
        <v>0</v>
      </c>
      <c r="Y80" s="26">
        <f t="shared" ca="1" si="55"/>
        <v>0</v>
      </c>
      <c r="Z80" s="26">
        <f t="shared" ca="1" si="56"/>
        <v>0</v>
      </c>
      <c r="AA80" s="364">
        <f t="shared" ca="1" si="57"/>
        <v>0</v>
      </c>
      <c r="AB80" s="355"/>
      <c r="AC80" s="139">
        <v>1</v>
      </c>
    </row>
    <row r="81" spans="1:29">
      <c r="A81" s="81"/>
      <c r="B81" s="81"/>
      <c r="C81" s="81" t="str">
        <f t="shared" si="47"/>
        <v>ES_HlthClrk</v>
      </c>
      <c r="D81" s="81" t="s">
        <v>477</v>
      </c>
      <c r="E81" s="81"/>
      <c r="F81" s="82"/>
      <c r="G81" s="1225"/>
      <c r="H81" s="272" t="s">
        <v>478</v>
      </c>
      <c r="I81" s="281">
        <f t="shared" ca="1" si="58"/>
        <v>0</v>
      </c>
      <c r="J81" s="96">
        <f t="shared" ca="1" si="58"/>
        <v>0</v>
      </c>
      <c r="K81" s="96">
        <f t="shared" ca="1" si="58"/>
        <v>0</v>
      </c>
      <c r="L81" s="96">
        <f t="shared" ca="1" si="58"/>
        <v>0</v>
      </c>
      <c r="M81" s="96">
        <f t="shared" ca="1" si="58"/>
        <v>0</v>
      </c>
      <c r="N81" s="96">
        <f t="shared" ca="1" si="58"/>
        <v>0</v>
      </c>
      <c r="O81" s="251">
        <f t="shared" ca="1" si="58"/>
        <v>0</v>
      </c>
      <c r="P81" s="568"/>
      <c r="Q81" s="501">
        <v>8</v>
      </c>
      <c r="R81" s="501"/>
      <c r="S81" s="206">
        <v>185</v>
      </c>
      <c r="T81" s="354" t="s">
        <v>380</v>
      </c>
      <c r="U81" s="363">
        <f t="shared" ca="1" si="51"/>
        <v>0</v>
      </c>
      <c r="V81" s="26">
        <f t="shared" ca="1" si="52"/>
        <v>0</v>
      </c>
      <c r="W81" s="26">
        <f t="shared" ca="1" si="53"/>
        <v>0</v>
      </c>
      <c r="X81" s="26">
        <f t="shared" ca="1" si="54"/>
        <v>0</v>
      </c>
      <c r="Y81" s="26">
        <f t="shared" ca="1" si="55"/>
        <v>0</v>
      </c>
      <c r="Z81" s="26">
        <f t="shared" ca="1" si="56"/>
        <v>0</v>
      </c>
      <c r="AA81" s="364">
        <f t="shared" ca="1" si="57"/>
        <v>0</v>
      </c>
      <c r="AB81" s="355"/>
      <c r="AC81" s="139">
        <v>1</v>
      </c>
    </row>
    <row r="82" spans="1:29">
      <c r="A82" s="81"/>
      <c r="B82" s="81"/>
      <c r="C82" s="81" t="str">
        <f t="shared" si="47"/>
        <v>ES_MediaCentAsst</v>
      </c>
      <c r="D82" s="81" t="s">
        <v>479</v>
      </c>
      <c r="E82" s="81"/>
      <c r="F82" s="82"/>
      <c r="G82" s="1225"/>
      <c r="H82" s="272" t="s">
        <v>480</v>
      </c>
      <c r="I82" s="281">
        <f t="shared" ca="1" si="58"/>
        <v>1</v>
      </c>
      <c r="J82" s="96">
        <f t="shared" ca="1" si="58"/>
        <v>1</v>
      </c>
      <c r="K82" s="96">
        <f t="shared" ca="1" si="58"/>
        <v>1</v>
      </c>
      <c r="L82" s="96">
        <f t="shared" ca="1" si="58"/>
        <v>1</v>
      </c>
      <c r="M82" s="96">
        <f t="shared" ca="1" si="58"/>
        <v>1</v>
      </c>
      <c r="N82" s="96">
        <f t="shared" ca="1" si="58"/>
        <v>1</v>
      </c>
      <c r="O82" s="251">
        <f t="shared" ca="1" si="58"/>
        <v>1</v>
      </c>
      <c r="P82" s="568"/>
      <c r="Q82" s="501">
        <v>8</v>
      </c>
      <c r="R82" s="501"/>
      <c r="S82" s="206">
        <v>220</v>
      </c>
      <c r="T82" s="354" t="s">
        <v>380</v>
      </c>
      <c r="U82" s="363">
        <f t="shared" ca="1" si="51"/>
        <v>75719.070252746984</v>
      </c>
      <c r="V82" s="26">
        <f t="shared" ca="1" si="52"/>
        <v>78358.592056489259</v>
      </c>
      <c r="W82" s="26">
        <f t="shared" ca="1" si="53"/>
        <v>80344.345364596025</v>
      </c>
      <c r="X82" s="26">
        <f t="shared" ca="1" si="54"/>
        <v>82380.891388263743</v>
      </c>
      <c r="Y82" s="26">
        <f t="shared" ca="1" si="55"/>
        <v>84677.951352593082</v>
      </c>
      <c r="Z82" s="26">
        <f t="shared" ca="1" si="56"/>
        <v>86949.404510874359</v>
      </c>
      <c r="AA82" s="364">
        <f t="shared" ca="1" si="57"/>
        <v>87706.03841971283</v>
      </c>
      <c r="AB82" s="355"/>
      <c r="AC82" s="139">
        <v>1</v>
      </c>
    </row>
    <row r="83" spans="1:29">
      <c r="A83" s="81"/>
      <c r="B83" s="81"/>
      <c r="C83" s="81" t="str">
        <f t="shared" si="47"/>
        <v>ES_Receptionist</v>
      </c>
      <c r="D83" s="81" t="s">
        <v>481</v>
      </c>
      <c r="E83" s="81"/>
      <c r="F83" s="82"/>
      <c r="G83" s="1225"/>
      <c r="H83" s="272" t="s">
        <v>482</v>
      </c>
      <c r="I83" s="281">
        <f t="shared" ca="1" si="58"/>
        <v>0</v>
      </c>
      <c r="J83" s="96">
        <f t="shared" ca="1" si="58"/>
        <v>0</v>
      </c>
      <c r="K83" s="96">
        <f t="shared" ca="1" si="58"/>
        <v>0</v>
      </c>
      <c r="L83" s="96">
        <f t="shared" ca="1" si="58"/>
        <v>0</v>
      </c>
      <c r="M83" s="96">
        <f t="shared" ca="1" si="58"/>
        <v>0</v>
      </c>
      <c r="N83" s="96">
        <f t="shared" ca="1" si="58"/>
        <v>0</v>
      </c>
      <c r="O83" s="251">
        <f t="shared" ca="1" si="58"/>
        <v>0</v>
      </c>
      <c r="P83" s="568"/>
      <c r="Q83" s="501">
        <v>8</v>
      </c>
      <c r="R83" s="501"/>
      <c r="S83" s="206">
        <v>185</v>
      </c>
      <c r="T83" s="354" t="s">
        <v>380</v>
      </c>
      <c r="U83" s="363">
        <f t="shared" ca="1" si="51"/>
        <v>0</v>
      </c>
      <c r="V83" s="26">
        <f t="shared" ca="1" si="52"/>
        <v>0</v>
      </c>
      <c r="W83" s="26">
        <f t="shared" ca="1" si="53"/>
        <v>0</v>
      </c>
      <c r="X83" s="26">
        <f t="shared" ca="1" si="54"/>
        <v>0</v>
      </c>
      <c r="Y83" s="26">
        <f t="shared" ca="1" si="55"/>
        <v>0</v>
      </c>
      <c r="Z83" s="26">
        <f t="shared" ca="1" si="56"/>
        <v>0</v>
      </c>
      <c r="AA83" s="364">
        <f t="shared" ca="1" si="57"/>
        <v>0</v>
      </c>
      <c r="AB83" s="355"/>
      <c r="AC83" s="139">
        <v>1</v>
      </c>
    </row>
    <row r="84" spans="1:29">
      <c r="A84" s="81"/>
      <c r="B84" s="81"/>
      <c r="C84" s="81" t="str">
        <f t="shared" si="47"/>
        <v>ES_AddlSupport</v>
      </c>
      <c r="D84" s="81" t="s">
        <v>483</v>
      </c>
      <c r="E84" s="81"/>
      <c r="F84" s="82"/>
      <c r="G84" s="1225"/>
      <c r="H84" s="272" t="s">
        <v>484</v>
      </c>
      <c r="I84" s="281">
        <f t="shared" ca="1" si="58"/>
        <v>0</v>
      </c>
      <c r="J84" s="96">
        <f t="shared" ca="1" si="58"/>
        <v>0</v>
      </c>
      <c r="K84" s="96">
        <f t="shared" ca="1" si="58"/>
        <v>0</v>
      </c>
      <c r="L84" s="96">
        <f t="shared" ca="1" si="58"/>
        <v>0</v>
      </c>
      <c r="M84" s="96">
        <f t="shared" ca="1" si="58"/>
        <v>0</v>
      </c>
      <c r="N84" s="96">
        <f t="shared" ca="1" si="58"/>
        <v>0</v>
      </c>
      <c r="O84" s="251">
        <f t="shared" ca="1" si="58"/>
        <v>0</v>
      </c>
      <c r="P84" s="568"/>
      <c r="Q84" s="501">
        <v>8</v>
      </c>
      <c r="R84" s="501"/>
      <c r="S84" s="206">
        <v>185</v>
      </c>
      <c r="T84" s="354" t="s">
        <v>380</v>
      </c>
      <c r="U84" s="363">
        <f t="shared" ca="1" si="51"/>
        <v>0</v>
      </c>
      <c r="V84" s="26">
        <f t="shared" ca="1" si="52"/>
        <v>0</v>
      </c>
      <c r="W84" s="26">
        <f t="shared" ca="1" si="53"/>
        <v>0</v>
      </c>
      <c r="X84" s="26">
        <f t="shared" ca="1" si="54"/>
        <v>0</v>
      </c>
      <c r="Y84" s="26">
        <f t="shared" ca="1" si="55"/>
        <v>0</v>
      </c>
      <c r="Z84" s="26">
        <f t="shared" ca="1" si="56"/>
        <v>0</v>
      </c>
      <c r="AA84" s="364">
        <f t="shared" ca="1" si="57"/>
        <v>0</v>
      </c>
      <c r="AB84" s="355"/>
      <c r="AC84" s="139">
        <v>1</v>
      </c>
    </row>
    <row r="85" spans="1:29">
      <c r="A85" s="81"/>
      <c r="B85" s="81"/>
      <c r="C85" s="81" t="str">
        <f t="shared" si="47"/>
        <v>ES_CampusMonitor</v>
      </c>
      <c r="D85" s="81" t="s">
        <v>485</v>
      </c>
      <c r="E85" s="81"/>
      <c r="F85" s="82"/>
      <c r="G85" s="1225"/>
      <c r="H85" s="272" t="s">
        <v>486</v>
      </c>
      <c r="I85" s="281">
        <f t="shared" ca="1" si="58"/>
        <v>0</v>
      </c>
      <c r="J85" s="96">
        <f t="shared" ca="1" si="58"/>
        <v>0</v>
      </c>
      <c r="K85" s="96">
        <f t="shared" ca="1" si="58"/>
        <v>0</v>
      </c>
      <c r="L85" s="96">
        <f t="shared" ca="1" si="58"/>
        <v>0</v>
      </c>
      <c r="M85" s="96">
        <f t="shared" ca="1" si="58"/>
        <v>0</v>
      </c>
      <c r="N85" s="96">
        <f t="shared" ca="1" si="58"/>
        <v>0</v>
      </c>
      <c r="O85" s="251">
        <f t="shared" ca="1" si="58"/>
        <v>0</v>
      </c>
      <c r="P85" s="568"/>
      <c r="Q85" s="501">
        <v>8</v>
      </c>
      <c r="R85" s="501"/>
      <c r="S85" s="206">
        <v>185</v>
      </c>
      <c r="T85" s="354" t="s">
        <v>380</v>
      </c>
      <c r="U85" s="363">
        <f t="shared" ca="1" si="51"/>
        <v>0</v>
      </c>
      <c r="V85" s="26">
        <f t="shared" ca="1" si="52"/>
        <v>0</v>
      </c>
      <c r="W85" s="26">
        <f t="shared" ca="1" si="53"/>
        <v>0</v>
      </c>
      <c r="X85" s="26">
        <f t="shared" ca="1" si="54"/>
        <v>0</v>
      </c>
      <c r="Y85" s="26">
        <f t="shared" ca="1" si="55"/>
        <v>0</v>
      </c>
      <c r="Z85" s="26">
        <f t="shared" ca="1" si="56"/>
        <v>0</v>
      </c>
      <c r="AA85" s="364">
        <f t="shared" ca="1" si="57"/>
        <v>0</v>
      </c>
      <c r="AB85" s="355"/>
      <c r="AC85" s="139">
        <v>1</v>
      </c>
    </row>
    <row r="86" spans="1:29" ht="15.75" thickBot="1">
      <c r="A86" s="81"/>
      <c r="B86" s="81"/>
      <c r="C86" s="81" t="str">
        <f t="shared" si="47"/>
        <v>ES_Nurse</v>
      </c>
      <c r="D86" s="81" t="s">
        <v>487</v>
      </c>
      <c r="E86" s="81"/>
      <c r="F86" s="82"/>
      <c r="G86" s="1226"/>
      <c r="H86" s="273" t="s">
        <v>488</v>
      </c>
      <c r="I86" s="282">
        <f t="shared" ca="1" si="58"/>
        <v>0.48</v>
      </c>
      <c r="J86" s="221">
        <f t="shared" ca="1" si="58"/>
        <v>0.48</v>
      </c>
      <c r="K86" s="221">
        <f t="shared" ca="1" si="58"/>
        <v>0.48</v>
      </c>
      <c r="L86" s="221">
        <f t="shared" ca="1" si="58"/>
        <v>0.48</v>
      </c>
      <c r="M86" s="221">
        <f t="shared" ca="1" si="58"/>
        <v>0.48</v>
      </c>
      <c r="N86" s="221">
        <f t="shared" ca="1" si="58"/>
        <v>0.48</v>
      </c>
      <c r="O86" s="283">
        <f t="shared" ca="1" si="58"/>
        <v>0.48</v>
      </c>
      <c r="P86" s="569"/>
      <c r="Q86" s="501">
        <v>1</v>
      </c>
      <c r="R86" s="501"/>
      <c r="S86" s="206">
        <v>1</v>
      </c>
      <c r="T86" s="354" t="s">
        <v>366</v>
      </c>
      <c r="U86" s="365">
        <f t="shared" ca="1" si="51"/>
        <v>58787.58083435837</v>
      </c>
      <c r="V86" s="366">
        <f t="shared" ca="1" si="52"/>
        <v>61015.09082017238</v>
      </c>
      <c r="W86" s="366">
        <f t="shared" ca="1" si="53"/>
        <v>63956.444927104567</v>
      </c>
      <c r="X86" s="366">
        <f t="shared" ca="1" si="54"/>
        <v>65987.161252499238</v>
      </c>
      <c r="Y86" s="366">
        <f t="shared" ca="1" si="55"/>
        <v>68273.154699174469</v>
      </c>
      <c r="Z86" s="366">
        <f t="shared" ca="1" si="56"/>
        <v>70690.003746185335</v>
      </c>
      <c r="AA86" s="367">
        <f t="shared" ca="1" si="57"/>
        <v>71053.188022427814</v>
      </c>
      <c r="AB86" s="355"/>
      <c r="AC86" s="139">
        <v>1</v>
      </c>
    </row>
    <row r="87" spans="1:29" ht="15.75" thickBot="1">
      <c r="A87" s="203"/>
      <c r="B87" s="203"/>
      <c r="C87" s="81" t="str">
        <f t="shared" si="47"/>
        <v>ES_Clsfd</v>
      </c>
      <c r="D87" s="203" t="s">
        <v>448</v>
      </c>
      <c r="E87" s="203" t="s">
        <v>197</v>
      </c>
      <c r="F87" s="348">
        <f ca="1">INDEX(INDIRECT($B$68&amp;$B$69),MATCH($C87,INDIRECT($B$68&amp;$B$70),0),MATCH(E$87,INDIRECT($B$68&amp;$B$71),0))</f>
        <v>9</v>
      </c>
      <c r="G87" s="352"/>
      <c r="H87" s="353" t="s">
        <v>489</v>
      </c>
      <c r="I87" s="332">
        <f t="shared" ref="I87:O87" ca="1" si="59">IFERROR(INDEX(INDIRECT($B$68&amp;$B$69),MATCH($C87,INDIRECT($B$68&amp;$B$70),0),MATCH(I$4,INDIRECT($B$68&amp;$B$71),0)),0)-$F87</f>
        <v>0</v>
      </c>
      <c r="J87" s="333">
        <f t="shared" ca="1" si="59"/>
        <v>0</v>
      </c>
      <c r="K87" s="333">
        <f t="shared" ca="1" si="59"/>
        <v>0</v>
      </c>
      <c r="L87" s="333">
        <f t="shared" ca="1" si="59"/>
        <v>1</v>
      </c>
      <c r="M87" s="333">
        <f t="shared" ca="1" si="59"/>
        <v>1</v>
      </c>
      <c r="N87" s="333">
        <f t="shared" ca="1" si="59"/>
        <v>0</v>
      </c>
      <c r="O87" s="334">
        <f t="shared" ca="1" si="59"/>
        <v>0</v>
      </c>
      <c r="P87" s="578"/>
      <c r="Q87" s="501">
        <v>8</v>
      </c>
      <c r="R87" s="501"/>
      <c r="S87" s="206">
        <v>185</v>
      </c>
      <c r="T87" s="354" t="s">
        <v>380</v>
      </c>
      <c r="U87" s="357">
        <f t="shared" ca="1" si="51"/>
        <v>0</v>
      </c>
      <c r="V87" s="358">
        <f t="shared" ca="1" si="52"/>
        <v>0</v>
      </c>
      <c r="W87" s="358">
        <f t="shared" ca="1" si="53"/>
        <v>0</v>
      </c>
      <c r="X87" s="358">
        <f t="shared" ca="1" si="54"/>
        <v>72653.055045539601</v>
      </c>
      <c r="Y87" s="358">
        <f t="shared" ca="1" si="55"/>
        <v>74697.261128764076</v>
      </c>
      <c r="Z87" s="358">
        <f t="shared" ca="1" si="56"/>
        <v>0</v>
      </c>
      <c r="AA87" s="359">
        <f t="shared" ca="1" si="57"/>
        <v>0</v>
      </c>
      <c r="AB87" s="355"/>
      <c r="AC87" s="139">
        <v>1</v>
      </c>
    </row>
    <row r="88" spans="1:29" ht="15" hidden="1" customHeight="1" outlineLevel="1">
      <c r="A88" s="203"/>
      <c r="B88" s="203"/>
      <c r="C88" s="81"/>
      <c r="D88" s="203"/>
      <c r="E88" s="203"/>
      <c r="F88" s="203"/>
      <c r="G88" s="210"/>
      <c r="H88" s="349"/>
      <c r="I88" s="350"/>
      <c r="J88" s="350"/>
      <c r="K88" s="350"/>
      <c r="L88" s="350"/>
      <c r="M88" s="350"/>
      <c r="N88" s="350"/>
      <c r="O88" s="350"/>
      <c r="P88" s="350"/>
      <c r="Q88" s="428"/>
      <c r="R88" s="428"/>
      <c r="S88" s="206"/>
      <c r="T88" s="97"/>
      <c r="U88" s="356"/>
      <c r="V88" s="356"/>
      <c r="W88" s="356"/>
      <c r="X88" s="356"/>
      <c r="Y88" s="356"/>
      <c r="Z88" s="356"/>
      <c r="AA88" s="356"/>
      <c r="AB88" s="355"/>
      <c r="AC88" s="139">
        <v>0</v>
      </c>
    </row>
    <row r="89" spans="1:29" ht="15.75" hidden="1" customHeight="1" outlineLevel="1" thickBot="1">
      <c r="A89" s="213"/>
      <c r="B89" s="213"/>
      <c r="C89" s="75"/>
      <c r="D89" s="213"/>
      <c r="E89" s="213"/>
      <c r="F89" s="213"/>
      <c r="G89" s="214"/>
      <c r="H89" s="382"/>
      <c r="I89" s="383"/>
      <c r="J89" s="383"/>
      <c r="K89" s="383"/>
      <c r="L89" s="383"/>
      <c r="M89" s="383"/>
      <c r="N89" s="383"/>
      <c r="O89" s="383"/>
      <c r="P89" s="383"/>
      <c r="Q89" s="422"/>
      <c r="R89" s="422"/>
      <c r="S89" s="101"/>
      <c r="T89" s="215"/>
      <c r="U89" s="431"/>
      <c r="V89" s="431"/>
      <c r="W89" s="431"/>
      <c r="X89" s="431"/>
      <c r="Y89" s="431"/>
      <c r="Z89" s="431"/>
      <c r="AA89" s="431"/>
      <c r="AB89" s="372"/>
      <c r="AC89" s="139">
        <v>0</v>
      </c>
    </row>
    <row r="90" spans="1:29" collapsed="1">
      <c r="A90" s="75"/>
      <c r="B90" s="75" t="s">
        <v>434</v>
      </c>
      <c r="C90" s="75" t="str">
        <f>LEFT($G$3,1) &amp; "S" &amp; D90</f>
        <v>ES_Prin</v>
      </c>
      <c r="D90" s="75" t="s">
        <v>490</v>
      </c>
      <c r="E90" s="75"/>
      <c r="F90" s="76"/>
      <c r="G90" s="1227" t="s">
        <v>491</v>
      </c>
      <c r="H90" s="271" t="s">
        <v>492</v>
      </c>
      <c r="I90" s="278">
        <f ca="1">IFERROR(INDEX(INDIRECT($B$90 &amp; $B$91), MATCH($C90, INDIRECT($B$73 &amp; $B$92),0), MATCH(I$4, INDIRECT($B$73 &amp; $B$93), 0)),0)</f>
        <v>1</v>
      </c>
      <c r="J90" s="279">
        <f t="shared" ref="J90:O92" ca="1" si="60">IFERROR(INDEX(INDIRECT($B$73 &amp; $B$74), MATCH($C90, INDIRECT($B$73 &amp; $B$75),0), MATCH(J$4, INDIRECT($B$73 &amp; $B$76), 0)),0)</f>
        <v>1</v>
      </c>
      <c r="K90" s="279">
        <f t="shared" ca="1" si="60"/>
        <v>1</v>
      </c>
      <c r="L90" s="279">
        <f t="shared" ca="1" si="60"/>
        <v>1</v>
      </c>
      <c r="M90" s="279">
        <f t="shared" ca="1" si="60"/>
        <v>1</v>
      </c>
      <c r="N90" s="279">
        <f t="shared" ca="1" si="60"/>
        <v>1</v>
      </c>
      <c r="O90" s="280">
        <f t="shared" ca="1" si="60"/>
        <v>1</v>
      </c>
      <c r="P90" s="567"/>
      <c r="Q90" s="502">
        <v>1</v>
      </c>
      <c r="R90" s="502"/>
      <c r="S90" s="101">
        <v>1</v>
      </c>
      <c r="T90" s="368" t="s">
        <v>370</v>
      </c>
      <c r="U90" s="360">
        <f ca="1">(VLOOKUP($T90, $T$7:$AA$13, MATCH(U$4, $S$4:$AA$4,0),0)*$Q90*$S90*(1+$U$18-$U$22)+$U$17+$U$19)*I90</f>
        <v>196897.65609063557</v>
      </c>
      <c r="V90" s="361">
        <f t="shared" ref="V90:Z91" ca="1" si="61">(VLOOKUP($T90, $T$7:$AA$13, MATCH(V$4, $S$4:$AA$4,0),0)*$Q90*$S90*(1+V$18-V$22)+V$17+V$19)*J90</f>
        <v>203937.32289730411</v>
      </c>
      <c r="W90" s="361">
        <f t="shared" ca="1" si="61"/>
        <v>213099.19396780455</v>
      </c>
      <c r="X90" s="361">
        <f t="shared" ca="1" si="61"/>
        <v>218901.2726819797</v>
      </c>
      <c r="Y90" s="361">
        <f t="shared" ca="1" si="61"/>
        <v>225361.06872547168</v>
      </c>
      <c r="Z90" s="361">
        <f t="shared" ca="1" si="61"/>
        <v>232012.31252811707</v>
      </c>
      <c r="AA90" s="362">
        <f ca="1">(VLOOKUP($T90, $T$7:$AA$13, MATCH(AA$4, $T$4:$AA$4,0),0)*$Q90*$S90*(1+AA$18-AA$22)+AA$17+AA$19)*O90</f>
        <v>232768.94643695554</v>
      </c>
      <c r="AB90" s="372"/>
      <c r="AC90" s="139">
        <v>1</v>
      </c>
    </row>
    <row r="91" spans="1:29">
      <c r="A91" s="75"/>
      <c r="B91" s="75" t="s">
        <v>461</v>
      </c>
      <c r="C91" s="75" t="str">
        <f>LEFT($G$3,1) &amp; "S" &amp; D91</f>
        <v>ES_AsstPrin</v>
      </c>
      <c r="D91" s="75" t="s">
        <v>493</v>
      </c>
      <c r="E91" s="75"/>
      <c r="F91" s="76"/>
      <c r="G91" s="1228"/>
      <c r="H91" s="272" t="s">
        <v>494</v>
      </c>
      <c r="I91" s="281">
        <f ca="1">IFERROR(INDEX(INDIRECT($B$73 &amp; $B$74), MATCH($C91, INDIRECT($B$73 &amp; $B$75),0), MATCH(I$4, INDIRECT($B$73 &amp; $B$76), 0)),0)</f>
        <v>0</v>
      </c>
      <c r="J91" s="96">
        <f t="shared" ca="1" si="60"/>
        <v>0</v>
      </c>
      <c r="K91" s="96">
        <f t="shared" ca="1" si="60"/>
        <v>0</v>
      </c>
      <c r="L91" s="96">
        <f t="shared" ca="1" si="60"/>
        <v>0</v>
      </c>
      <c r="M91" s="96">
        <f t="shared" ca="1" si="60"/>
        <v>0</v>
      </c>
      <c r="N91" s="96">
        <f t="shared" ca="1" si="60"/>
        <v>0</v>
      </c>
      <c r="O91" s="251">
        <f t="shared" ca="1" si="60"/>
        <v>0</v>
      </c>
      <c r="P91" s="568"/>
      <c r="Q91" s="502">
        <v>1</v>
      </c>
      <c r="R91" s="502"/>
      <c r="S91" s="101">
        <v>1</v>
      </c>
      <c r="T91" s="368" t="s">
        <v>374</v>
      </c>
      <c r="U91" s="363">
        <f ca="1">(VLOOKUP($T91, $T$7:$AA$13, MATCH(U$4, $S$4:$AA$4,0),0)*$Q91*$S91*(1+$U$18-$U$22)+$U$17+$U$19)*I91</f>
        <v>0</v>
      </c>
      <c r="V91" s="26">
        <f t="shared" ca="1" si="61"/>
        <v>0</v>
      </c>
      <c r="W91" s="26">
        <f t="shared" ca="1" si="61"/>
        <v>0</v>
      </c>
      <c r="X91" s="26">
        <f t="shared" ca="1" si="61"/>
        <v>0</v>
      </c>
      <c r="Y91" s="26">
        <f t="shared" ca="1" si="61"/>
        <v>0</v>
      </c>
      <c r="Z91" s="26">
        <f t="shared" ca="1" si="61"/>
        <v>0</v>
      </c>
      <c r="AA91" s="364">
        <f ca="1">(VLOOKUP($T91, $T$7:$AA$13, MATCH(AA$4, $T$4:$AA$4,0),0)*$Q91*$S91*(1+AA$18-AA$22)+AA$17+AA$19)*O91</f>
        <v>0</v>
      </c>
      <c r="AB91" s="372"/>
      <c r="AC91" s="139">
        <v>1</v>
      </c>
    </row>
    <row r="92" spans="1:29">
      <c r="A92" s="215"/>
      <c r="B92" s="75" t="s">
        <v>464</v>
      </c>
      <c r="C92" s="75" t="str">
        <f>LEFT($G$3,1) &amp; "S" &amp; D92</f>
        <v>ES_TchrLeadership</v>
      </c>
      <c r="D92" s="75" t="s">
        <v>495</v>
      </c>
      <c r="E92" s="75"/>
      <c r="F92" s="76"/>
      <c r="G92" s="1228"/>
      <c r="H92" s="237" t="s">
        <v>496</v>
      </c>
      <c r="I92" s="67">
        <f ca="1">IFERROR(INDEX(INDIRECT($B$73 &amp; $B$74), MATCH($C92, INDIRECT($B$73 &amp; $B$75),0), MATCH(I$4, INDIRECT($B$73 &amp; $B$76), 0)),0)</f>
        <v>0</v>
      </c>
      <c r="J92" s="23">
        <f t="shared" ca="1" si="60"/>
        <v>0</v>
      </c>
      <c r="K92" s="23">
        <f t="shared" ca="1" si="60"/>
        <v>0</v>
      </c>
      <c r="L92" s="23">
        <f t="shared" ca="1" si="60"/>
        <v>0</v>
      </c>
      <c r="M92" s="23">
        <f t="shared" ca="1" si="60"/>
        <v>0</v>
      </c>
      <c r="N92" s="23">
        <f t="shared" ca="1" si="60"/>
        <v>0</v>
      </c>
      <c r="O92" s="24">
        <f t="shared" ca="1" si="60"/>
        <v>0</v>
      </c>
      <c r="P92" s="579"/>
      <c r="Q92" s="503"/>
      <c r="R92" s="503"/>
      <c r="S92" s="213"/>
      <c r="T92" s="421"/>
      <c r="U92" s="363">
        <f t="shared" ref="U92:AA92" ca="1" si="62">I92*$H$2</f>
        <v>0</v>
      </c>
      <c r="V92" s="26">
        <f t="shared" ca="1" si="62"/>
        <v>0</v>
      </c>
      <c r="W92" s="26">
        <f t="shared" ca="1" si="62"/>
        <v>0</v>
      </c>
      <c r="X92" s="26">
        <f t="shared" ca="1" si="62"/>
        <v>0</v>
      </c>
      <c r="Y92" s="26">
        <f t="shared" ca="1" si="62"/>
        <v>0</v>
      </c>
      <c r="Z92" s="26">
        <f t="shared" ca="1" si="62"/>
        <v>0</v>
      </c>
      <c r="AA92" s="364">
        <f t="shared" ca="1" si="62"/>
        <v>0</v>
      </c>
      <c r="AB92" s="372"/>
      <c r="AC92" s="139">
        <v>1</v>
      </c>
    </row>
    <row r="93" spans="1:29" ht="15" hidden="1" customHeight="1" outlineLevel="1">
      <c r="A93" s="215"/>
      <c r="B93" s="75" t="s">
        <v>443</v>
      </c>
      <c r="C93" s="215"/>
      <c r="D93" s="215"/>
      <c r="E93" s="215"/>
      <c r="F93" s="368"/>
      <c r="G93" s="1228"/>
      <c r="H93" s="389"/>
      <c r="I93" s="553"/>
      <c r="J93" s="554"/>
      <c r="K93" s="554"/>
      <c r="L93" s="554"/>
      <c r="M93" s="554"/>
      <c r="N93" s="554"/>
      <c r="O93" s="555"/>
      <c r="P93" s="580"/>
      <c r="Q93" s="504"/>
      <c r="R93" s="504"/>
      <c r="S93" s="215"/>
      <c r="T93" s="368"/>
      <c r="U93" s="385"/>
      <c r="V93" s="215"/>
      <c r="W93" s="215"/>
      <c r="X93" s="215"/>
      <c r="Y93" s="215"/>
      <c r="Z93" s="215"/>
      <c r="AA93" s="392"/>
      <c r="AB93" s="372"/>
      <c r="AC93" s="139">
        <v>0</v>
      </c>
    </row>
    <row r="94" spans="1:29" ht="15" hidden="1" customHeight="1" outlineLevel="1">
      <c r="A94" s="75"/>
      <c r="B94" s="155" t="s">
        <v>398</v>
      </c>
      <c r="C94" s="75"/>
      <c r="D94" s="75"/>
      <c r="E94" s="156"/>
      <c r="F94" s="369"/>
      <c r="G94" s="1228"/>
      <c r="H94" s="390"/>
      <c r="I94" s="556"/>
      <c r="J94" s="557"/>
      <c r="K94" s="557"/>
      <c r="L94" s="557"/>
      <c r="M94" s="557"/>
      <c r="N94" s="557"/>
      <c r="O94" s="558"/>
      <c r="P94" s="581"/>
      <c r="Q94" s="505"/>
      <c r="R94" s="505"/>
      <c r="S94" s="118"/>
      <c r="T94" s="422"/>
      <c r="U94" s="432"/>
      <c r="V94" s="216"/>
      <c r="W94" s="216"/>
      <c r="X94" s="216"/>
      <c r="Y94" s="216"/>
      <c r="Z94" s="216"/>
      <c r="AA94" s="433"/>
      <c r="AB94" s="430"/>
      <c r="AC94" s="139">
        <v>0</v>
      </c>
    </row>
    <row r="95" spans="1:29" ht="15" hidden="1" customHeight="1" outlineLevel="1">
      <c r="A95" s="75"/>
      <c r="B95" s="156" t="s">
        <v>423</v>
      </c>
      <c r="C95" s="75"/>
      <c r="D95" s="75"/>
      <c r="E95" s="156"/>
      <c r="F95" s="369"/>
      <c r="G95" s="1228"/>
      <c r="H95" s="390"/>
      <c r="I95" s="556"/>
      <c r="J95" s="557"/>
      <c r="K95" s="557"/>
      <c r="L95" s="557"/>
      <c r="M95" s="557"/>
      <c r="N95" s="557"/>
      <c r="O95" s="558"/>
      <c r="P95" s="581"/>
      <c r="Q95" s="505"/>
      <c r="R95" s="505"/>
      <c r="S95" s="118"/>
      <c r="T95" s="422"/>
      <c r="U95" s="432"/>
      <c r="V95" s="216"/>
      <c r="W95" s="216"/>
      <c r="X95" s="216"/>
      <c r="Y95" s="216"/>
      <c r="Z95" s="216"/>
      <c r="AA95" s="433"/>
      <c r="AB95" s="430"/>
      <c r="AC95" s="139">
        <v>0</v>
      </c>
    </row>
    <row r="96" spans="1:29" ht="15" hidden="1" customHeight="1" outlineLevel="1">
      <c r="A96" s="75"/>
      <c r="B96" s="156" t="s">
        <v>424</v>
      </c>
      <c r="C96" s="75"/>
      <c r="D96" s="75"/>
      <c r="E96" s="156"/>
      <c r="F96" s="369"/>
      <c r="G96" s="1228"/>
      <c r="H96" s="390"/>
      <c r="I96" s="556"/>
      <c r="J96" s="557"/>
      <c r="K96" s="557"/>
      <c r="L96" s="557"/>
      <c r="M96" s="557"/>
      <c r="N96" s="557"/>
      <c r="O96" s="558"/>
      <c r="P96" s="581"/>
      <c r="Q96" s="505"/>
      <c r="R96" s="505"/>
      <c r="S96" s="118"/>
      <c r="T96" s="423" t="s">
        <v>433</v>
      </c>
      <c r="U96" s="434">
        <f ca="1">VLOOKUP($T96, $T$41:$AA$49, MATCH(U$4, $S$4:$AA$4,0),0)</f>
        <v>3.6285147071598134E-2</v>
      </c>
      <c r="V96" s="117">
        <f ca="1">VLOOKUP($T96, $T$41:$AA$49, MATCH(V$4, $S$4:$AA$4,0),0)</f>
        <v>5.6826863793245863E-2</v>
      </c>
      <c r="W96" s="117">
        <f ca="1">VLOOKUP($T96, $T$41:$AA$49, MATCH(W$4, $S$4:$AA$4,0),0)</f>
        <v>7.9744735487233376E-2</v>
      </c>
      <c r="X96" s="117">
        <f ca="1">VLOOKUP($T96, $T$41:$AA$49, MATCH(X$4, $S$4:$AA$4,0),0)</f>
        <v>0.10382197588462216</v>
      </c>
      <c r="Y96" s="117">
        <f ca="1">VLOOKUP($T96, $T$41:$AA$49, MATCH(Y$4, $S$4:$AA$4,0),0)</f>
        <v>0.12900137929281041</v>
      </c>
      <c r="Z96" s="117">
        <f t="shared" ref="Z96" ca="1" si="63">VLOOKUP($T96, $T$41:$AA$49, MATCH(Z$4, $S$4:$AA$4,0),0)</f>
        <v>0.15510094686014897</v>
      </c>
      <c r="AA96" s="435">
        <f ca="1">VLOOKUP($T96, $T$41:$AA$49, MATCH(AA$4, $T$4:$AA$4,0),0)</f>
        <v>0.15510094686014897</v>
      </c>
      <c r="AB96" s="430"/>
      <c r="AC96" s="139">
        <v>0</v>
      </c>
    </row>
    <row r="97" spans="1:29" collapsed="1">
      <c r="A97" s="75"/>
      <c r="B97" s="156" t="s">
        <v>497</v>
      </c>
      <c r="C97" s="75" t="str">
        <f>LEFT($G$3,1) &amp; "S" &amp; D97</f>
        <v>ES_ParComOutreach</v>
      </c>
      <c r="D97" s="75" t="s">
        <v>498</v>
      </c>
      <c r="E97" s="75"/>
      <c r="F97" s="76"/>
      <c r="G97" s="1228"/>
      <c r="H97" s="272" t="s">
        <v>499</v>
      </c>
      <c r="I97" s="67">
        <f t="shared" ref="I97:O97" ca="1" si="64">IFERROR(INDEX(INDIRECT($B$94 &amp; $B$95), MATCH($C97, INDIRECT($B$94 &amp; $B$96),0), MATCH(I$4, INDIRECT($B$94 &amp; $B$97), 0)),0)</f>
        <v>27.83</v>
      </c>
      <c r="J97" s="23">
        <f t="shared" ca="1" si="64"/>
        <v>28.839815643002574</v>
      </c>
      <c r="K97" s="23">
        <f t="shared" ca="1" si="64"/>
        <v>28.839815643002574</v>
      </c>
      <c r="L97" s="23">
        <f t="shared" ca="1" si="64"/>
        <v>30</v>
      </c>
      <c r="M97" s="23">
        <f t="shared" ca="1" si="64"/>
        <v>30</v>
      </c>
      <c r="N97" s="23">
        <f t="shared" ca="1" si="64"/>
        <v>28.839815643002574</v>
      </c>
      <c r="O97" s="24">
        <f t="shared" ca="1" si="64"/>
        <v>28.839815643002574</v>
      </c>
      <c r="P97" s="581"/>
      <c r="Q97" s="505"/>
      <c r="R97" s="505"/>
      <c r="S97" s="118"/>
      <c r="T97" s="422"/>
      <c r="U97" s="311">
        <f ca="1">I97*$H$2</f>
        <v>10018.799999999999</v>
      </c>
      <c r="V97" s="25">
        <f t="shared" ref="V97:AA97" ca="1" si="65">J97*$H$2*(1+V96)</f>
        <v>10972.329090613128</v>
      </c>
      <c r="W97" s="25">
        <f t="shared" ca="1" si="65"/>
        <v>11210.270080663578</v>
      </c>
      <c r="X97" s="25">
        <f t="shared" ca="1" si="65"/>
        <v>11921.277339553919</v>
      </c>
      <c r="Y97" s="25">
        <f t="shared" ca="1" si="65"/>
        <v>12193.214896362353</v>
      </c>
      <c r="Z97" s="25">
        <f t="shared" ca="1" si="65"/>
        <v>11992.643408341586</v>
      </c>
      <c r="AA97" s="28">
        <f t="shared" ca="1" si="65"/>
        <v>11992.643408341586</v>
      </c>
      <c r="AB97" s="430"/>
      <c r="AC97" s="139">
        <v>1</v>
      </c>
    </row>
    <row r="98" spans="1:29" ht="15" hidden="1" customHeight="1" outlineLevel="1">
      <c r="A98" s="213"/>
      <c r="B98" s="217" t="s">
        <v>411</v>
      </c>
      <c r="C98" s="213"/>
      <c r="D98" s="213"/>
      <c r="E98" s="217"/>
      <c r="F98" s="370"/>
      <c r="G98" s="1228"/>
      <c r="H98" s="391"/>
      <c r="I98" s="556"/>
      <c r="J98" s="557"/>
      <c r="K98" s="557"/>
      <c r="L98" s="557"/>
      <c r="M98" s="557"/>
      <c r="N98" s="557"/>
      <c r="O98" s="558"/>
      <c r="P98" s="581"/>
      <c r="Q98" s="505"/>
      <c r="R98" s="505"/>
      <c r="S98" s="118"/>
      <c r="T98" s="424"/>
      <c r="U98" s="393"/>
      <c r="V98" s="118"/>
      <c r="W98" s="118"/>
      <c r="X98" s="118"/>
      <c r="Y98" s="118"/>
      <c r="Z98" s="118"/>
      <c r="AA98" s="394"/>
      <c r="AB98" s="381"/>
      <c r="AC98" s="139">
        <v>0</v>
      </c>
    </row>
    <row r="99" spans="1:29" ht="15" hidden="1" customHeight="1" outlineLevel="1">
      <c r="A99" s="213"/>
      <c r="B99" s="218" t="s">
        <v>413</v>
      </c>
      <c r="C99" s="213"/>
      <c r="D99" s="213"/>
      <c r="E99" s="218"/>
      <c r="F99" s="371"/>
      <c r="G99" s="1228"/>
      <c r="H99" s="391"/>
      <c r="I99" s="556"/>
      <c r="J99" s="557"/>
      <c r="K99" s="557"/>
      <c r="L99" s="557"/>
      <c r="M99" s="557"/>
      <c r="N99" s="557"/>
      <c r="O99" s="558"/>
      <c r="P99" s="581"/>
      <c r="Q99" s="505"/>
      <c r="R99" s="505"/>
      <c r="S99" s="118"/>
      <c r="T99" s="424"/>
      <c r="U99" s="393"/>
      <c r="V99" s="118"/>
      <c r="W99" s="118"/>
      <c r="X99" s="118"/>
      <c r="Y99" s="118"/>
      <c r="Z99" s="118"/>
      <c r="AA99" s="394"/>
      <c r="AB99" s="381"/>
      <c r="AC99" s="139">
        <v>0</v>
      </c>
    </row>
    <row r="100" spans="1:29" ht="15" hidden="1" customHeight="1" outlineLevel="1">
      <c r="A100" s="213"/>
      <c r="B100" s="218" t="s">
        <v>415</v>
      </c>
      <c r="C100" s="213"/>
      <c r="D100" s="213"/>
      <c r="E100" s="218"/>
      <c r="F100" s="371"/>
      <c r="G100" s="1228"/>
      <c r="H100" s="391"/>
      <c r="I100" s="556"/>
      <c r="J100" s="557"/>
      <c r="K100" s="557"/>
      <c r="L100" s="557"/>
      <c r="M100" s="557"/>
      <c r="N100" s="557"/>
      <c r="O100" s="558"/>
      <c r="P100" s="581"/>
      <c r="Q100" s="505"/>
      <c r="R100" s="505"/>
      <c r="S100" s="118"/>
      <c r="T100" s="424"/>
      <c r="U100" s="393"/>
      <c r="V100" s="118"/>
      <c r="W100" s="118"/>
      <c r="X100" s="118"/>
      <c r="Y100" s="118"/>
      <c r="Z100" s="118"/>
      <c r="AA100" s="394"/>
      <c r="AB100" s="381"/>
      <c r="AC100" s="139">
        <v>0</v>
      </c>
    </row>
    <row r="101" spans="1:29" ht="15" hidden="1" customHeight="1" outlineLevel="1">
      <c r="A101" s="213"/>
      <c r="B101" s="218" t="s">
        <v>418</v>
      </c>
      <c r="C101" s="213"/>
      <c r="D101" s="213"/>
      <c r="E101" s="218"/>
      <c r="F101" s="371"/>
      <c r="G101" s="1228"/>
      <c r="H101" s="391"/>
      <c r="I101" s="556"/>
      <c r="J101" s="557"/>
      <c r="K101" s="557"/>
      <c r="L101" s="557"/>
      <c r="M101" s="557"/>
      <c r="N101" s="557"/>
      <c r="O101" s="558"/>
      <c r="P101" s="581"/>
      <c r="Q101" s="505"/>
      <c r="R101" s="505"/>
      <c r="S101" s="118"/>
      <c r="T101" s="424" t="s">
        <v>433</v>
      </c>
      <c r="U101" s="434">
        <f ca="1">VLOOKUP($T101, $T$41:$AA$49, MATCH(U$4, $S$4:$AA$4,0),0)</f>
        <v>3.6285147071598134E-2</v>
      </c>
      <c r="V101" s="117">
        <f ca="1">VLOOKUP($T101, $T$41:$AA$49, MATCH(V$4, $S$4:$AA$4,0),0)</f>
        <v>5.6826863793245863E-2</v>
      </c>
      <c r="W101" s="117">
        <f ca="1">VLOOKUP($T101, $T$41:$AA$49, MATCH(W$4, $S$4:$AA$4,0),0)</f>
        <v>7.9744735487233376E-2</v>
      </c>
      <c r="X101" s="117">
        <f ca="1">VLOOKUP($T101, $T$41:$AA$49, MATCH(X$4, $S$4:$AA$4,0),0)</f>
        <v>0.10382197588462216</v>
      </c>
      <c r="Y101" s="117">
        <f ca="1">VLOOKUP($T101, $T$41:$AA$49, MATCH(Y$4, $S$4:$AA$4,0),0)</f>
        <v>0.12900137929281041</v>
      </c>
      <c r="Z101" s="117">
        <f t="shared" ref="Z101" ca="1" si="66">VLOOKUP($T101, $T$41:$AA$49, MATCH(Z$4, $S$4:$AA$4,0),0)</f>
        <v>0.15510094686014897</v>
      </c>
      <c r="AA101" s="435">
        <f ca="1">VLOOKUP($T101, $T$41:$AA$49, MATCH(AA$4, $T$4:$AA$4,0),0)</f>
        <v>0.15510094686014897</v>
      </c>
      <c r="AB101" s="381"/>
      <c r="AC101" s="139">
        <v>0</v>
      </c>
    </row>
    <row r="102" spans="1:29" ht="15.75" collapsed="1" thickBot="1">
      <c r="A102" s="213"/>
      <c r="B102" s="219" t="s">
        <v>500</v>
      </c>
      <c r="C102" s="213"/>
      <c r="D102" s="218"/>
      <c r="E102" s="218"/>
      <c r="F102" s="371"/>
      <c r="G102" s="1229"/>
      <c r="H102" s="275" t="s">
        <v>501</v>
      </c>
      <c r="I102" s="252">
        <f t="shared" ref="I102:O102" ca="1" si="67">INDEX(INDIRECT($B$98 &amp; $B$99), MATCH($B102, INDIRECT($B$98 &amp; $B$100),0), MATCH($G$3, INDIRECT($B$98 &amp; $B$101), 0))</f>
        <v>29.833631236441072</v>
      </c>
      <c r="J102" s="65">
        <f t="shared" ca="1" si="67"/>
        <v>29.833631236441072</v>
      </c>
      <c r="K102" s="65">
        <f t="shared" ca="1" si="67"/>
        <v>29.833631236441072</v>
      </c>
      <c r="L102" s="65">
        <f t="shared" ca="1" si="67"/>
        <v>29.833631236441072</v>
      </c>
      <c r="M102" s="65">
        <f t="shared" ca="1" si="67"/>
        <v>29.833631236441072</v>
      </c>
      <c r="N102" s="65">
        <f t="shared" ca="1" si="67"/>
        <v>29.833631236441072</v>
      </c>
      <c r="O102" s="68">
        <f t="shared" ca="1" si="67"/>
        <v>29.833631236441072</v>
      </c>
      <c r="P102" s="582"/>
      <c r="Q102" s="505"/>
      <c r="R102" s="505"/>
      <c r="S102" s="118"/>
      <c r="T102" s="424"/>
      <c r="U102" s="445">
        <f ca="1">I102*$H$2</f>
        <v>10740.107245118787</v>
      </c>
      <c r="V102" s="29">
        <f t="shared" ref="V102:AA102" ca="1" si="68">J102*$H$2*(1+V101)</f>
        <v>11350.433856662004</v>
      </c>
      <c r="W102" s="29">
        <f t="shared" ca="1" si="68"/>
        <v>11596.574256485303</v>
      </c>
      <c r="X102" s="29">
        <f t="shared" ca="1" si="68"/>
        <v>11855.166400519765</v>
      </c>
      <c r="Y102" s="29">
        <f t="shared" ca="1" si="68"/>
        <v>12125.595893491816</v>
      </c>
      <c r="Z102" s="29">
        <f t="shared" ca="1" si="68"/>
        <v>12405.908048216257</v>
      </c>
      <c r="AA102" s="30">
        <f t="shared" ca="1" si="68"/>
        <v>12405.908048216257</v>
      </c>
      <c r="AB102" s="381"/>
      <c r="AC102" s="139">
        <v>1</v>
      </c>
    </row>
    <row r="103" spans="1:29" ht="15" hidden="1" customHeight="1" outlineLevel="1">
      <c r="A103" s="213"/>
      <c r="B103" s="219"/>
      <c r="C103" s="213"/>
      <c r="D103" s="218"/>
      <c r="E103" s="218"/>
      <c r="F103" s="218"/>
      <c r="G103" s="373"/>
      <c r="H103" s="373"/>
      <c r="I103" s="373"/>
      <c r="J103" s="373"/>
      <c r="K103" s="373"/>
      <c r="L103" s="373"/>
      <c r="M103" s="373"/>
      <c r="N103" s="373"/>
      <c r="O103" s="373"/>
      <c r="P103" s="373"/>
      <c r="Q103" s="506"/>
      <c r="R103" s="506"/>
      <c r="S103" s="218"/>
      <c r="T103" s="218"/>
      <c r="U103" s="373"/>
      <c r="V103" s="373"/>
      <c r="W103" s="373"/>
      <c r="X103" s="373"/>
      <c r="Y103" s="373"/>
      <c r="Z103" s="373"/>
      <c r="AA103" s="373"/>
      <c r="AB103" s="395"/>
      <c r="AC103" s="139">
        <v>0</v>
      </c>
    </row>
    <row r="104" spans="1:29" ht="15" hidden="1" customHeight="1" outlineLevel="1">
      <c r="A104" s="156"/>
      <c r="B104" s="156" t="s">
        <v>398</v>
      </c>
      <c r="C104" s="156"/>
      <c r="D104" s="217" t="s">
        <v>502</v>
      </c>
      <c r="E104" s="156"/>
      <c r="F104" s="156"/>
      <c r="G104" s="83"/>
      <c r="H104" s="83"/>
      <c r="I104" s="142"/>
      <c r="J104" s="142"/>
      <c r="K104" s="142"/>
      <c r="L104" s="142"/>
      <c r="M104" s="142"/>
      <c r="N104" s="142"/>
      <c r="O104" s="142"/>
      <c r="P104" s="118"/>
      <c r="Q104" s="507" t="s">
        <v>502</v>
      </c>
      <c r="R104" s="507"/>
      <c r="S104" s="118" t="s">
        <v>426</v>
      </c>
      <c r="T104" s="118"/>
      <c r="U104" s="118"/>
      <c r="V104" s="118"/>
      <c r="W104" s="118"/>
      <c r="X104" s="118"/>
      <c r="Y104" s="118"/>
      <c r="Z104" s="118"/>
      <c r="AA104" s="118"/>
      <c r="AB104" s="381"/>
      <c r="AC104" s="139">
        <v>0</v>
      </c>
    </row>
    <row r="105" spans="1:29" ht="15" hidden="1" customHeight="1" outlineLevel="1">
      <c r="A105" s="150"/>
      <c r="B105" s="150" t="s">
        <v>423</v>
      </c>
      <c r="C105" s="150"/>
      <c r="D105" s="94" t="s">
        <v>503</v>
      </c>
      <c r="E105" s="150"/>
      <c r="F105" s="150"/>
      <c r="G105" s="112"/>
      <c r="H105" s="112"/>
      <c r="I105" s="208"/>
      <c r="J105" s="208"/>
      <c r="K105" s="208"/>
      <c r="L105" s="208"/>
      <c r="M105" s="208"/>
      <c r="N105" s="208"/>
      <c r="O105" s="208"/>
      <c r="P105" s="106"/>
      <c r="Q105" s="508" t="s">
        <v>503</v>
      </c>
      <c r="R105" s="508"/>
      <c r="S105" s="106" t="s">
        <v>428</v>
      </c>
      <c r="T105" s="106"/>
      <c r="U105" s="106"/>
      <c r="V105" s="106"/>
      <c r="W105" s="106"/>
      <c r="X105" s="106"/>
      <c r="Y105" s="106"/>
      <c r="Z105" s="106"/>
      <c r="AA105" s="106"/>
      <c r="AB105" s="411"/>
      <c r="AC105" s="139">
        <v>0</v>
      </c>
    </row>
    <row r="106" spans="1:29" ht="15" hidden="1" customHeight="1" outlineLevel="1">
      <c r="A106" s="150"/>
      <c r="B106" s="150" t="s">
        <v>424</v>
      </c>
      <c r="C106" s="150"/>
      <c r="D106" s="94" t="s">
        <v>504</v>
      </c>
      <c r="E106" s="150"/>
      <c r="F106" s="150"/>
      <c r="G106" s="112"/>
      <c r="H106" s="112"/>
      <c r="I106" s="208"/>
      <c r="J106" s="208"/>
      <c r="K106" s="208"/>
      <c r="L106" s="208"/>
      <c r="M106" s="208"/>
      <c r="N106" s="208"/>
      <c r="O106" s="208"/>
      <c r="P106" s="106"/>
      <c r="Q106" s="508" t="s">
        <v>504</v>
      </c>
      <c r="R106" s="508"/>
      <c r="S106" s="106" t="s">
        <v>429</v>
      </c>
      <c r="T106" s="106"/>
      <c r="U106" s="106"/>
      <c r="V106" s="106"/>
      <c r="W106" s="106"/>
      <c r="X106" s="106"/>
      <c r="Y106" s="106"/>
      <c r="Z106" s="106"/>
      <c r="AA106" s="106"/>
      <c r="AB106" s="411"/>
      <c r="AC106" s="139">
        <v>0</v>
      </c>
    </row>
    <row r="107" spans="1:29" ht="15.75" hidden="1" customHeight="1" outlineLevel="1" thickBot="1">
      <c r="A107" s="150"/>
      <c r="B107" s="150" t="s">
        <v>425</v>
      </c>
      <c r="C107" s="150"/>
      <c r="D107" s="94" t="s">
        <v>505</v>
      </c>
      <c r="E107" s="150"/>
      <c r="F107" s="150"/>
      <c r="G107" s="375"/>
      <c r="H107" s="375"/>
      <c r="I107" s="401"/>
      <c r="J107" s="401"/>
      <c r="K107" s="401"/>
      <c r="L107" s="401"/>
      <c r="M107" s="401"/>
      <c r="N107" s="401"/>
      <c r="O107" s="401"/>
      <c r="P107" s="402"/>
      <c r="Q107" s="508" t="s">
        <v>505</v>
      </c>
      <c r="R107" s="508"/>
      <c r="S107" s="106" t="s">
        <v>431</v>
      </c>
      <c r="T107" s="106" t="s">
        <v>506</v>
      </c>
      <c r="U107" s="441">
        <f t="shared" ref="U107:AA107" ca="1" si="69">INDEX(INDIRECT($S$104 &amp; $S$105), MATCH($T$107, INDIRECT($S$104 &amp; $S$106), 0), MATCH(U$4,INDIRECT($S$104 &amp; $S$107),0))</f>
        <v>-4.726171504101262E-2</v>
      </c>
      <c r="V107" s="441">
        <f t="shared" ca="1" si="69"/>
        <v>-8.2409975195860796E-2</v>
      </c>
      <c r="W107" s="441">
        <f t="shared" ca="1" si="69"/>
        <v>-0.1162615516638914</v>
      </c>
      <c r="X107" s="441">
        <f t="shared" ca="1" si="69"/>
        <v>-0.14886428148102737</v>
      </c>
      <c r="Y107" s="441">
        <f t="shared" ca="1" si="69"/>
        <v>-0.18026423688732895</v>
      </c>
      <c r="Z107" s="441">
        <f t="shared" ca="1" si="69"/>
        <v>-0.21050579043354489</v>
      </c>
      <c r="AA107" s="441">
        <f t="shared" ca="1" si="69"/>
        <v>-0.23963167768576388</v>
      </c>
      <c r="AB107" s="411"/>
      <c r="AC107" s="139">
        <v>0</v>
      </c>
    </row>
    <row r="108" spans="1:29" collapsed="1">
      <c r="A108" s="150"/>
      <c r="B108" s="150" t="str">
        <f>LEFT($G$3,1) &amp; "S" &amp; C108</f>
        <v>ES_CompHardware</v>
      </c>
      <c r="C108" s="150" t="s">
        <v>507</v>
      </c>
      <c r="D108" s="209" t="s">
        <v>508</v>
      </c>
      <c r="E108" s="150"/>
      <c r="F108" s="374">
        <f ca="1">INDEX(INDIRECT($D$104 &amp; $D$105), MATCH($F$3, INDIRECT($D$104 &amp; $D$106),0), MATCH($D108, INDIRECT($D$104 &amp; $D$107),0))</f>
        <v>401</v>
      </c>
      <c r="G108" s="1227" t="s">
        <v>509</v>
      </c>
      <c r="H108" s="271" t="s">
        <v>510</v>
      </c>
      <c r="I108" s="412">
        <f t="shared" ref="I108:O109" ca="1" si="70">INDEX(INDIRECT($B$104 &amp; $B$105), MATCH($B108, INDIRECT($B$104 &amp; $B$106),0), MATCH(I$4, INDIRECT($B$104 &amp; $B$107), 0))</f>
        <v>0.2</v>
      </c>
      <c r="J108" s="403">
        <f t="shared" ca="1" si="70"/>
        <v>0.2</v>
      </c>
      <c r="K108" s="403">
        <f t="shared" ca="1" si="70"/>
        <v>0.2</v>
      </c>
      <c r="L108" s="403">
        <f t="shared" ca="1" si="70"/>
        <v>0.25</v>
      </c>
      <c r="M108" s="403">
        <f t="shared" ca="1" si="70"/>
        <v>0.25</v>
      </c>
      <c r="N108" s="403">
        <f t="shared" ca="1" si="70"/>
        <v>0.2</v>
      </c>
      <c r="O108" s="413">
        <f t="shared" ca="1" si="70"/>
        <v>0.2</v>
      </c>
      <c r="P108" s="405">
        <f ca="1">INDEX(INDIRECT($Q$104 &amp; $Q$105), MATCH($Q108, INDIRECT($Q$104 &amp; $Q$106),0), MATCH($D108, INDIRECT($Q$104 &amp; $Q$107),0))</f>
        <v>501.85260551765964</v>
      </c>
      <c r="Q108" s="509" t="s">
        <v>511</v>
      </c>
      <c r="R108" s="509"/>
      <c r="S108" s="106"/>
      <c r="T108" s="425"/>
      <c r="U108" s="442">
        <f t="shared" ref="U108:AA109" ca="1" si="71">$F108*$P108*I108*(1+U$107)</f>
        <v>38346.362092784162</v>
      </c>
      <c r="V108" s="443">
        <f t="shared" ca="1" si="71"/>
        <v>36931.694568546685</v>
      </c>
      <c r="W108" s="443">
        <f t="shared" ca="1" si="71"/>
        <v>35569.216720067503</v>
      </c>
      <c r="X108" s="443">
        <f t="shared" ca="1" si="71"/>
        <v>42821.253968286146</v>
      </c>
      <c r="Y108" s="443">
        <f t="shared" ca="1" si="71"/>
        <v>41241.499487548623</v>
      </c>
      <c r="Z108" s="443">
        <f t="shared" ca="1" si="71"/>
        <v>31776.020034184861</v>
      </c>
      <c r="AA108" s="444">
        <f t="shared" ca="1" si="71"/>
        <v>30603.74446126058</v>
      </c>
      <c r="AB108" s="411"/>
      <c r="AC108" s="139">
        <v>1</v>
      </c>
    </row>
    <row r="109" spans="1:29" ht="15.75" thickBot="1">
      <c r="A109" s="150"/>
      <c r="B109" s="150" t="str">
        <f>LEFT($G$3,1) &amp; "S" &amp; C109</f>
        <v>ES_CompSoftware</v>
      </c>
      <c r="C109" s="150" t="s">
        <v>512</v>
      </c>
      <c r="D109" s="209" t="s">
        <v>508</v>
      </c>
      <c r="E109" s="150"/>
      <c r="F109" s="374">
        <f ca="1">INDEX(INDIRECT($D$104 &amp; $D$105), MATCH($F$3, INDIRECT($D$104 &amp; $D$106),0), MATCH($D109, INDIRECT($D$104 &amp; $D$107),0))</f>
        <v>401</v>
      </c>
      <c r="G109" s="1229"/>
      <c r="H109" s="275" t="s">
        <v>513</v>
      </c>
      <c r="I109" s="414">
        <f t="shared" ca="1" si="70"/>
        <v>0.25</v>
      </c>
      <c r="J109" s="406">
        <f t="shared" ca="1" si="70"/>
        <v>0.25</v>
      </c>
      <c r="K109" s="406">
        <f t="shared" ca="1" si="70"/>
        <v>0.25</v>
      </c>
      <c r="L109" s="406">
        <f t="shared" ca="1" si="70"/>
        <v>0.5</v>
      </c>
      <c r="M109" s="406">
        <f t="shared" ca="1" si="70"/>
        <v>0.5</v>
      </c>
      <c r="N109" s="406">
        <f t="shared" ca="1" si="70"/>
        <v>0.25</v>
      </c>
      <c r="O109" s="415">
        <f t="shared" ca="1" si="70"/>
        <v>0.25</v>
      </c>
      <c r="P109" s="407">
        <f ca="1">INDEX(INDIRECT($Q$104 &amp; $Q$105), MATCH($Q109, INDIRECT($Q$104 &amp; $Q$106),0), MATCH($D109, INDIRECT($Q$104 &amp; $Q$107),0))</f>
        <v>500</v>
      </c>
      <c r="Q109" s="509" t="s">
        <v>514</v>
      </c>
      <c r="R109" s="509"/>
      <c r="S109" s="106"/>
      <c r="T109" s="425"/>
      <c r="U109" s="445">
        <f t="shared" ca="1" si="71"/>
        <v>47756.006533569242</v>
      </c>
      <c r="V109" s="29">
        <f t="shared" ca="1" si="71"/>
        <v>45994.199993307477</v>
      </c>
      <c r="W109" s="29">
        <f t="shared" ca="1" si="71"/>
        <v>44297.389722847445</v>
      </c>
      <c r="X109" s="29">
        <f t="shared" ca="1" si="71"/>
        <v>85326.355781527003</v>
      </c>
      <c r="Y109" s="29">
        <f t="shared" ca="1" si="71"/>
        <v>82178.510252045278</v>
      </c>
      <c r="Z109" s="29">
        <f t="shared" ca="1" si="71"/>
        <v>39573.397254518561</v>
      </c>
      <c r="AA109" s="30">
        <f t="shared" ca="1" si="71"/>
        <v>38113.462156001086</v>
      </c>
      <c r="AB109" s="411"/>
      <c r="AC109" s="139">
        <v>1</v>
      </c>
    </row>
    <row r="110" spans="1:29" ht="15" hidden="1" customHeight="1" outlineLevel="1">
      <c r="A110" s="150"/>
      <c r="B110" s="150"/>
      <c r="C110" s="150"/>
      <c r="D110" s="150"/>
      <c r="E110" s="150"/>
      <c r="F110" s="150"/>
      <c r="G110" s="376"/>
      <c r="H110" s="376"/>
      <c r="I110" s="376"/>
      <c r="J110" s="376"/>
      <c r="K110" s="376"/>
      <c r="L110" s="376"/>
      <c r="M110" s="376"/>
      <c r="N110" s="376"/>
      <c r="O110" s="376"/>
      <c r="P110" s="376"/>
      <c r="Q110" s="510"/>
      <c r="R110" s="510"/>
      <c r="S110" s="150"/>
      <c r="T110" s="150"/>
      <c r="U110" s="376"/>
      <c r="V110" s="376"/>
      <c r="W110" s="376"/>
      <c r="X110" s="376"/>
      <c r="Y110" s="376"/>
      <c r="Z110" s="376"/>
      <c r="AA110" s="376"/>
      <c r="AB110" s="256"/>
      <c r="AC110" s="139">
        <v>0</v>
      </c>
    </row>
    <row r="111" spans="1:29" ht="15.75" hidden="1" customHeight="1" outlineLevel="1" thickBot="1">
      <c r="A111" s="157"/>
      <c r="B111" s="157"/>
      <c r="C111" s="157"/>
      <c r="D111" s="157"/>
      <c r="E111" s="158"/>
      <c r="F111" s="158"/>
      <c r="G111" s="377"/>
      <c r="H111" s="377"/>
      <c r="I111" s="377"/>
      <c r="J111" s="377"/>
      <c r="K111" s="377"/>
      <c r="L111" s="377"/>
      <c r="M111" s="377"/>
      <c r="N111" s="377"/>
      <c r="O111" s="377"/>
      <c r="P111" s="377"/>
      <c r="Q111" s="511"/>
      <c r="R111" s="511"/>
      <c r="S111" s="116" t="s">
        <v>426</v>
      </c>
      <c r="T111" s="116" t="s">
        <v>515</v>
      </c>
      <c r="U111" s="446">
        <f ca="1">INDEX(INDIRECT($S$111 &amp; $S$112), MATCH($T$111, INDIRECT($S$111 &amp; $S$113), 0), MATCH(U$4,INDIRECT($S$111 &amp; $S$114),0))</f>
        <v>2.4143495093307266E-2</v>
      </c>
      <c r="V111" s="446">
        <f t="shared" ref="V111:AA111" ca="1" si="72">INDEX(INDIRECT($S$111 &amp; $S$112), MATCH($T$111, INDIRECT($S$111 &amp; $S$113), 0), MATCH(V$4,INDIRECT($S$111 &amp; $S$114),0))</f>
        <v>-4.4357521600177918E-3</v>
      </c>
      <c r="W111" s="446">
        <f t="shared" ca="1" si="72"/>
        <v>-3.2217480923521946E-2</v>
      </c>
      <c r="X111" s="446">
        <f t="shared" ca="1" si="72"/>
        <v>-5.9223946357950696E-2</v>
      </c>
      <c r="Y111" s="446">
        <f t="shared" ca="1" si="72"/>
        <v>-8.5476782582423305E-2</v>
      </c>
      <c r="Z111" s="446">
        <f t="shared" ca="1" si="72"/>
        <v>-0.11099702000491651</v>
      </c>
      <c r="AA111" s="446">
        <f t="shared" ca="1" si="72"/>
        <v>-0.13580510216913266</v>
      </c>
      <c r="AB111" s="446"/>
      <c r="AC111" s="139">
        <v>0</v>
      </c>
    </row>
    <row r="112" spans="1:29" collapsed="1">
      <c r="A112" s="157"/>
      <c r="B112" s="158" t="s">
        <v>398</v>
      </c>
      <c r="C112" s="91" t="str">
        <f>LEFT($G$3,1) &amp; "S" &amp; D112</f>
        <v>ES_TextsConsumables</v>
      </c>
      <c r="D112" s="158" t="s">
        <v>516</v>
      </c>
      <c r="E112" s="114"/>
      <c r="F112" s="130"/>
      <c r="G112" s="1227" t="s">
        <v>517</v>
      </c>
      <c r="H112" s="271" t="s">
        <v>518</v>
      </c>
      <c r="I112" s="259">
        <f t="shared" ref="I112:O112" ca="1" si="73">INDEX(INDIRECT($B$112 &amp; $B$113), MATCH($C112, INDIRECT($B$112 &amp; $B$114),0), MATCH(I$4, INDIRECT($B$112 &amp; $B$115), 0))</f>
        <v>128.91999999999999</v>
      </c>
      <c r="J112" s="260">
        <f t="shared" ca="1" si="73"/>
        <v>133.59788116047042</v>
      </c>
      <c r="K112" s="260">
        <f t="shared" ca="1" si="73"/>
        <v>133.59788116047042</v>
      </c>
      <c r="L112" s="260">
        <f t="shared" ca="1" si="73"/>
        <v>133.59788116047042</v>
      </c>
      <c r="M112" s="260">
        <f t="shared" ca="1" si="73"/>
        <v>133.59788116047042</v>
      </c>
      <c r="N112" s="260">
        <f t="shared" ca="1" si="73"/>
        <v>133.59788116047042</v>
      </c>
      <c r="O112" s="261">
        <f t="shared" ca="1" si="73"/>
        <v>133.59788116047042</v>
      </c>
      <c r="P112" s="583"/>
      <c r="Q112" s="511"/>
      <c r="R112" s="511"/>
      <c r="S112" s="116" t="s">
        <v>428</v>
      </c>
      <c r="T112" s="426"/>
      <c r="U112" s="442">
        <f t="shared" ref="U112:AA112" ca="1" si="74">I112*$H$2*(1+U$111)</f>
        <v>47531.728579474497</v>
      </c>
      <c r="V112" s="443">
        <f t="shared" ca="1" si="74"/>
        <v>47881.898665394066</v>
      </c>
      <c r="W112" s="443">
        <f t="shared" ca="1" si="74"/>
        <v>46545.72983019361</v>
      </c>
      <c r="X112" s="443">
        <f t="shared" ca="1" si="74"/>
        <v>45246.847468711268</v>
      </c>
      <c r="Y112" s="443">
        <f t="shared" ca="1" si="74"/>
        <v>43984.211082856011</v>
      </c>
      <c r="Z112" s="443">
        <f t="shared" ca="1" si="74"/>
        <v>42756.809210167405</v>
      </c>
      <c r="AA112" s="444">
        <f t="shared" ca="1" si="74"/>
        <v>41563.658613561514</v>
      </c>
      <c r="AB112" s="396"/>
      <c r="AC112" s="139">
        <v>1</v>
      </c>
    </row>
    <row r="113" spans="1:29" ht="15" hidden="1" customHeight="1" outlineLevel="1">
      <c r="A113" s="157"/>
      <c r="B113" s="158" t="s">
        <v>423</v>
      </c>
      <c r="C113" s="91"/>
      <c r="D113" s="158"/>
      <c r="E113" s="114"/>
      <c r="F113" s="130"/>
      <c r="G113" s="1228"/>
      <c r="H113" s="410"/>
      <c r="I113" s="550"/>
      <c r="J113" s="551"/>
      <c r="K113" s="551"/>
      <c r="L113" s="551"/>
      <c r="M113" s="551"/>
      <c r="N113" s="551"/>
      <c r="O113" s="552"/>
      <c r="P113" s="410"/>
      <c r="Q113" s="512"/>
      <c r="R113" s="512"/>
      <c r="S113" s="116" t="s">
        <v>429</v>
      </c>
      <c r="T113" s="427" t="s">
        <v>433</v>
      </c>
      <c r="U113" s="436">
        <f ca="1">VLOOKUP($T113, $T$41:$AA$49, MATCH(U$4, $S$4:$AA$4,0),0)</f>
        <v>3.6285147071598134E-2</v>
      </c>
      <c r="V113" s="115">
        <f ca="1">VLOOKUP($T113, $T$41:$AA$49, MATCH(V$4, $S$4:$AA$4,0),0)</f>
        <v>5.6826863793245863E-2</v>
      </c>
      <c r="W113" s="115">
        <f ca="1">VLOOKUP($T113, $T$41:$AA$49, MATCH(W$4, $S$4:$AA$4,0),0)</f>
        <v>7.9744735487233376E-2</v>
      </c>
      <c r="X113" s="115">
        <f ca="1">VLOOKUP($T113, $T$41:$AA$49, MATCH(X$4, $S$4:$AA$4,0),0)</f>
        <v>0.10382197588462216</v>
      </c>
      <c r="Y113" s="115">
        <f ca="1">VLOOKUP($T113, $T$41:$AA$49, MATCH(Y$4, $S$4:$AA$4,0),0)</f>
        <v>0.12900137929281041</v>
      </c>
      <c r="Z113" s="115">
        <f t="shared" ref="Z113" ca="1" si="75">VLOOKUP($T113, $T$41:$AA$49, MATCH(Z$4, $S$4:$AA$4,0),0)</f>
        <v>0.15510094686014897</v>
      </c>
      <c r="AA113" s="437">
        <f ca="1">VLOOKUP($T113, $T$41:$AA$49, MATCH(AA$4, $T$4:$AA$4,0),0)</f>
        <v>0.15510094686014897</v>
      </c>
      <c r="AB113" s="396"/>
      <c r="AC113" s="139">
        <v>0</v>
      </c>
    </row>
    <row r="114" spans="1:29" collapsed="1">
      <c r="A114" s="157"/>
      <c r="B114" s="158" t="s">
        <v>424</v>
      </c>
      <c r="C114" s="91" t="str">
        <f>LEFT($G$3,1) &amp; "S" &amp; D114</f>
        <v>ES_CME</v>
      </c>
      <c r="D114" s="158" t="s">
        <v>519</v>
      </c>
      <c r="E114" s="114"/>
      <c r="F114" s="130"/>
      <c r="G114" s="1228"/>
      <c r="H114" s="272" t="s">
        <v>520</v>
      </c>
      <c r="I114" s="67">
        <f t="shared" ref="I114:O116" ca="1" si="76">INDEX(INDIRECT($B$112 &amp; $B$113), MATCH($C114, INDIRECT($B$112 &amp; $B$114),0), MATCH(I$4, INDIRECT($B$112 &amp; $B$115), 0))</f>
        <v>153.19999999999999</v>
      </c>
      <c r="J114" s="23">
        <f t="shared" ca="1" si="76"/>
        <v>158.75888453136884</v>
      </c>
      <c r="K114" s="23">
        <f t="shared" ca="1" si="76"/>
        <v>158.75888453136884</v>
      </c>
      <c r="L114" s="23">
        <f t="shared" ca="1" si="76"/>
        <v>158.75888453136884</v>
      </c>
      <c r="M114" s="23">
        <f t="shared" ca="1" si="76"/>
        <v>158.75888453136884</v>
      </c>
      <c r="N114" s="23">
        <f t="shared" ca="1" si="76"/>
        <v>158.75888453136884</v>
      </c>
      <c r="O114" s="24">
        <f t="shared" ca="1" si="76"/>
        <v>158.75888453136884</v>
      </c>
      <c r="P114" s="581"/>
      <c r="Q114" s="511"/>
      <c r="R114" s="511"/>
      <c r="S114" s="116" t="s">
        <v>431</v>
      </c>
      <c r="T114" s="427"/>
      <c r="U114" s="311">
        <f t="shared" ref="U114:AA116" ca="1" si="77">I114*$H$2*(1+U$113)</f>
        <v>57153.198431292774</v>
      </c>
      <c r="V114" s="25">
        <f t="shared" ca="1" si="77"/>
        <v>60401.035453896213</v>
      </c>
      <c r="W114" s="25">
        <f t="shared" ca="1" si="77"/>
        <v>61710.865122445583</v>
      </c>
      <c r="X114" s="25">
        <f t="shared" ca="1" si="77"/>
        <v>63086.956420555485</v>
      </c>
      <c r="Y114" s="25">
        <f t="shared" ca="1" si="77"/>
        <v>64526.039859925237</v>
      </c>
      <c r="Z114" s="25">
        <f t="shared" ca="1" si="77"/>
        <v>66017.713624072276</v>
      </c>
      <c r="AA114" s="28">
        <f t="shared" ca="1" si="77"/>
        <v>66017.713624072276</v>
      </c>
      <c r="AB114" s="396"/>
      <c r="AC114" s="139">
        <v>1</v>
      </c>
    </row>
    <row r="115" spans="1:29">
      <c r="A115" s="157"/>
      <c r="B115" s="158" t="s">
        <v>425</v>
      </c>
      <c r="C115" s="91" t="str">
        <f>LEFT($G$3,1) &amp; "S" &amp; D115</f>
        <v>ES_MediaMaterials</v>
      </c>
      <c r="D115" s="158" t="s">
        <v>521</v>
      </c>
      <c r="E115" s="91"/>
      <c r="F115" s="92"/>
      <c r="G115" s="1228"/>
      <c r="H115" s="237" t="s">
        <v>522</v>
      </c>
      <c r="I115" s="67">
        <f t="shared" ca="1" si="76"/>
        <v>17.98</v>
      </c>
      <c r="J115" s="23">
        <f t="shared" ca="1" si="76"/>
        <v>18.632406944347334</v>
      </c>
      <c r="K115" s="23">
        <f t="shared" ca="1" si="76"/>
        <v>18.632406944347334</v>
      </c>
      <c r="L115" s="23">
        <f t="shared" ca="1" si="76"/>
        <v>28</v>
      </c>
      <c r="M115" s="23">
        <f t="shared" ca="1" si="76"/>
        <v>28</v>
      </c>
      <c r="N115" s="23">
        <f t="shared" ca="1" si="76"/>
        <v>18.632406944347334</v>
      </c>
      <c r="O115" s="24">
        <f t="shared" ca="1" si="76"/>
        <v>18.632406944347334</v>
      </c>
      <c r="P115" s="581"/>
      <c r="Q115" s="511"/>
      <c r="R115" s="511"/>
      <c r="S115" s="111"/>
      <c r="T115" s="427"/>
      <c r="U115" s="311">
        <f t="shared" ca="1" si="77"/>
        <v>6707.6664999650402</v>
      </c>
      <c r="V115" s="25">
        <f t="shared" ca="1" si="77"/>
        <v>7088.8421505290717</v>
      </c>
      <c r="W115" s="25">
        <f t="shared" ca="1" si="77"/>
        <v>7242.5675907413288</v>
      </c>
      <c r="X115" s="25">
        <f t="shared" ca="1" si="77"/>
        <v>11126.525516916992</v>
      </c>
      <c r="Y115" s="25">
        <f t="shared" ca="1" si="77"/>
        <v>11380.333903271528</v>
      </c>
      <c r="Z115" s="25">
        <f t="shared" ca="1" si="77"/>
        <v>7748.0319253317193</v>
      </c>
      <c r="AA115" s="28">
        <f t="shared" ca="1" si="77"/>
        <v>7748.0319253317193</v>
      </c>
      <c r="AB115" s="396"/>
      <c r="AC115" s="139">
        <v>1</v>
      </c>
    </row>
    <row r="116" spans="1:29" ht="26.25" thickBot="1">
      <c r="A116" s="157"/>
      <c r="B116" s="157"/>
      <c r="C116" s="91" t="str">
        <f>LEFT($G$3,1) &amp; "S" &amp; D116</f>
        <v>ES_TeacherReimbExp</v>
      </c>
      <c r="D116" s="158" t="s">
        <v>523</v>
      </c>
      <c r="E116" s="91"/>
      <c r="F116" s="92"/>
      <c r="G116" s="1229"/>
      <c r="H116" s="275" t="s">
        <v>524</v>
      </c>
      <c r="I116" s="252">
        <f t="shared" ca="1" si="76"/>
        <v>0</v>
      </c>
      <c r="J116" s="65">
        <f t="shared" ca="1" si="76"/>
        <v>0</v>
      </c>
      <c r="K116" s="65">
        <f t="shared" ca="1" si="76"/>
        <v>0</v>
      </c>
      <c r="L116" s="65">
        <f t="shared" ca="1" si="76"/>
        <v>22.5</v>
      </c>
      <c r="M116" s="65">
        <f t="shared" ca="1" si="76"/>
        <v>22.5</v>
      </c>
      <c r="N116" s="65">
        <f t="shared" ca="1" si="76"/>
        <v>0</v>
      </c>
      <c r="O116" s="68">
        <f t="shared" ca="1" si="76"/>
        <v>0</v>
      </c>
      <c r="P116" s="582"/>
      <c r="Q116" s="511"/>
      <c r="R116" s="511"/>
      <c r="S116" s="111"/>
      <c r="T116" s="427"/>
      <c r="U116" s="445">
        <f t="shared" ca="1" si="77"/>
        <v>0</v>
      </c>
      <c r="V116" s="29">
        <f t="shared" ca="1" si="77"/>
        <v>0</v>
      </c>
      <c r="W116" s="29">
        <f t="shared" ca="1" si="77"/>
        <v>0</v>
      </c>
      <c r="X116" s="29">
        <f t="shared" ca="1" si="77"/>
        <v>8940.9580046654391</v>
      </c>
      <c r="Y116" s="29">
        <f t="shared" ca="1" si="77"/>
        <v>9144.9111722717644</v>
      </c>
      <c r="Z116" s="29">
        <f t="shared" ca="1" si="77"/>
        <v>0</v>
      </c>
      <c r="AA116" s="30">
        <f t="shared" ca="1" si="77"/>
        <v>0</v>
      </c>
      <c r="AB116" s="396"/>
      <c r="AC116" s="139">
        <v>1</v>
      </c>
    </row>
    <row r="117" spans="1:29" ht="15" hidden="1" customHeight="1" outlineLevel="1">
      <c r="A117" s="157"/>
      <c r="B117" s="157"/>
      <c r="C117" s="157"/>
      <c r="D117" s="157"/>
      <c r="E117" s="157"/>
      <c r="F117" s="157"/>
      <c r="G117" s="378"/>
      <c r="H117" s="378"/>
      <c r="I117" s="378"/>
      <c r="J117" s="378"/>
      <c r="K117" s="378"/>
      <c r="L117" s="378"/>
      <c r="M117" s="378"/>
      <c r="N117" s="378"/>
      <c r="O117" s="378"/>
      <c r="P117" s="378"/>
      <c r="Q117" s="513"/>
      <c r="R117" s="513"/>
      <c r="S117" s="157"/>
      <c r="T117" s="157"/>
      <c r="U117" s="378"/>
      <c r="V117" s="378"/>
      <c r="W117" s="378"/>
      <c r="X117" s="378"/>
      <c r="Y117" s="378"/>
      <c r="Z117" s="378"/>
      <c r="AA117" s="378"/>
      <c r="AB117" s="396"/>
      <c r="AC117" s="139">
        <v>0</v>
      </c>
    </row>
    <row r="118" spans="1:29" ht="15" hidden="1" customHeight="1" outlineLevel="1">
      <c r="A118" s="199"/>
      <c r="B118" s="200"/>
      <c r="C118" s="200"/>
      <c r="D118" s="200"/>
      <c r="E118" s="200"/>
      <c r="F118" s="200"/>
      <c r="G118" s="200"/>
      <c r="H118" s="200"/>
      <c r="I118" s="200"/>
      <c r="J118" s="200"/>
      <c r="K118" s="200"/>
      <c r="L118" s="200"/>
      <c r="M118" s="200"/>
      <c r="N118" s="200"/>
      <c r="O118" s="200"/>
      <c r="P118" s="200"/>
      <c r="Q118" s="514"/>
      <c r="R118" s="514"/>
      <c r="S118" s="200"/>
      <c r="T118" s="201" t="s">
        <v>433</v>
      </c>
      <c r="U118" s="119">
        <f t="shared" ref="U118:Y119" si="78">VLOOKUP($T118, $T$41:$AA$49, MATCH(U$4, $T$4:$AA$4,0),0)</f>
        <v>0</v>
      </c>
      <c r="V118" s="119">
        <f t="shared" ca="1" si="78"/>
        <v>3.6285147071598134E-2</v>
      </c>
      <c r="W118" s="119">
        <f t="shared" ca="1" si="78"/>
        <v>5.6826863793245863E-2</v>
      </c>
      <c r="X118" s="119">
        <f t="shared" ca="1" si="78"/>
        <v>7.9744735487233376E-2</v>
      </c>
      <c r="Y118" s="119">
        <f t="shared" ca="1" si="78"/>
        <v>0.10382197588462216</v>
      </c>
      <c r="Z118" s="119">
        <f t="shared" ref="Z118:AA119" ca="1" si="79">VLOOKUP($T118, $T$41:$AA$49, MATCH(Z$4, $T$4:$AA$4,0),0)</f>
        <v>0.12900137929281041</v>
      </c>
      <c r="AA118" s="119">
        <f t="shared" ca="1" si="79"/>
        <v>0.15510094686014897</v>
      </c>
      <c r="AB118" s="397"/>
      <c r="AC118" s="139">
        <v>0</v>
      </c>
    </row>
    <row r="119" spans="1:29" ht="15.75" hidden="1" customHeight="1" outlineLevel="1" thickBot="1">
      <c r="A119" s="199"/>
      <c r="B119" s="200"/>
      <c r="C119" s="200"/>
      <c r="D119" s="200"/>
      <c r="E119" s="200"/>
      <c r="F119" s="200"/>
      <c r="G119" s="379"/>
      <c r="H119" s="379"/>
      <c r="I119" s="379"/>
      <c r="J119" s="379"/>
      <c r="K119" s="379"/>
      <c r="L119" s="379"/>
      <c r="M119" s="379"/>
      <c r="N119" s="379"/>
      <c r="O119" s="379"/>
      <c r="P119" s="379"/>
      <c r="Q119" s="514"/>
      <c r="R119" s="514"/>
      <c r="S119" s="200"/>
      <c r="T119" s="201" t="s">
        <v>427</v>
      </c>
      <c r="U119" s="546">
        <f t="shared" si="78"/>
        <v>0</v>
      </c>
      <c r="V119" s="546">
        <f t="shared" ca="1" si="78"/>
        <v>5.2675379955796853E-2</v>
      </c>
      <c r="W119" s="546">
        <f t="shared" ca="1" si="78"/>
        <v>8.6164329717592247E-2</v>
      </c>
      <c r="X119" s="546">
        <f t="shared" ca="1" si="78"/>
        <v>0.141531828972141</v>
      </c>
      <c r="Y119" s="546">
        <f t="shared" ca="1" si="78"/>
        <v>0.18034598488362574</v>
      </c>
      <c r="Z119" s="546">
        <f t="shared" ca="1" si="79"/>
        <v>0.22152036890501803</v>
      </c>
      <c r="AA119" s="546">
        <f t="shared" ca="1" si="79"/>
        <v>0.26521869628093553</v>
      </c>
      <c r="AB119" s="397"/>
      <c r="AC119" s="139">
        <v>0</v>
      </c>
    </row>
    <row r="120" spans="1:29" collapsed="1">
      <c r="A120" s="203"/>
      <c r="B120" s="81" t="s">
        <v>434</v>
      </c>
      <c r="C120" s="81" t="str">
        <f>LEFT($G$3,1) &amp; "S" &amp; D120</f>
        <v>ES_ExCurrExp</v>
      </c>
      <c r="D120" s="202" t="s">
        <v>525</v>
      </c>
      <c r="E120" s="81"/>
      <c r="F120" s="82">
        <f>IF(LEFT($F$3,1)="H",0,1)</f>
        <v>1</v>
      </c>
      <c r="G120" s="1215" t="s">
        <v>526</v>
      </c>
      <c r="H120" s="271" t="s">
        <v>527</v>
      </c>
      <c r="I120" s="323">
        <f t="shared" ref="I120:O123" ca="1" si="80">IFERROR(INDEX(INDIRECT($B$120 &amp; $B$121), MATCH($C120, INDIRECT($B$120 &amp; $B$122),0), MATCH(I$4, INDIRECT($B$120 &amp; $B$123), 0)),0)</f>
        <v>75</v>
      </c>
      <c r="J120" s="408">
        <f t="shared" ca="1" si="80"/>
        <v>75</v>
      </c>
      <c r="K120" s="408">
        <f t="shared" ca="1" si="80"/>
        <v>75</v>
      </c>
      <c r="L120" s="408">
        <f t="shared" ca="1" si="80"/>
        <v>75</v>
      </c>
      <c r="M120" s="408">
        <f t="shared" ca="1" si="80"/>
        <v>75</v>
      </c>
      <c r="N120" s="408">
        <f t="shared" ca="1" si="80"/>
        <v>75</v>
      </c>
      <c r="O120" s="416">
        <f t="shared" ca="1" si="80"/>
        <v>75</v>
      </c>
      <c r="P120" s="583"/>
      <c r="Q120" s="515"/>
      <c r="R120" s="515"/>
      <c r="S120" s="120"/>
      <c r="T120" s="348"/>
      <c r="U120" s="547">
        <f t="shared" ref="U120:AA120" ca="1" si="81">I120*$H$2*(1+U118)*$F120</f>
        <v>27000</v>
      </c>
      <c r="V120" s="404">
        <f t="shared" ca="1" si="81"/>
        <v>27979.69897093315</v>
      </c>
      <c r="W120" s="404">
        <f t="shared" ca="1" si="81"/>
        <v>28534.325322417637</v>
      </c>
      <c r="X120" s="404">
        <f t="shared" ca="1" si="81"/>
        <v>29153.107858155301</v>
      </c>
      <c r="Y120" s="404">
        <f t="shared" ca="1" si="81"/>
        <v>29803.193348884797</v>
      </c>
      <c r="Z120" s="404">
        <f t="shared" ca="1" si="81"/>
        <v>30483.03724090588</v>
      </c>
      <c r="AA120" s="409">
        <f t="shared" ca="1" si="81"/>
        <v>31187.725565224024</v>
      </c>
      <c r="AB120" s="398"/>
      <c r="AC120" s="139">
        <v>1</v>
      </c>
    </row>
    <row r="121" spans="1:29">
      <c r="A121" s="203"/>
      <c r="B121" s="81" t="s">
        <v>461</v>
      </c>
      <c r="C121" s="81" t="str">
        <f>LEFT($G$3,1) &amp; "S" &amp; D121</f>
        <v>ES_Coach</v>
      </c>
      <c r="D121" s="202" t="s">
        <v>528</v>
      </c>
      <c r="E121" s="81"/>
      <c r="F121" s="82">
        <f>IF(LEFT($F$3,1)="H",1,0)</f>
        <v>0</v>
      </c>
      <c r="G121" s="1216"/>
      <c r="H121" s="272" t="s">
        <v>529</v>
      </c>
      <c r="I121" s="417">
        <f t="shared" ca="1" si="80"/>
        <v>0</v>
      </c>
      <c r="J121" s="198">
        <f t="shared" ca="1" si="80"/>
        <v>0</v>
      </c>
      <c r="K121" s="198">
        <f t="shared" ca="1" si="80"/>
        <v>0</v>
      </c>
      <c r="L121" s="198">
        <f t="shared" ca="1" si="80"/>
        <v>0</v>
      </c>
      <c r="M121" s="198">
        <f t="shared" ca="1" si="80"/>
        <v>0</v>
      </c>
      <c r="N121" s="198">
        <f t="shared" ca="1" si="80"/>
        <v>0</v>
      </c>
      <c r="O121" s="418">
        <f t="shared" ca="1" si="80"/>
        <v>0</v>
      </c>
      <c r="P121" s="579">
        <f ca="1">IFERROR(INDEX(INDIRECT($B$120 &amp; $B$121), MATCH($C121, INDIRECT($B$120 &amp; $B$122),0), MATCH(P$4, INDIRECT($B$120 &amp; $B$123), 0)),0)</f>
        <v>0</v>
      </c>
      <c r="Q121" s="516" t="s">
        <v>398</v>
      </c>
      <c r="R121" s="516"/>
      <c r="S121" s="206"/>
      <c r="T121" s="428"/>
      <c r="U121" s="548">
        <f ca="1">I121*$P121*$F121</f>
        <v>0</v>
      </c>
      <c r="V121" s="27">
        <f t="shared" ref="V121:AA121" ca="1" si="82">J121*$P121*(1+V119)*$F121</f>
        <v>0</v>
      </c>
      <c r="W121" s="27">
        <f t="shared" ca="1" si="82"/>
        <v>0</v>
      </c>
      <c r="X121" s="27">
        <f t="shared" ca="1" si="82"/>
        <v>0</v>
      </c>
      <c r="Y121" s="27">
        <f t="shared" ca="1" si="82"/>
        <v>0</v>
      </c>
      <c r="Z121" s="27">
        <f t="shared" ca="1" si="82"/>
        <v>0</v>
      </c>
      <c r="AA121" s="386">
        <f t="shared" ca="1" si="82"/>
        <v>0</v>
      </c>
      <c r="AB121" s="398"/>
      <c r="AC121" s="139">
        <v>1</v>
      </c>
    </row>
    <row r="122" spans="1:29">
      <c r="A122" s="203"/>
      <c r="B122" s="81" t="s">
        <v>464</v>
      </c>
      <c r="C122" s="81" t="str">
        <f>LEFT($G$3,1) &amp; "S" &amp; D122</f>
        <v>ES_AthlEventExp</v>
      </c>
      <c r="D122" s="202" t="s">
        <v>530</v>
      </c>
      <c r="E122" s="81"/>
      <c r="F122" s="82">
        <f>IF(LEFT($F$3,1)="H",1,0)</f>
        <v>0</v>
      </c>
      <c r="G122" s="1216"/>
      <c r="H122" s="272" t="s">
        <v>531</v>
      </c>
      <c r="I122" s="312">
        <f t="shared" ca="1" si="80"/>
        <v>0</v>
      </c>
      <c r="J122" s="102">
        <f t="shared" ca="1" si="80"/>
        <v>0</v>
      </c>
      <c r="K122" s="102">
        <f t="shared" ca="1" si="80"/>
        <v>0</v>
      </c>
      <c r="L122" s="102">
        <f t="shared" ca="1" si="80"/>
        <v>0</v>
      </c>
      <c r="M122" s="102">
        <f t="shared" ca="1" si="80"/>
        <v>0</v>
      </c>
      <c r="N122" s="102">
        <f t="shared" ca="1" si="80"/>
        <v>0</v>
      </c>
      <c r="O122" s="313">
        <f t="shared" ca="1" si="80"/>
        <v>0</v>
      </c>
      <c r="P122" s="584"/>
      <c r="Q122" s="516" t="s">
        <v>423</v>
      </c>
      <c r="R122" s="516"/>
      <c r="S122" s="206"/>
      <c r="T122" s="428"/>
      <c r="U122" s="548">
        <f t="shared" ref="U122:AA122" ca="1" si="83">I122*$H$2*(1+U118)*$F122</f>
        <v>0</v>
      </c>
      <c r="V122" s="27">
        <f t="shared" ca="1" si="83"/>
        <v>0</v>
      </c>
      <c r="W122" s="27">
        <f t="shared" ca="1" si="83"/>
        <v>0</v>
      </c>
      <c r="X122" s="27">
        <f t="shared" ca="1" si="83"/>
        <v>0</v>
      </c>
      <c r="Y122" s="27">
        <f t="shared" ca="1" si="83"/>
        <v>0</v>
      </c>
      <c r="Z122" s="27">
        <f t="shared" ca="1" si="83"/>
        <v>0</v>
      </c>
      <c r="AA122" s="386">
        <f t="shared" ca="1" si="83"/>
        <v>0</v>
      </c>
      <c r="AB122" s="398"/>
      <c r="AC122" s="139">
        <v>1</v>
      </c>
    </row>
    <row r="123" spans="1:29">
      <c r="A123" s="203"/>
      <c r="B123" s="81" t="s">
        <v>443</v>
      </c>
      <c r="C123" s="81" t="str">
        <f>LEFT($G$3,1) &amp; "S" &amp; D123</f>
        <v>ES_OtherExtCurExp</v>
      </c>
      <c r="D123" s="202" t="s">
        <v>532</v>
      </c>
      <c r="E123" s="81"/>
      <c r="F123" s="82">
        <f>IF(LEFT($F$3,1)="H",1,0)</f>
        <v>0</v>
      </c>
      <c r="G123" s="1216"/>
      <c r="H123" s="272" t="s">
        <v>533</v>
      </c>
      <c r="I123" s="312">
        <f t="shared" ca="1" si="80"/>
        <v>0</v>
      </c>
      <c r="J123" s="102">
        <f t="shared" ca="1" si="80"/>
        <v>0</v>
      </c>
      <c r="K123" s="102">
        <f t="shared" ca="1" si="80"/>
        <v>0</v>
      </c>
      <c r="L123" s="102">
        <f t="shared" ca="1" si="80"/>
        <v>0</v>
      </c>
      <c r="M123" s="102">
        <f t="shared" ca="1" si="80"/>
        <v>0</v>
      </c>
      <c r="N123" s="102">
        <f t="shared" ca="1" si="80"/>
        <v>0</v>
      </c>
      <c r="O123" s="313">
        <f t="shared" ca="1" si="80"/>
        <v>0</v>
      </c>
      <c r="P123" s="570"/>
      <c r="Q123" s="516" t="s">
        <v>424</v>
      </c>
      <c r="R123" s="516"/>
      <c r="S123" s="120"/>
      <c r="T123" s="429"/>
      <c r="U123" s="548">
        <f t="shared" ref="U123:AA123" ca="1" si="84">I123*$H$2*(1+U118)*$F123</f>
        <v>0</v>
      </c>
      <c r="V123" s="27">
        <f t="shared" ca="1" si="84"/>
        <v>0</v>
      </c>
      <c r="W123" s="27">
        <f t="shared" ca="1" si="84"/>
        <v>0</v>
      </c>
      <c r="X123" s="27">
        <f t="shared" ca="1" si="84"/>
        <v>0</v>
      </c>
      <c r="Y123" s="27">
        <f t="shared" ca="1" si="84"/>
        <v>0</v>
      </c>
      <c r="Z123" s="27">
        <f t="shared" ca="1" si="84"/>
        <v>0</v>
      </c>
      <c r="AA123" s="386">
        <f t="shared" ca="1" si="84"/>
        <v>0</v>
      </c>
      <c r="AB123" s="398"/>
      <c r="AC123" s="139">
        <v>1</v>
      </c>
    </row>
    <row r="124" spans="1:29" ht="15.75" thickBot="1">
      <c r="A124" s="203"/>
      <c r="B124" s="203"/>
      <c r="C124" s="81" t="str">
        <f>LEFT($G$3,1) &amp; "S" &amp; D124</f>
        <v>ES_ExtraCurrSponsors</v>
      </c>
      <c r="D124" s="204" t="s">
        <v>534</v>
      </c>
      <c r="E124" s="81"/>
      <c r="F124" s="82">
        <f>IF(LEFT($F$3,1)="H",1,0)</f>
        <v>0</v>
      </c>
      <c r="G124" s="1217"/>
      <c r="H124" s="275" t="s">
        <v>535</v>
      </c>
      <c r="I124" s="419">
        <f ca="1">IFERROR(INDEX(INDIRECT($Q$121 &amp; $Q$122), MATCH($C124, INDIRECT($Q$121 &amp; $Q$123),0), MATCH(I$4, INDIRECT($Q$121 &amp; $Q$124), 0)),0)</f>
        <v>0</v>
      </c>
      <c r="J124" s="400">
        <f ca="1">IFERROR(INDEX(INDIRECT($Q$121 &amp; $Q$122), MATCH($C124, INDIRECT($Q$121 &amp; $Q$123),0), MATCH(J$4, INDIRECT($Q$121 &amp; $Q$124), 0)),0)</f>
        <v>0</v>
      </c>
      <c r="K124" s="400">
        <f ca="1">IFERROR(INDEX(INDIRECT($Q$121 &amp; $Q$122), MATCH($C124, INDIRECT($Q$121 &amp; $Q$123),0), MATCH(K$4, INDIRECT($Q$121 &amp; $Q$124), 0)),0)</f>
        <v>0</v>
      </c>
      <c r="L124" s="400">
        <f ca="1">IFERROR(INDEX(INDIRECT($Q$121 &amp; $Q$122), MATCH($C124, INDIRECT($Q$121 &amp; $Q$123),0), MATCH(L$4, INDIRECT($Q$121 &amp; $Q$124), 0)),0)</f>
        <v>0</v>
      </c>
      <c r="M124" s="400">
        <f ca="1">IFERROR(INDEX(INDIRECT($Q$121 &amp; $Q$122), MATCH($C124, INDIRECT($Q$121 &amp; $Q$123),0), MATCH(M$4, INDIRECT($Q$121 &amp; $Q$124), 0)),0)</f>
        <v>0</v>
      </c>
      <c r="N124" s="400">
        <f t="shared" ref="N124:O124" ca="1" si="85">IFERROR(INDEX(INDIRECT($Q$121 &amp; $Q$122), MATCH($C124, INDIRECT($Q$121 &amp; $Q$123),0), MATCH(N$4, INDIRECT($Q$121 &amp; $Q$124), 0)),0)</f>
        <v>0</v>
      </c>
      <c r="O124" s="420">
        <f t="shared" ca="1" si="85"/>
        <v>0</v>
      </c>
      <c r="P124" s="585">
        <f ca="1">IFERROR(INDEX(INDIRECT($B$120 &amp; $B$121), MATCH($C124, INDIRECT($B$120 &amp; $B$122),0), MATCH(P$4, INDIRECT($B$120 &amp; $B$123), 0)),0)</f>
        <v>0</v>
      </c>
      <c r="Q124" s="517" t="s">
        <v>425</v>
      </c>
      <c r="R124" s="517"/>
      <c r="S124" s="120"/>
      <c r="T124" s="429"/>
      <c r="U124" s="549">
        <f ca="1">I124*$P124+25*1000*$F124</f>
        <v>0</v>
      </c>
      <c r="V124" s="387">
        <f t="shared" ref="V124:AA124" ca="1" si="86">(J124*$P124+25*1000)*(1+V119)*$F124</f>
        <v>0</v>
      </c>
      <c r="W124" s="387">
        <f t="shared" ca="1" si="86"/>
        <v>0</v>
      </c>
      <c r="X124" s="387">
        <f t="shared" ca="1" si="86"/>
        <v>0</v>
      </c>
      <c r="Y124" s="387">
        <f t="shared" ca="1" si="86"/>
        <v>0</v>
      </c>
      <c r="Z124" s="387">
        <f t="shared" ca="1" si="86"/>
        <v>0</v>
      </c>
      <c r="AA124" s="388">
        <f t="shared" ca="1" si="86"/>
        <v>0</v>
      </c>
      <c r="AB124" s="398"/>
      <c r="AC124" s="139">
        <v>1</v>
      </c>
    </row>
    <row r="125" spans="1:29" hidden="1" outlineLevel="1">
      <c r="A125" s="203"/>
      <c r="B125" s="203"/>
      <c r="C125" s="202"/>
      <c r="D125" s="81"/>
      <c r="E125" s="81"/>
      <c r="F125" s="81"/>
      <c r="G125" s="205"/>
      <c r="H125" s="399"/>
      <c r="I125" s="350"/>
      <c r="J125" s="350"/>
      <c r="K125" s="350"/>
      <c r="L125" s="350"/>
      <c r="M125" s="350"/>
      <c r="N125" s="350"/>
      <c r="O125" s="350"/>
      <c r="P125" s="207"/>
      <c r="Q125" s="429"/>
      <c r="R125" s="429"/>
      <c r="S125" s="120"/>
      <c r="T125" s="120"/>
      <c r="U125" s="356"/>
      <c r="V125" s="207"/>
      <c r="W125" s="207"/>
      <c r="X125" s="207"/>
      <c r="Y125" s="207"/>
      <c r="Z125" s="207"/>
      <c r="AA125" s="207"/>
      <c r="AB125" s="398"/>
      <c r="AC125" s="139">
        <v>0</v>
      </c>
    </row>
    <row r="126" spans="1:29" hidden="1" outlineLevel="1">
      <c r="A126" s="590"/>
      <c r="B126" s="590"/>
      <c r="C126" s="591"/>
      <c r="D126" s="592"/>
      <c r="E126" s="592"/>
      <c r="F126" s="592"/>
      <c r="G126" s="593"/>
      <c r="H126" s="593"/>
      <c r="I126" s="593"/>
      <c r="J126" s="593"/>
      <c r="K126" s="593"/>
      <c r="L126" s="593"/>
      <c r="M126" s="593"/>
      <c r="N126" s="593"/>
      <c r="O126" s="593"/>
      <c r="P126" s="593"/>
      <c r="Q126" s="593"/>
      <c r="R126" s="593"/>
      <c r="S126" s="593"/>
      <c r="T126" s="593" t="s">
        <v>433</v>
      </c>
      <c r="U126" s="594">
        <f>VLOOKUP($T126, $T$41:$AA$49, MATCH(U$4, $T$4:$AA$4,0),0)</f>
        <v>0</v>
      </c>
      <c r="V126" s="594">
        <f ca="1">VLOOKUP($T126, $T$41:$AA$49, MATCH(V$4, $T$4:$AA$4,0),0)</f>
        <v>3.6285147071598134E-2</v>
      </c>
      <c r="W126" s="594">
        <f ca="1">VLOOKUP($T126, $T$41:$AA$49, MATCH(W$4, $T$4:$AA$4,0),0)</f>
        <v>5.6826863793245863E-2</v>
      </c>
      <c r="X126" s="594">
        <f ca="1">VLOOKUP($T126, $T$41:$AA$49, MATCH(X$4, $T$4:$AA$4,0),0)</f>
        <v>7.9744735487233376E-2</v>
      </c>
      <c r="Y126" s="594">
        <f ca="1">VLOOKUP($T126, $T$41:$AA$49, MATCH(Y$4, $T$4:$AA$4,0),0)</f>
        <v>0.10382197588462216</v>
      </c>
      <c r="Z126" s="594">
        <f t="shared" ref="Z126:AA126" ca="1" si="87">VLOOKUP($T126, $T$41:$AA$49, MATCH(Z$4, $T$4:$AA$4,0),0)</f>
        <v>0.12900137929281041</v>
      </c>
      <c r="AA126" s="594">
        <f t="shared" ca="1" si="87"/>
        <v>0.15510094686014897</v>
      </c>
      <c r="AB126" s="590"/>
      <c r="AC126" s="139">
        <v>0</v>
      </c>
    </row>
    <row r="127" spans="1:29" hidden="1" outlineLevel="1">
      <c r="A127" s="590"/>
      <c r="B127" s="590"/>
      <c r="C127" s="590" t="str">
        <f>LEFT($G$3,1) &amp; "S" &amp; D127</f>
        <v>ES_TeachProfDev</v>
      </c>
      <c r="D127" s="592" t="s">
        <v>536</v>
      </c>
      <c r="E127" s="592"/>
      <c r="F127" s="592"/>
      <c r="G127" s="593"/>
      <c r="H127" s="593"/>
      <c r="I127" s="593"/>
      <c r="J127" s="593"/>
      <c r="K127" s="593"/>
      <c r="L127" s="593"/>
      <c r="M127" s="593"/>
      <c r="N127" s="593"/>
      <c r="O127" s="593"/>
      <c r="P127" s="593"/>
      <c r="Q127" s="593"/>
      <c r="R127" s="593"/>
      <c r="S127" s="593"/>
      <c r="T127" s="593" t="str">
        <f>C127</f>
        <v>ES_TeachProfDev</v>
      </c>
      <c r="U127" s="595">
        <f t="shared" ref="U127:AA128" ca="1" si="88">INDEX(INDIRECT($B$129 &amp; $B$130), MATCH($C127, INDIRECT($B$129 &amp; $B$131),0), MATCH(U$4,INDIRECT($B$129 &amp; $B$132),0))</f>
        <v>5</v>
      </c>
      <c r="V127" s="595">
        <f t="shared" ca="1" si="88"/>
        <v>5</v>
      </c>
      <c r="W127" s="595">
        <f t="shared" ca="1" si="88"/>
        <v>5</v>
      </c>
      <c r="X127" s="595">
        <f t="shared" ca="1" si="88"/>
        <v>7</v>
      </c>
      <c r="Y127" s="595">
        <f t="shared" ca="1" si="88"/>
        <v>7</v>
      </c>
      <c r="Z127" s="595">
        <f t="shared" ca="1" si="88"/>
        <v>5</v>
      </c>
      <c r="AA127" s="595">
        <f t="shared" ca="1" si="88"/>
        <v>5</v>
      </c>
      <c r="AB127" s="590"/>
      <c r="AC127" s="139">
        <v>0</v>
      </c>
    </row>
    <row r="128" spans="1:29" ht="15.75" hidden="1" outlineLevel="1" thickBot="1">
      <c r="A128" s="590"/>
      <c r="B128" s="590"/>
      <c r="C128" s="590" t="str">
        <f>LEFT($G$3,1) &amp; "S" &amp; D128</f>
        <v>ES_LeadershipDev</v>
      </c>
      <c r="D128" s="592" t="s">
        <v>537</v>
      </c>
      <c r="E128" s="592"/>
      <c r="F128" s="592"/>
      <c r="G128" s="601"/>
      <c r="H128" s="601"/>
      <c r="I128" s="601"/>
      <c r="J128" s="601"/>
      <c r="K128" s="601"/>
      <c r="L128" s="601"/>
      <c r="M128" s="601"/>
      <c r="N128" s="601"/>
      <c r="O128" s="601"/>
      <c r="P128" s="601"/>
      <c r="Q128" s="593"/>
      <c r="R128" s="593"/>
      <c r="S128" s="593"/>
      <c r="T128" s="593" t="str">
        <f>C128</f>
        <v>ES_LeadershipDev</v>
      </c>
      <c r="U128" s="627">
        <f t="shared" ca="1" si="88"/>
        <v>3</v>
      </c>
      <c r="V128" s="627">
        <f t="shared" ca="1" si="88"/>
        <v>3</v>
      </c>
      <c r="W128" s="627">
        <f t="shared" ca="1" si="88"/>
        <v>3</v>
      </c>
      <c r="X128" s="627">
        <f t="shared" ca="1" si="88"/>
        <v>4</v>
      </c>
      <c r="Y128" s="627">
        <f t="shared" ca="1" si="88"/>
        <v>4</v>
      </c>
      <c r="Z128" s="627">
        <f t="shared" ca="1" si="88"/>
        <v>3</v>
      </c>
      <c r="AA128" s="627">
        <f t="shared" ca="1" si="88"/>
        <v>3</v>
      </c>
      <c r="AB128" s="590"/>
      <c r="AC128" s="139">
        <v>0</v>
      </c>
    </row>
    <row r="129" spans="1:29" ht="25.5" collapsed="1">
      <c r="A129" s="590"/>
      <c r="B129" s="592" t="s">
        <v>398</v>
      </c>
      <c r="C129" s="1212" t="s">
        <v>538</v>
      </c>
      <c r="D129" s="1213"/>
      <c r="E129" s="1213"/>
      <c r="F129" s="1214"/>
      <c r="G129" s="1227" t="s">
        <v>539</v>
      </c>
      <c r="H129" s="606" t="s">
        <v>540</v>
      </c>
      <c r="I129" s="611">
        <f ca="1">SUM(I23:I35)+I63</f>
        <v>26.25</v>
      </c>
      <c r="J129" s="559">
        <f t="shared" ref="J129:O129" ca="1" si="89">SUM(J23:J35)+J63</f>
        <v>26.25</v>
      </c>
      <c r="K129" s="559">
        <f t="shared" ca="1" si="89"/>
        <v>26.25</v>
      </c>
      <c r="L129" s="559">
        <f t="shared" ca="1" si="89"/>
        <v>29.5</v>
      </c>
      <c r="M129" s="559">
        <f t="shared" ca="1" si="89"/>
        <v>29.5</v>
      </c>
      <c r="N129" s="559">
        <f t="shared" ca="1" si="89"/>
        <v>26.25</v>
      </c>
      <c r="O129" s="612">
        <f t="shared" ca="1" si="89"/>
        <v>26.25</v>
      </c>
      <c r="P129" s="608">
        <f t="shared" ref="P129:P135" ca="1" si="90">IFERROR(INDEX(INDIRECT($B$120 &amp; $B$121), MATCH($Q129, INDIRECT($B$120 &amp; $B$122),0), MATCH(P$4, INDIRECT($B$120 &amp; $B$123), 0)),0)</f>
        <v>333</v>
      </c>
      <c r="Q129" s="600" t="str">
        <f>LEFT($G$3,1) &amp; "S_TchrProfDev"</f>
        <v>ES_TchrProfDev</v>
      </c>
      <c r="R129" s="600"/>
      <c r="S129" s="590"/>
      <c r="T129" s="624"/>
      <c r="U129" s="360">
        <f t="shared" ref="U129:AA129" ca="1" si="91">I129*$P129*U127*(1+U126)</f>
        <v>43706.25</v>
      </c>
      <c r="V129" s="361">
        <f t="shared" ca="1" si="91"/>
        <v>45292.137709198039</v>
      </c>
      <c r="W129" s="361">
        <f t="shared" ca="1" si="91"/>
        <v>46189.939115663554</v>
      </c>
      <c r="X129" s="361">
        <f t="shared" ca="1" si="91"/>
        <v>74248.106863411856</v>
      </c>
      <c r="Y129" s="361">
        <f t="shared" ca="1" si="91"/>
        <v>75903.766260718097</v>
      </c>
      <c r="Z129" s="361">
        <f t="shared" ca="1" si="91"/>
        <v>49344.416533716394</v>
      </c>
      <c r="AA129" s="362">
        <f t="shared" ca="1" si="91"/>
        <v>50485.130758706386</v>
      </c>
      <c r="AB129" s="600"/>
      <c r="AC129" s="139">
        <v>1</v>
      </c>
    </row>
    <row r="130" spans="1:29">
      <c r="A130" s="590"/>
      <c r="B130" s="592" t="s">
        <v>423</v>
      </c>
      <c r="C130" s="590" t="str">
        <f t="shared" ref="C130:C135" si="92">LEFT($G$3,1) &amp; "S" &amp; D130</f>
        <v>ES_TeacherCollab</v>
      </c>
      <c r="D130" s="592" t="s">
        <v>541</v>
      </c>
      <c r="E130" s="592"/>
      <c r="F130" s="599"/>
      <c r="G130" s="1228"/>
      <c r="H130" s="607" t="s">
        <v>542</v>
      </c>
      <c r="I130" s="613">
        <f t="shared" ref="I130:O130" ca="1" si="93">INDEX(INDIRECT($B$129 &amp; $B$130), MATCH($C130, INDIRECT($B$129 &amp; $B$131),0), MATCH(I$4, INDIRECT($B$129 &amp; $B$132), 0))</f>
        <v>1</v>
      </c>
      <c r="J130" s="103">
        <f t="shared" ca="1" si="93"/>
        <v>1</v>
      </c>
      <c r="K130" s="103">
        <f t="shared" ca="1" si="93"/>
        <v>1</v>
      </c>
      <c r="L130" s="103">
        <f t="shared" ca="1" si="93"/>
        <v>2</v>
      </c>
      <c r="M130" s="103">
        <f t="shared" ca="1" si="93"/>
        <v>2</v>
      </c>
      <c r="N130" s="103">
        <f t="shared" ca="1" si="93"/>
        <v>1</v>
      </c>
      <c r="O130" s="614">
        <f t="shared" ca="1" si="93"/>
        <v>1</v>
      </c>
      <c r="P130" s="609">
        <f t="shared" ca="1" si="90"/>
        <v>0</v>
      </c>
      <c r="Q130" s="600" t="str">
        <f>LEFT($G$3,1) &amp; "S_TeacherCollab"</f>
        <v>ES_TeacherCollab</v>
      </c>
      <c r="R130" s="600"/>
      <c r="S130" s="592">
        <v>1800</v>
      </c>
      <c r="T130" s="625"/>
      <c r="U130" s="548">
        <f t="shared" ref="U130:AA130" ca="1" si="94">U7*(1+U18)/$S130*I129*I130*36</f>
        <v>51689.694000000003</v>
      </c>
      <c r="V130" s="27">
        <f t="shared" ca="1" si="94"/>
        <v>54825.665990402194</v>
      </c>
      <c r="W130" s="27">
        <f t="shared" ca="1" si="94"/>
        <v>56569.844688764693</v>
      </c>
      <c r="X130" s="27">
        <f t="shared" ca="1" si="94"/>
        <v>133303.00648580861</v>
      </c>
      <c r="Y130" s="27">
        <f t="shared" ca="1" si="94"/>
        <v>137835.55086686954</v>
      </c>
      <c r="Z130" s="27">
        <f t="shared" ca="1" si="94"/>
        <v>63464.363470882578</v>
      </c>
      <c r="AA130" s="386">
        <f t="shared" ca="1" si="94"/>
        <v>65734.719825349966</v>
      </c>
      <c r="AB130" s="600"/>
      <c r="AC130" s="139">
        <v>1</v>
      </c>
    </row>
    <row r="131" spans="1:29" ht="25.5">
      <c r="A131" s="590"/>
      <c r="B131" s="592" t="s">
        <v>424</v>
      </c>
      <c r="C131" s="590" t="str">
        <f t="shared" si="92"/>
        <v>ES_STEMStipend</v>
      </c>
      <c r="D131" s="592" t="s">
        <v>543</v>
      </c>
      <c r="E131" s="592"/>
      <c r="F131" s="599"/>
      <c r="G131" s="1228"/>
      <c r="H131" s="607" t="s">
        <v>544</v>
      </c>
      <c r="I131" s="613">
        <f ca="1">IF(LEFT($F$3,1)="E",0,I129*INDEX(INDIRECT($B$129 &amp; $B$130), MATCH($C131, INDIRECT($B$129 &amp; $B$131),0), MATCH(I$4, INDIRECT($B$129 &amp; $B$132), 0)))</f>
        <v>0</v>
      </c>
      <c r="J131" s="103">
        <f t="shared" ref="J131:O131" ca="1" si="95">IF(LEFT($F$3,1)="E",0,J129*INDEX(INDIRECT($B$129 &amp; $B$130), MATCH($C131, INDIRECT($B$129 &amp; $B$131),0), MATCH(J$4, INDIRECT($B$129 &amp; $B$132), 0)))</f>
        <v>0</v>
      </c>
      <c r="K131" s="103">
        <f t="shared" ca="1" si="95"/>
        <v>0</v>
      </c>
      <c r="L131" s="103">
        <f t="shared" ca="1" si="95"/>
        <v>0</v>
      </c>
      <c r="M131" s="103">
        <f t="shared" ca="1" si="95"/>
        <v>0</v>
      </c>
      <c r="N131" s="103">
        <f t="shared" ca="1" si="95"/>
        <v>0</v>
      </c>
      <c r="O131" s="614">
        <f t="shared" ca="1" si="95"/>
        <v>0</v>
      </c>
      <c r="P131" s="609">
        <f t="shared" ca="1" si="90"/>
        <v>0</v>
      </c>
      <c r="Q131" s="600" t="str">
        <f>LEFT($G$3,1) &amp; "S_STEM_Stipend"</f>
        <v>ES_STEM_Stipend</v>
      </c>
      <c r="R131" s="600"/>
      <c r="S131" s="592"/>
      <c r="T131" s="624"/>
      <c r="U131" s="548">
        <f t="shared" ref="U131:AA131" ca="1" si="96">I131*$P131*(1+U126)</f>
        <v>0</v>
      </c>
      <c r="V131" s="27">
        <f t="shared" ca="1" si="96"/>
        <v>0</v>
      </c>
      <c r="W131" s="27">
        <f t="shared" ca="1" si="96"/>
        <v>0</v>
      </c>
      <c r="X131" s="27">
        <f t="shared" ca="1" si="96"/>
        <v>0</v>
      </c>
      <c r="Y131" s="27">
        <f t="shared" ca="1" si="96"/>
        <v>0</v>
      </c>
      <c r="Z131" s="27">
        <f t="shared" ca="1" si="96"/>
        <v>0</v>
      </c>
      <c r="AA131" s="386">
        <f t="shared" ca="1" si="96"/>
        <v>0</v>
      </c>
      <c r="AB131" s="600"/>
      <c r="AC131" s="139">
        <v>1</v>
      </c>
    </row>
    <row r="132" spans="1:29">
      <c r="A132" s="590"/>
      <c r="B132" s="592" t="s">
        <v>425</v>
      </c>
      <c r="C132" s="590" t="str">
        <f t="shared" si="92"/>
        <v>ES_ConsStaffDev</v>
      </c>
      <c r="D132" s="592" t="s">
        <v>545</v>
      </c>
      <c r="E132" s="592"/>
      <c r="F132" s="599"/>
      <c r="G132" s="1228"/>
      <c r="H132" s="272" t="s">
        <v>546</v>
      </c>
      <c r="I132" s="67">
        <f t="shared" ref="I132:O132" ca="1" si="97">INDEX(INDIRECT($B$129 &amp; $B$130), MATCH($C132, INDIRECT($B$129 &amp; $B$131),0), MATCH(I$4, INDIRECT($B$129 &amp; $B$132), 0))</f>
        <v>2600</v>
      </c>
      <c r="J132" s="23">
        <f t="shared" ca="1" si="97"/>
        <v>2600</v>
      </c>
      <c r="K132" s="23">
        <f t="shared" ca="1" si="97"/>
        <v>2600</v>
      </c>
      <c r="L132" s="23">
        <f t="shared" ca="1" si="97"/>
        <v>8000</v>
      </c>
      <c r="M132" s="23">
        <f t="shared" ca="1" si="97"/>
        <v>8000</v>
      </c>
      <c r="N132" s="23">
        <f t="shared" ca="1" si="97"/>
        <v>2600</v>
      </c>
      <c r="O132" s="24">
        <f t="shared" ca="1" si="97"/>
        <v>2600</v>
      </c>
      <c r="P132" s="609">
        <f t="shared" ca="1" si="90"/>
        <v>0</v>
      </c>
      <c r="Q132" s="600" t="str">
        <f>LEFT($G$3,1) &amp; "S_ConsStaffDev"</f>
        <v>ES_ConsStaffDev</v>
      </c>
      <c r="R132" s="600"/>
      <c r="S132" s="592"/>
      <c r="T132" s="624"/>
      <c r="U132" s="548">
        <f t="shared" ref="U132:AA132" ca="1" si="98">I132*(1+U126)</f>
        <v>2600</v>
      </c>
      <c r="V132" s="27">
        <f t="shared" ca="1" si="98"/>
        <v>2694.3413823861551</v>
      </c>
      <c r="W132" s="27">
        <f t="shared" ca="1" si="98"/>
        <v>2747.7498458624391</v>
      </c>
      <c r="X132" s="27">
        <f t="shared" ca="1" si="98"/>
        <v>8637.9578838978669</v>
      </c>
      <c r="Y132" s="27">
        <f t="shared" ca="1" si="98"/>
        <v>8830.5758070769771</v>
      </c>
      <c r="Z132" s="27">
        <f t="shared" ca="1" si="98"/>
        <v>2935.403586161307</v>
      </c>
      <c r="AA132" s="386">
        <f t="shared" ca="1" si="98"/>
        <v>3003.2624618363875</v>
      </c>
      <c r="AB132" s="600"/>
      <c r="AC132" s="139">
        <v>1</v>
      </c>
    </row>
    <row r="133" spans="1:29">
      <c r="A133" s="590"/>
      <c r="B133" s="592"/>
      <c r="C133" s="590" t="str">
        <f t="shared" si="92"/>
        <v>ES_TeachProfDev</v>
      </c>
      <c r="D133" s="592" t="s">
        <v>536</v>
      </c>
      <c r="E133" s="592"/>
      <c r="F133" s="599"/>
      <c r="G133" s="1228"/>
      <c r="H133" s="272" t="s">
        <v>547</v>
      </c>
      <c r="I133" s="613">
        <f ca="1">I69+I71</f>
        <v>5</v>
      </c>
      <c r="J133" s="103">
        <f t="shared" ref="J133:O133" ca="1" si="99">J69+J71</f>
        <v>5</v>
      </c>
      <c r="K133" s="103">
        <f t="shared" ca="1" si="99"/>
        <v>5</v>
      </c>
      <c r="L133" s="103">
        <f t="shared" ca="1" si="99"/>
        <v>5</v>
      </c>
      <c r="M133" s="103">
        <f t="shared" ca="1" si="99"/>
        <v>5</v>
      </c>
      <c r="N133" s="103">
        <f t="shared" ca="1" si="99"/>
        <v>5</v>
      </c>
      <c r="O133" s="614">
        <f t="shared" ca="1" si="99"/>
        <v>5</v>
      </c>
      <c r="P133" s="609">
        <f t="shared" ca="1" si="90"/>
        <v>111</v>
      </c>
      <c r="Q133" s="600" t="str">
        <f>LEFT($G$3,1) &amp; "S_SpEdSupport"</f>
        <v>ES_SpEdSupport</v>
      </c>
      <c r="R133" s="600"/>
      <c r="S133" s="592"/>
      <c r="T133" s="626"/>
      <c r="U133" s="548">
        <f t="shared" ref="U133:AA133" ca="1" si="100">I133*$P133*U127*(1+U126)</f>
        <v>2775</v>
      </c>
      <c r="V133" s="27">
        <f t="shared" ca="1" si="100"/>
        <v>2875.691283123685</v>
      </c>
      <c r="W133" s="27">
        <f t="shared" ca="1" si="100"/>
        <v>2932.6945470262572</v>
      </c>
      <c r="X133" s="27">
        <f t="shared" ca="1" si="100"/>
        <v>4194.808297367902</v>
      </c>
      <c r="Y133" s="27">
        <f t="shared" ca="1" si="100"/>
        <v>4288.3483763117574</v>
      </c>
      <c r="Z133" s="27">
        <f t="shared" ca="1" si="100"/>
        <v>3132.978827537549</v>
      </c>
      <c r="AA133" s="386">
        <f t="shared" ca="1" si="100"/>
        <v>3205.4051275369134</v>
      </c>
      <c r="AB133" s="600"/>
      <c r="AC133" s="139">
        <v>1</v>
      </c>
    </row>
    <row r="134" spans="1:29" ht="15.75" thickBot="1">
      <c r="A134" s="590"/>
      <c r="B134" s="592"/>
      <c r="C134" s="590" t="str">
        <f t="shared" si="92"/>
        <v>ES_LeadershipDev</v>
      </c>
      <c r="D134" s="592" t="s">
        <v>537</v>
      </c>
      <c r="E134" s="592"/>
      <c r="F134" s="599"/>
      <c r="G134" s="1228"/>
      <c r="H134" s="454" t="s">
        <v>548</v>
      </c>
      <c r="I134" s="615">
        <f ca="1">SUM(I90:I91)</f>
        <v>1</v>
      </c>
      <c r="J134" s="616">
        <f t="shared" ref="J134:O134" ca="1" si="101">SUM(J90:J91)</f>
        <v>1</v>
      </c>
      <c r="K134" s="616">
        <f t="shared" ca="1" si="101"/>
        <v>1</v>
      </c>
      <c r="L134" s="616">
        <f t="shared" ca="1" si="101"/>
        <v>1</v>
      </c>
      <c r="M134" s="616">
        <f t="shared" ca="1" si="101"/>
        <v>1</v>
      </c>
      <c r="N134" s="616">
        <f t="shared" ca="1" si="101"/>
        <v>1</v>
      </c>
      <c r="O134" s="617">
        <f t="shared" ca="1" si="101"/>
        <v>1</v>
      </c>
      <c r="P134" s="618">
        <f t="shared" ca="1" si="90"/>
        <v>350</v>
      </c>
      <c r="Q134" s="600" t="str">
        <f>LEFT($G$3,1) &amp; "S_PrinLeadership"</f>
        <v>ES_PrinLeadership</v>
      </c>
      <c r="R134" s="600"/>
      <c r="S134" s="592"/>
      <c r="T134" s="624"/>
      <c r="U134" s="549">
        <f t="shared" ref="U134:AA134" ca="1" si="102">I134*$P134*U128*(1+U126)</f>
        <v>1050</v>
      </c>
      <c r="V134" s="387">
        <f t="shared" ca="1" si="102"/>
        <v>1088.0994044251781</v>
      </c>
      <c r="W134" s="387">
        <f t="shared" ca="1" si="102"/>
        <v>1109.6682069829083</v>
      </c>
      <c r="X134" s="387">
        <f t="shared" ca="1" si="102"/>
        <v>1511.6426296821267</v>
      </c>
      <c r="Y134" s="387">
        <f t="shared" ca="1" si="102"/>
        <v>1545.3507662384711</v>
      </c>
      <c r="Z134" s="387">
        <f t="shared" ca="1" si="102"/>
        <v>1185.4514482574509</v>
      </c>
      <c r="AA134" s="388">
        <f t="shared" ca="1" si="102"/>
        <v>1212.8559942031563</v>
      </c>
      <c r="AB134" s="600"/>
      <c r="AC134" s="139">
        <v>1</v>
      </c>
    </row>
    <row r="135" spans="1:29" ht="15.75" thickBot="1">
      <c r="A135" s="590"/>
      <c r="B135" s="592"/>
      <c r="C135" s="590" t="str">
        <f t="shared" si="92"/>
        <v>ES_MaterTrav</v>
      </c>
      <c r="D135" s="592" t="s">
        <v>549</v>
      </c>
      <c r="E135" s="592"/>
      <c r="F135" s="599"/>
      <c r="G135" s="1229"/>
      <c r="H135" s="619" t="s">
        <v>550</v>
      </c>
      <c r="I135" s="620"/>
      <c r="J135" s="621"/>
      <c r="K135" s="621"/>
      <c r="L135" s="621"/>
      <c r="M135" s="621"/>
      <c r="N135" s="621"/>
      <c r="O135" s="622"/>
      <c r="P135" s="623">
        <f t="shared" ca="1" si="90"/>
        <v>288</v>
      </c>
      <c r="Q135" s="600" t="str">
        <f>LEFT($G$3,1) &amp; "S_MaterTrav"</f>
        <v>ES_MaterTrav</v>
      </c>
      <c r="R135" s="600"/>
      <c r="S135" s="592"/>
      <c r="T135" s="624"/>
      <c r="U135" s="438">
        <f t="shared" ref="U135:AA135" ca="1" si="103">I129*$P135*(1+U126)</f>
        <v>7560</v>
      </c>
      <c r="V135" s="439">
        <f t="shared" ca="1" si="103"/>
        <v>7834.3157118612817</v>
      </c>
      <c r="W135" s="439">
        <f t="shared" ca="1" si="103"/>
        <v>7989.6110902769387</v>
      </c>
      <c r="X135" s="439">
        <f t="shared" ca="1" si="103"/>
        <v>9173.5112726995339</v>
      </c>
      <c r="Y135" s="439">
        <f t="shared" ca="1" si="103"/>
        <v>9378.0715071157501</v>
      </c>
      <c r="Z135" s="439">
        <f t="shared" ca="1" si="103"/>
        <v>8535.2504274536459</v>
      </c>
      <c r="AA135" s="440">
        <f t="shared" ca="1" si="103"/>
        <v>8732.5631582627266</v>
      </c>
      <c r="AB135" s="600"/>
      <c r="AC135" s="139">
        <v>1</v>
      </c>
    </row>
    <row r="136" spans="1:29" ht="15" hidden="1" customHeight="1" outlineLevel="1">
      <c r="A136" s="590"/>
      <c r="B136" s="592"/>
      <c r="C136" s="590"/>
      <c r="D136" s="592"/>
      <c r="E136" s="592"/>
      <c r="F136" s="592"/>
      <c r="G136" s="602"/>
      <c r="H136" s="603"/>
      <c r="I136" s="604"/>
      <c r="J136" s="604"/>
      <c r="K136" s="604"/>
      <c r="L136" s="604"/>
      <c r="M136" s="604"/>
      <c r="N136" s="604"/>
      <c r="O136" s="604"/>
      <c r="P136" s="605"/>
      <c r="Q136" s="590"/>
      <c r="R136" s="590"/>
      <c r="S136" s="592"/>
      <c r="T136" s="596"/>
      <c r="U136" s="628"/>
      <c r="V136" s="629"/>
      <c r="W136" s="629"/>
      <c r="X136" s="629"/>
      <c r="Y136" s="629"/>
      <c r="Z136" s="629"/>
      <c r="AA136" s="629"/>
      <c r="AB136" s="590"/>
      <c r="AC136" s="139">
        <v>0</v>
      </c>
    </row>
    <row r="137" spans="1:29" ht="15" hidden="1" customHeight="1" outlineLevel="1">
      <c r="A137" s="213"/>
      <c r="B137" s="75"/>
      <c r="C137" s="213"/>
      <c r="D137" s="75"/>
      <c r="E137" s="75"/>
      <c r="F137" s="75"/>
      <c r="G137" s="639"/>
      <c r="H137" s="640"/>
      <c r="I137" s="641"/>
      <c r="J137" s="641"/>
      <c r="K137" s="641"/>
      <c r="L137" s="641"/>
      <c r="M137" s="641"/>
      <c r="N137" s="641"/>
      <c r="O137" s="641"/>
      <c r="P137" s="642"/>
      <c r="Q137" s="643" t="s">
        <v>551</v>
      </c>
      <c r="R137" s="384"/>
      <c r="S137" s="75"/>
      <c r="T137" s="644" t="s">
        <v>552</v>
      </c>
      <c r="U137" s="645">
        <f t="shared" ref="U137:AA137" ca="1" si="104">INDEX(INDIRECT($S$138 &amp; $S$139), MATCH($T$137, INDIRECT($S$138 &amp; $S$140), 0), MATCH(U$4,INDIRECT($S$138 &amp; $S$141),0))</f>
        <v>3.6680755717442282E-2</v>
      </c>
      <c r="V137" s="645">
        <f t="shared" ca="1" si="104"/>
        <v>7.4706989274887059E-2</v>
      </c>
      <c r="W137" s="645">
        <f t="shared" ca="1" si="104"/>
        <v>0.11412805381630697</v>
      </c>
      <c r="X137" s="645">
        <f t="shared" ca="1" si="104"/>
        <v>0.1549951127962923</v>
      </c>
      <c r="Y137" s="645">
        <f t="shared" ca="1" si="104"/>
        <v>0.19736120638361276</v>
      </c>
      <c r="Z137" s="645">
        <f t="shared" ca="1" si="104"/>
        <v>0.24128132030051197</v>
      </c>
      <c r="AA137" s="645">
        <f t="shared" ca="1" si="104"/>
        <v>0.28681245718707915</v>
      </c>
      <c r="AB137" s="213"/>
      <c r="AC137" s="139">
        <v>0</v>
      </c>
    </row>
    <row r="138" spans="1:29" ht="15" hidden="1" customHeight="1" outlineLevel="1">
      <c r="A138" s="213"/>
      <c r="B138" s="75"/>
      <c r="C138" s="213"/>
      <c r="D138" s="75"/>
      <c r="E138" s="75"/>
      <c r="F138" s="75"/>
      <c r="G138" s="639"/>
      <c r="H138" s="640"/>
      <c r="I138" s="641"/>
      <c r="J138" s="641"/>
      <c r="K138" s="641"/>
      <c r="L138" s="641"/>
      <c r="M138" s="641"/>
      <c r="N138" s="641"/>
      <c r="O138" s="641"/>
      <c r="P138" s="642"/>
      <c r="Q138" s="384" t="s">
        <v>553</v>
      </c>
      <c r="R138" s="384"/>
      <c r="S138" s="75" t="s">
        <v>426</v>
      </c>
      <c r="T138" s="646" t="s">
        <v>554</v>
      </c>
      <c r="U138" s="645">
        <f t="shared" ref="U138:AA138" ca="1" si="105">INDEX(INDIRECT($S$138 &amp; $S$139), MATCH($T$138, INDIRECT($S$138 &amp; $S$140), 0), MATCH(U$4,INDIRECT($S$138 &amp; $S$141),0))</f>
        <v>5.0972785334547827E-2</v>
      </c>
      <c r="V138" s="645">
        <f t="shared" ca="1" si="105"/>
        <v>0.10454379551385751</v>
      </c>
      <c r="W138" s="645">
        <f t="shared" ca="1" si="105"/>
        <v>0.16084546929519217</v>
      </c>
      <c r="X138" s="645">
        <f t="shared" ca="1" si="105"/>
        <v>0.2200169962081584</v>
      </c>
      <c r="Y138" s="645">
        <f t="shared" ca="1" si="105"/>
        <v>0.28220466066037675</v>
      </c>
      <c r="Z138" s="645">
        <f t="shared" ca="1" si="105"/>
        <v>0.34756220358317491</v>
      </c>
      <c r="AA138" s="645">
        <f t="shared" ca="1" si="105"/>
        <v>0.41625120251137027</v>
      </c>
      <c r="AB138" s="213"/>
      <c r="AC138" s="139">
        <v>0</v>
      </c>
    </row>
    <row r="139" spans="1:29" ht="15.75" hidden="1" customHeight="1" outlineLevel="1" thickBot="1">
      <c r="A139" s="213"/>
      <c r="B139" s="75" t="s">
        <v>411</v>
      </c>
      <c r="C139" s="213"/>
      <c r="D139" s="75"/>
      <c r="E139" s="75"/>
      <c r="F139" s="75"/>
      <c r="G139" s="647"/>
      <c r="H139" s="648"/>
      <c r="I139" s="649"/>
      <c r="J139" s="649"/>
      <c r="K139" s="649"/>
      <c r="L139" s="649"/>
      <c r="M139" s="649"/>
      <c r="N139" s="649"/>
      <c r="O139" s="649"/>
      <c r="P139" s="383"/>
      <c r="Q139" s="384" t="s">
        <v>555</v>
      </c>
      <c r="R139" s="384" t="s">
        <v>556</v>
      </c>
      <c r="S139" s="650" t="s">
        <v>428</v>
      </c>
      <c r="T139" s="118" t="s">
        <v>433</v>
      </c>
      <c r="U139" s="651">
        <f>VLOOKUP($T139, $T$41:$AA$49, MATCH(U$4, $T$4:$AA$4,0),0)</f>
        <v>0</v>
      </c>
      <c r="V139" s="651">
        <f ca="1">VLOOKUP($T139, $T$41:$AA$49, MATCH(V$4, $T$4:$AA$4,0),0)</f>
        <v>3.6285147071598134E-2</v>
      </c>
      <c r="W139" s="651">
        <f ca="1">VLOOKUP($T139, $T$41:$AA$49, MATCH(W$4, $T$4:$AA$4,0),0)</f>
        <v>5.6826863793245863E-2</v>
      </c>
      <c r="X139" s="651">
        <f ca="1">VLOOKUP($T139, $T$41:$AA$49, MATCH(X$4, $T$4:$AA$4,0),0)</f>
        <v>7.9744735487233376E-2</v>
      </c>
      <c r="Y139" s="651">
        <f ca="1">VLOOKUP($T139, $T$41:$AA$49, MATCH(Y$4, $T$4:$AA$4,0),0)</f>
        <v>0.10382197588462216</v>
      </c>
      <c r="Z139" s="651">
        <f t="shared" ref="Z139:AA139" ca="1" si="106">VLOOKUP($T139, $T$41:$AA$49, MATCH(Z$4, $T$4:$AA$4,0),0)</f>
        <v>0.12900137929281041</v>
      </c>
      <c r="AA139" s="651">
        <f t="shared" ca="1" si="106"/>
        <v>0.15510094686014897</v>
      </c>
      <c r="AB139" s="213"/>
      <c r="AC139" s="139">
        <v>0</v>
      </c>
    </row>
    <row r="140" spans="1:29" collapsed="1">
      <c r="A140" s="213"/>
      <c r="B140" s="75" t="s">
        <v>413</v>
      </c>
      <c r="C140" s="652" t="s">
        <v>557</v>
      </c>
      <c r="D140" s="218"/>
      <c r="E140" s="218"/>
      <c r="F140" s="371"/>
      <c r="G140" s="1215" t="s">
        <v>558</v>
      </c>
      <c r="H140" s="632" t="s">
        <v>559</v>
      </c>
      <c r="I140" s="259">
        <f t="shared" ref="I140:O140" ca="1" si="107">IFERROR(INDEX(INDIRECT($B$139 &amp; $B$140), MATCH($C140, INDIRECT($B$139 &amp; $B$142),0), MATCH($G$3, INDIRECT($B$139 &amp; $B$143), 0)),0)</f>
        <v>551.01901136327615</v>
      </c>
      <c r="J140" s="260">
        <f t="shared" ca="1" si="107"/>
        <v>551.01901136327615</v>
      </c>
      <c r="K140" s="260">
        <f t="shared" ca="1" si="107"/>
        <v>551.01901136327615</v>
      </c>
      <c r="L140" s="260">
        <f t="shared" ca="1" si="107"/>
        <v>551.01901136327615</v>
      </c>
      <c r="M140" s="260">
        <f t="shared" ca="1" si="107"/>
        <v>551.01901136327615</v>
      </c>
      <c r="N140" s="260">
        <f t="shared" ca="1" si="107"/>
        <v>551.01901136327615</v>
      </c>
      <c r="O140" s="260">
        <f t="shared" ca="1" si="107"/>
        <v>551.01901136327615</v>
      </c>
      <c r="P140" s="653"/>
      <c r="Q140" s="654" t="s">
        <v>560</v>
      </c>
      <c r="R140" s="655">
        <v>1</v>
      </c>
      <c r="S140" s="656" t="s">
        <v>429</v>
      </c>
      <c r="T140" s="657" t="s">
        <v>552</v>
      </c>
      <c r="U140" s="547">
        <f t="shared" ref="U140:AA140" ca="1" si="108">I140*$H$2*(1+VLOOKUP($T140, $T$137:$AA$139, MATCH(U$4, $T$4:$AA$4,0),0)*$R140)</f>
        <v>205643.08984131325</v>
      </c>
      <c r="V140" s="404">
        <f t="shared" ca="1" si="108"/>
        <v>213186.23378476247</v>
      </c>
      <c r="W140" s="404">
        <f t="shared" ca="1" si="108"/>
        <v>221006.06594854288</v>
      </c>
      <c r="X140" s="404">
        <f t="shared" ca="1" si="108"/>
        <v>229112.73546567431</v>
      </c>
      <c r="Y140" s="404">
        <f t="shared" ca="1" si="108"/>
        <v>237516.76374704568</v>
      </c>
      <c r="Z140" s="404">
        <f t="shared" ca="1" si="108"/>
        <v>246229.0581368485</v>
      </c>
      <c r="AA140" s="409">
        <f t="shared" ca="1" si="108"/>
        <v>255260.9260689021</v>
      </c>
      <c r="AB140" s="381"/>
      <c r="AC140" s="139">
        <v>1</v>
      </c>
    </row>
    <row r="141" spans="1:29" ht="15" hidden="1" customHeight="1" outlineLevel="1">
      <c r="A141" s="213"/>
      <c r="B141" s="75"/>
      <c r="C141" s="652"/>
      <c r="D141" s="218"/>
      <c r="E141" s="218"/>
      <c r="F141" s="371"/>
      <c r="G141" s="1216"/>
      <c r="H141" s="637"/>
      <c r="I141" s="67"/>
      <c r="J141" s="23"/>
      <c r="K141" s="23"/>
      <c r="L141" s="23"/>
      <c r="M141" s="23"/>
      <c r="N141" s="23"/>
      <c r="O141" s="23"/>
      <c r="P141" s="658"/>
      <c r="Q141" s="654"/>
      <c r="R141" s="655"/>
      <c r="S141" s="656" t="s">
        <v>431</v>
      </c>
      <c r="T141" s="657" t="s">
        <v>561</v>
      </c>
      <c r="U141" s="249">
        <f ca="1">INDEX(INDIRECT($S$146 &amp; $S$147), MATCH($T141, INDIRECT($S$146 &amp; $S$148),0), MATCH(U$4, INDIRECT($S$146 &amp; $S$149),0))</f>
        <v>0</v>
      </c>
      <c r="V141" s="105">
        <f t="shared" ref="V141:AA141" ca="1" si="109">INDEX(INDIRECT($S$146 &amp; $S$147), MATCH($T141, INDIRECT($S$146 &amp; $S$148),0), MATCH(V$4, INDIRECT($S$146 &amp; $S$149),0))</f>
        <v>3.4443168771526977E-2</v>
      </c>
      <c r="W141" s="105">
        <f t="shared" ca="1" si="109"/>
        <v>0</v>
      </c>
      <c r="X141" s="105">
        <f t="shared" ca="1" si="109"/>
        <v>-1.2208657047724669E-2</v>
      </c>
      <c r="Y141" s="105">
        <f t="shared" ca="1" si="109"/>
        <v>0</v>
      </c>
      <c r="Z141" s="105">
        <f t="shared" ca="1" si="109"/>
        <v>0</v>
      </c>
      <c r="AA141" s="250">
        <f t="shared" ca="1" si="109"/>
        <v>0</v>
      </c>
      <c r="AB141" s="381"/>
      <c r="AC141" s="139">
        <v>0</v>
      </c>
    </row>
    <row r="142" spans="1:29" collapsed="1">
      <c r="A142" s="213"/>
      <c r="B142" s="75" t="s">
        <v>415</v>
      </c>
      <c r="C142" s="652" t="s">
        <v>562</v>
      </c>
      <c r="D142" s="218"/>
      <c r="E142" s="218"/>
      <c r="F142" s="371"/>
      <c r="G142" s="1216"/>
      <c r="H142" s="633" t="s">
        <v>563</v>
      </c>
      <c r="I142" s="67">
        <f t="shared" ref="I142:O142" ca="1" si="110">IFERROR(INDEX(INDIRECT($B$139 &amp; $B$140), MATCH($C142, INDIRECT($B$139 &amp; $B$142),0), MATCH($G$3, INDIRECT($B$139 &amp; $B$143), 0)),0)</f>
        <v>818.65013475749652</v>
      </c>
      <c r="J142" s="23">
        <f t="shared" ca="1" si="110"/>
        <v>818.65013475749652</v>
      </c>
      <c r="K142" s="23">
        <f t="shared" ca="1" si="110"/>
        <v>818.65013475749652</v>
      </c>
      <c r="L142" s="23">
        <f t="shared" ca="1" si="110"/>
        <v>818.65013475749652</v>
      </c>
      <c r="M142" s="23">
        <f t="shared" ca="1" si="110"/>
        <v>818.65013475749652</v>
      </c>
      <c r="N142" s="23">
        <f t="shared" ca="1" si="110"/>
        <v>818.65013475749652</v>
      </c>
      <c r="O142" s="23">
        <f t="shared" ca="1" si="110"/>
        <v>818.65013475749652</v>
      </c>
      <c r="P142" s="659"/>
      <c r="Q142" s="660" t="s">
        <v>564</v>
      </c>
      <c r="R142" s="655">
        <f ca="1">INDEX(INDIRECT($Q$137 &amp; $Q$138), MATCH($Q142, INDIRECT($Q$137 &amp; $Q$139),0), MATCH($R$139, INDIRECT($Q$137 &amp; $Q$140),0))</f>
        <v>0.26100755370709905</v>
      </c>
      <c r="S142" s="90"/>
      <c r="T142" s="424" t="s">
        <v>433</v>
      </c>
      <c r="U142" s="548">
        <f t="shared" ref="U142:AA146" ca="1" si="111">I142*$H$2*(1+VLOOKUP($T142,$T$137:$AA$139,MATCH(U$4,$T$4:$AA$4,0),0))*(1+U$141*$R142)</f>
        <v>294714.04851269873</v>
      </c>
      <c r="V142" s="27">
        <f t="shared" ca="1" si="111"/>
        <v>308153.38492243062</v>
      </c>
      <c r="W142" s="27">
        <f t="shared" ca="1" si="111"/>
        <v>311461.72360548592</v>
      </c>
      <c r="X142" s="27">
        <f t="shared" ca="1" si="111"/>
        <v>317201.93080042867</v>
      </c>
      <c r="Y142" s="27">
        <f t="shared" ca="1" si="111"/>
        <v>325311.84335024352</v>
      </c>
      <c r="Z142" s="27">
        <f t="shared" ca="1" si="111"/>
        <v>332732.56726780511</v>
      </c>
      <c r="AA142" s="386">
        <f t="shared" ca="1" si="111"/>
        <v>340424.4764900062</v>
      </c>
      <c r="AB142" s="381"/>
      <c r="AC142" s="139">
        <v>1</v>
      </c>
    </row>
    <row r="143" spans="1:29">
      <c r="A143" s="213"/>
      <c r="B143" s="75" t="s">
        <v>418</v>
      </c>
      <c r="C143" s="213" t="str">
        <f t="shared" ref="C143:C148" si="112">LEFT($G$3,1) &amp; "S" &amp; D143</f>
        <v>ES_TechServices</v>
      </c>
      <c r="D143" s="652" t="s">
        <v>565</v>
      </c>
      <c r="E143" s="75"/>
      <c r="F143" s="76"/>
      <c r="G143" s="1216"/>
      <c r="H143" s="634" t="s">
        <v>566</v>
      </c>
      <c r="I143" s="67">
        <f ca="1">IFERROR(INDEX(INDIRECT($B$144 &amp; $B$145), MATCH($C143, INDIRECT($B$144 &amp; $B$146),0), MATCH(I$4, INDIRECT($B$144 &amp; $B$147), 0)),0)</f>
        <v>380.31</v>
      </c>
      <c r="J143" s="23">
        <f t="shared" ref="J143:O144" ca="1" si="113">IFERROR(INDEX(INDIRECT($B$144 &amp; $B$145), MATCH($C143, INDIRECT($B$144 &amp; $B$146),0), MATCH(J$4, INDIRECT($B$144 &amp; $B$147), 0)),0)</f>
        <v>394.10960428279947</v>
      </c>
      <c r="K143" s="23">
        <f t="shared" ca="1" si="113"/>
        <v>394.10960428279947</v>
      </c>
      <c r="L143" s="23">
        <f t="shared" ca="1" si="113"/>
        <v>394.10960428279947</v>
      </c>
      <c r="M143" s="23">
        <f t="shared" ca="1" si="113"/>
        <v>394.10960428279947</v>
      </c>
      <c r="N143" s="23">
        <f t="shared" ca="1" si="113"/>
        <v>394.10960428279947</v>
      </c>
      <c r="O143" s="23">
        <f t="shared" ca="1" si="113"/>
        <v>394.10960428279947</v>
      </c>
      <c r="P143" s="659"/>
      <c r="Q143" s="660" t="s">
        <v>567</v>
      </c>
      <c r="R143" s="655">
        <f ca="1">INDEX(INDIRECT($Q$137 &amp; $Q$138), MATCH($Q143, INDIRECT($Q$137 &amp; $Q$139),0), MATCH($R$139, INDIRECT($Q$137 &amp; $Q$140),0))</f>
        <v>0.32173688539196554</v>
      </c>
      <c r="S143" s="588"/>
      <c r="T143" s="424" t="s">
        <v>433</v>
      </c>
      <c r="U143" s="548">
        <f t="shared" ca="1" si="111"/>
        <v>136911.6</v>
      </c>
      <c r="V143" s="27">
        <f t="shared" ca="1" si="111"/>
        <v>148656.8808590587</v>
      </c>
      <c r="W143" s="27">
        <f t="shared" ca="1" si="111"/>
        <v>149942.02215059573</v>
      </c>
      <c r="X143" s="27">
        <f t="shared" ca="1" si="111"/>
        <v>152591.85668904279</v>
      </c>
      <c r="Y143" s="27">
        <f t="shared" ca="1" si="111"/>
        <v>156609.66316123668</v>
      </c>
      <c r="Z143" s="27">
        <f t="shared" ca="1" si="111"/>
        <v>160182.10325801675</v>
      </c>
      <c r="AA143" s="386">
        <f t="shared" ca="1" si="111"/>
        <v>163885.09574654652</v>
      </c>
      <c r="AB143" s="381"/>
      <c r="AC143" s="139">
        <v>1</v>
      </c>
    </row>
    <row r="144" spans="1:29">
      <c r="A144" s="213"/>
      <c r="B144" s="75" t="s">
        <v>398</v>
      </c>
      <c r="C144" s="213" t="str">
        <f t="shared" si="112"/>
        <v>ES_O&amp;M</v>
      </c>
      <c r="D144" s="652" t="s">
        <v>568</v>
      </c>
      <c r="E144" s="75"/>
      <c r="F144" s="76"/>
      <c r="G144" s="1216"/>
      <c r="H144" s="634" t="s">
        <v>569</v>
      </c>
      <c r="I144" s="67">
        <f ca="1">IFERROR(INDEX(INDIRECT($B$144 &amp; $B$145), MATCH($C144, INDIRECT($B$144 &amp; $B$146),0), MATCH(I$4, INDIRECT($B$144 &amp; $B$147), 0)),0)</f>
        <v>1339.18</v>
      </c>
      <c r="J144" s="23">
        <f t="shared" ca="1" si="113"/>
        <v>1387.7723432553428</v>
      </c>
      <c r="K144" s="23">
        <f t="shared" ca="1" si="113"/>
        <v>1387.7723432553428</v>
      </c>
      <c r="L144" s="23">
        <f t="shared" ca="1" si="113"/>
        <v>1387.7723432553428</v>
      </c>
      <c r="M144" s="23">
        <f t="shared" ca="1" si="113"/>
        <v>1387.7723432553428</v>
      </c>
      <c r="N144" s="23">
        <f t="shared" ca="1" si="113"/>
        <v>1387.7723432553428</v>
      </c>
      <c r="O144" s="23">
        <f t="shared" ca="1" si="113"/>
        <v>1387.7723432553428</v>
      </c>
      <c r="P144" s="659"/>
      <c r="Q144" s="660" t="s">
        <v>570</v>
      </c>
      <c r="R144" s="655">
        <f ca="1">INDEX(INDIRECT($Q$137 &amp; $Q$138), MATCH($Q144, INDIRECT($Q$137 &amp; $Q$139),0), MATCH($R$139, INDIRECT($Q$137 &amp; $Q$140),0))</f>
        <v>0.30611628145856251</v>
      </c>
      <c r="S144" s="90"/>
      <c r="T144" s="424" t="s">
        <v>433</v>
      </c>
      <c r="U144" s="548">
        <f t="shared" ca="1" si="111"/>
        <v>482104.80000000005</v>
      </c>
      <c r="V144" s="27">
        <f t="shared" ca="1" si="111"/>
        <v>523184.73588561965</v>
      </c>
      <c r="W144" s="27">
        <f t="shared" ca="1" si="111"/>
        <v>527988.63354535715</v>
      </c>
      <c r="X144" s="27">
        <f t="shared" ca="1" si="111"/>
        <v>537422.33131938102</v>
      </c>
      <c r="Y144" s="27">
        <f t="shared" ca="1" si="111"/>
        <v>551467.29960365209</v>
      </c>
      <c r="Z144" s="27">
        <f t="shared" ca="1" si="111"/>
        <v>564046.88028469111</v>
      </c>
      <c r="AA144" s="386">
        <f t="shared" ca="1" si="111"/>
        <v>577086.17317940667</v>
      </c>
      <c r="AB144" s="381"/>
      <c r="AC144" s="139">
        <v>1</v>
      </c>
    </row>
    <row r="145" spans="1:29">
      <c r="A145" s="213"/>
      <c r="B145" s="75" t="s">
        <v>423</v>
      </c>
      <c r="C145" s="213" t="str">
        <f t="shared" si="112"/>
        <v>ES_OtherSuppServ</v>
      </c>
      <c r="D145" s="652" t="s">
        <v>571</v>
      </c>
      <c r="E145" s="75"/>
      <c r="F145" s="76"/>
      <c r="G145" s="1216"/>
      <c r="H145" s="634" t="s">
        <v>572</v>
      </c>
      <c r="I145" s="638">
        <f ca="1">IFERROR(INDEX(INDIRECT($B$120 &amp; $B$121), MATCH($C145, INDIRECT($B$120 &amp; $B$122),0), MATCH(I$4, INDIRECT($B$120 &amp; $B$123), 0)),0)</f>
        <v>320</v>
      </c>
      <c r="J145" s="23">
        <f t="shared" ref="J145:O146" ca="1" si="114">IFERROR(INDEX(INDIRECT($B$120 &amp; $B$121), MATCH($C145, INDIRECT($B$120 &amp; $B$122),0), MATCH(J$4, INDIRECT($B$120 &amp; $B$123), 0)),0)</f>
        <v>320</v>
      </c>
      <c r="K145" s="23">
        <f t="shared" ca="1" si="114"/>
        <v>320</v>
      </c>
      <c r="L145" s="23">
        <f t="shared" ca="1" si="114"/>
        <v>320</v>
      </c>
      <c r="M145" s="23">
        <f t="shared" ca="1" si="114"/>
        <v>320</v>
      </c>
      <c r="N145" s="23">
        <f t="shared" ca="1" si="114"/>
        <v>320</v>
      </c>
      <c r="O145" s="864">
        <f t="shared" ca="1" si="114"/>
        <v>320</v>
      </c>
      <c r="P145" s="659"/>
      <c r="Q145" s="660" t="s">
        <v>573</v>
      </c>
      <c r="R145" s="655">
        <f ca="1">INDEX(INDIRECT($Q$137 &amp; $Q$138), MATCH($Q145, INDIRECT($Q$137 &amp; $Q$139),0), MATCH($R$139, INDIRECT($Q$137 &amp; $Q$140),0))</f>
        <v>0.47025107893712281</v>
      </c>
      <c r="S145" s="588"/>
      <c r="T145" s="424" t="s">
        <v>433</v>
      </c>
      <c r="U145" s="548">
        <f t="shared" ca="1" si="111"/>
        <v>115200</v>
      </c>
      <c r="V145" s="27">
        <f t="shared" ca="1" si="111"/>
        <v>121313.64010747636</v>
      </c>
      <c r="W145" s="27">
        <f t="shared" ca="1" si="111"/>
        <v>121746.45470898192</v>
      </c>
      <c r="X145" s="27">
        <f t="shared" ca="1" si="111"/>
        <v>123672.47340833898</v>
      </c>
      <c r="Y145" s="27">
        <f t="shared" ca="1" si="111"/>
        <v>127160.29162190847</v>
      </c>
      <c r="Z145" s="27">
        <f t="shared" ca="1" si="111"/>
        <v>130060.95889453177</v>
      </c>
      <c r="AA145" s="386">
        <f t="shared" ca="1" si="111"/>
        <v>133067.62907828917</v>
      </c>
      <c r="AB145" s="381"/>
      <c r="AC145" s="139">
        <v>1</v>
      </c>
    </row>
    <row r="146" spans="1:29">
      <c r="A146" s="213"/>
      <c r="B146" s="75" t="s">
        <v>424</v>
      </c>
      <c r="C146" s="213" t="str">
        <f t="shared" si="112"/>
        <v>ES_CentSpEd</v>
      </c>
      <c r="D146" s="652" t="s">
        <v>574</v>
      </c>
      <c r="E146" s="75"/>
      <c r="F146" s="76"/>
      <c r="G146" s="1216"/>
      <c r="H146" s="634" t="s">
        <v>285</v>
      </c>
      <c r="I146" s="638">
        <f ca="1">IFERROR(INDEX(INDIRECT($B$120 &amp; $B$121), MATCH($C146, INDIRECT($B$120 &amp; $B$122),0), MATCH(I$4, INDIRECT($B$120 &amp; $B$123), 0)),0)</f>
        <v>203.23</v>
      </c>
      <c r="J146" s="23">
        <f t="shared" ca="1" si="114"/>
        <v>203.23</v>
      </c>
      <c r="K146" s="23">
        <f t="shared" ca="1" si="114"/>
        <v>203.23</v>
      </c>
      <c r="L146" s="23">
        <f t="shared" ca="1" si="114"/>
        <v>203.23</v>
      </c>
      <c r="M146" s="23">
        <f t="shared" ca="1" si="114"/>
        <v>203.23</v>
      </c>
      <c r="N146" s="23">
        <f t="shared" ca="1" si="114"/>
        <v>203.23</v>
      </c>
      <c r="O146" s="864">
        <f t="shared" ca="1" si="114"/>
        <v>203.23</v>
      </c>
      <c r="P146" s="659"/>
      <c r="Q146" s="660" t="s">
        <v>575</v>
      </c>
      <c r="R146" s="655">
        <f ca="1">INDEX(INDIRECT($Q$137 &amp; $Q$138), MATCH($Q146, INDIRECT($Q$137 &amp; $Q$139),0), MATCH($R$139, INDIRECT($Q$137 &amp; $Q$140),0))</f>
        <v>0.55648051681771649</v>
      </c>
      <c r="S146" s="384" t="s">
        <v>385</v>
      </c>
      <c r="T146" s="661" t="s">
        <v>554</v>
      </c>
      <c r="U146" s="548">
        <f t="shared" ca="1" si="111"/>
        <v>76892.111698874462</v>
      </c>
      <c r="V146" s="27">
        <f t="shared" ca="1" si="111"/>
        <v>82360.427295017187</v>
      </c>
      <c r="W146" s="27">
        <f t="shared" ca="1" si="111"/>
        <v>84930.704900950295</v>
      </c>
      <c r="X146" s="27">
        <f t="shared" ca="1" si="111"/>
        <v>88653.438735303804</v>
      </c>
      <c r="Y146" s="27">
        <f t="shared" ca="1" si="111"/>
        <v>93809.683146963012</v>
      </c>
      <c r="Z146" s="27">
        <f t="shared" ca="1" si="111"/>
        <v>98591.423988315117</v>
      </c>
      <c r="AA146" s="386">
        <f t="shared" ca="1" si="111"/>
        <v>103616.90347909888</v>
      </c>
      <c r="AB146" s="381"/>
      <c r="AC146" s="139">
        <v>1</v>
      </c>
    </row>
    <row r="147" spans="1:29" ht="15.75" hidden="1" customHeight="1" outlineLevel="1" thickBot="1">
      <c r="A147" s="213"/>
      <c r="B147" s="75" t="s">
        <v>425</v>
      </c>
      <c r="C147" s="213" t="str">
        <f t="shared" si="112"/>
        <v>ES_AssessCurDev</v>
      </c>
      <c r="D147" s="75" t="s">
        <v>576</v>
      </c>
      <c r="E147" s="75"/>
      <c r="F147" s="76"/>
      <c r="G147" s="1216"/>
      <c r="H147" s="635"/>
      <c r="I147" s="67">
        <f t="shared" ref="I147:O148" ca="1" si="115">IFERROR(INDEX(INDIRECT($B$144 &amp; $B$145), MATCH($C147, INDIRECT($B$144 &amp; $B$146),0), MATCH(I$4, INDIRECT($B$144 &amp; $B$147), 0)),0)</f>
        <v>309.95999999999998</v>
      </c>
      <c r="J147" s="23">
        <f t="shared" ca="1" si="115"/>
        <v>321.20694418631251</v>
      </c>
      <c r="K147" s="23">
        <f t="shared" ca="1" si="115"/>
        <v>321.20694418631251</v>
      </c>
      <c r="L147" s="23">
        <f t="shared" ca="1" si="115"/>
        <v>321.20694418631251</v>
      </c>
      <c r="M147" s="23">
        <f t="shared" ca="1" si="115"/>
        <v>321.20694418631251</v>
      </c>
      <c r="N147" s="23">
        <f t="shared" ca="1" si="115"/>
        <v>321.20694418631251</v>
      </c>
      <c r="O147" s="23">
        <f t="shared" ca="1" si="115"/>
        <v>321.20694418631251</v>
      </c>
      <c r="P147" s="662"/>
      <c r="Q147" s="90"/>
      <c r="R147" s="663"/>
      <c r="S147" s="384" t="s">
        <v>390</v>
      </c>
      <c r="T147" s="424"/>
      <c r="U147" s="548"/>
      <c r="V147" s="27"/>
      <c r="W147" s="27"/>
      <c r="X147" s="27"/>
      <c r="Y147" s="27"/>
      <c r="Z147" s="27"/>
      <c r="AA147" s="386"/>
      <c r="AB147" s="381"/>
      <c r="AC147" s="139">
        <v>0</v>
      </c>
    </row>
    <row r="148" spans="1:29" ht="15" hidden="1" customHeight="1" outlineLevel="1">
      <c r="A148" s="213"/>
      <c r="B148" s="213"/>
      <c r="C148" s="213" t="str">
        <f t="shared" si="112"/>
        <v>ES_FormAssess</v>
      </c>
      <c r="D148" s="75" t="s">
        <v>577</v>
      </c>
      <c r="E148" s="75"/>
      <c r="F148" s="76"/>
      <c r="G148" s="1216"/>
      <c r="H148" s="635"/>
      <c r="I148" s="67">
        <f t="shared" ca="1" si="115"/>
        <v>118</v>
      </c>
      <c r="J148" s="23">
        <f t="shared" ca="1" si="115"/>
        <v>118</v>
      </c>
      <c r="K148" s="23">
        <f t="shared" ca="1" si="115"/>
        <v>118</v>
      </c>
      <c r="L148" s="23">
        <f t="shared" ca="1" si="115"/>
        <v>118</v>
      </c>
      <c r="M148" s="23">
        <f t="shared" ca="1" si="115"/>
        <v>118</v>
      </c>
      <c r="N148" s="23">
        <f t="shared" ca="1" si="115"/>
        <v>118</v>
      </c>
      <c r="O148" s="23">
        <f t="shared" ca="1" si="115"/>
        <v>118</v>
      </c>
      <c r="P148" s="664"/>
      <c r="Q148" s="665"/>
      <c r="R148" s="663"/>
      <c r="S148" s="384" t="s">
        <v>578</v>
      </c>
      <c r="T148" s="424"/>
      <c r="U148" s="548"/>
      <c r="V148" s="27"/>
      <c r="W148" s="27"/>
      <c r="X148" s="27"/>
      <c r="Y148" s="27"/>
      <c r="Z148" s="27"/>
      <c r="AA148" s="386"/>
      <c r="AB148" s="380"/>
      <c r="AC148" s="139">
        <v>0</v>
      </c>
    </row>
    <row r="149" spans="1:29" ht="15.75" collapsed="1" thickBot="1">
      <c r="A149" s="213"/>
      <c r="B149" s="75"/>
      <c r="C149" s="156"/>
      <c r="D149" s="75"/>
      <c r="E149" s="75"/>
      <c r="F149" s="667"/>
      <c r="G149" s="1217"/>
      <c r="H149" s="631" t="s">
        <v>579</v>
      </c>
      <c r="I149" s="252">
        <f ca="1">I147+I148</f>
        <v>427.96</v>
      </c>
      <c r="J149" s="65">
        <f t="shared" ref="J149:P149" ca="1" si="116">J147+J148</f>
        <v>439.20694418631251</v>
      </c>
      <c r="K149" s="65">
        <f t="shared" ca="1" si="116"/>
        <v>439.20694418631251</v>
      </c>
      <c r="L149" s="65">
        <f t="shared" ca="1" si="116"/>
        <v>439.20694418631251</v>
      </c>
      <c r="M149" s="65">
        <f t="shared" ca="1" si="116"/>
        <v>439.20694418631251</v>
      </c>
      <c r="N149" s="65">
        <f t="shared" ca="1" si="116"/>
        <v>439.20694418631251</v>
      </c>
      <c r="O149" s="65">
        <f t="shared" ca="1" si="116"/>
        <v>439.20694418631251</v>
      </c>
      <c r="P149" s="666">
        <f t="shared" si="116"/>
        <v>0</v>
      </c>
      <c r="Q149" s="668" t="s">
        <v>580</v>
      </c>
      <c r="R149" s="669">
        <f ca="1">INDEX(INDIRECT($Q$137 &amp; $Q$138), MATCH($Q149, INDIRECT($Q$137 &amp; $Q$139),0), MATCH($R$139, INDIRECT($Q$137 &amp; $Q$140),0))</f>
        <v>0.50988907892040225</v>
      </c>
      <c r="S149" s="669" t="s">
        <v>395</v>
      </c>
      <c r="T149" s="670" t="s">
        <v>433</v>
      </c>
      <c r="U149" s="549">
        <f t="shared" ref="U149:AA149" ca="1" si="117">I149*$H$2*(1+VLOOKUP($T149,$T$137:$AA$139,MATCH(U$4,$T$4:$AA$4,0),0))*(1+U$141*$R149)</f>
        <v>154065.60000000001</v>
      </c>
      <c r="V149" s="387">
        <f t="shared" ca="1" si="117"/>
        <v>166729.30353196332</v>
      </c>
      <c r="W149" s="387">
        <f t="shared" ca="1" si="117"/>
        <v>167099.65105702891</v>
      </c>
      <c r="X149" s="387">
        <f t="shared" ca="1" si="117"/>
        <v>169660.53594681434</v>
      </c>
      <c r="Y149" s="387">
        <f t="shared" ca="1" si="117"/>
        <v>174530.25970343369</v>
      </c>
      <c r="Z149" s="387">
        <f t="shared" ca="1" si="117"/>
        <v>178511.4884812778</v>
      </c>
      <c r="AA149" s="388">
        <f t="shared" ca="1" si="117"/>
        <v>182638.2085549784</v>
      </c>
      <c r="AB149" s="671"/>
      <c r="AC149" s="672">
        <v>1</v>
      </c>
    </row>
    <row r="150" spans="1:29" ht="15.75" hidden="1" customHeight="1" outlineLevel="1">
      <c r="A150" s="213"/>
      <c r="B150" s="75"/>
      <c r="C150" s="156"/>
      <c r="D150" s="75"/>
      <c r="E150" s="75"/>
      <c r="F150" s="75"/>
      <c r="G150" s="674"/>
      <c r="H150" s="675"/>
      <c r="I150" s="676"/>
      <c r="J150" s="676"/>
      <c r="K150" s="676"/>
      <c r="L150" s="676"/>
      <c r="M150" s="676"/>
      <c r="N150" s="676"/>
      <c r="O150" s="676"/>
      <c r="P150" s="646"/>
      <c r="Q150" s="673"/>
      <c r="R150" s="655"/>
      <c r="S150" s="655"/>
      <c r="T150" s="118"/>
      <c r="U150" s="646"/>
      <c r="V150" s="646"/>
      <c r="W150" s="646"/>
      <c r="X150" s="646"/>
      <c r="Y150" s="646"/>
      <c r="Z150" s="646"/>
      <c r="AA150" s="646"/>
      <c r="AB150" s="118"/>
      <c r="AC150" s="139">
        <v>1</v>
      </c>
    </row>
    <row r="151" spans="1:29" ht="15.75" hidden="1" customHeight="1" outlineLevel="1" thickBot="1">
      <c r="A151" s="698"/>
      <c r="B151" s="197"/>
      <c r="C151" s="690"/>
      <c r="D151" s="197"/>
      <c r="E151" s="197"/>
      <c r="F151" s="197"/>
      <c r="G151" s="691"/>
      <c r="H151" s="692"/>
      <c r="I151" s="693"/>
      <c r="J151" s="693"/>
      <c r="K151" s="693"/>
      <c r="L151" s="693"/>
      <c r="M151" s="693"/>
      <c r="N151" s="693"/>
      <c r="O151" s="693"/>
      <c r="P151" s="694"/>
      <c r="Q151" s="695"/>
      <c r="R151" s="696"/>
      <c r="S151" s="696"/>
      <c r="T151" s="697"/>
      <c r="U151" s="694"/>
      <c r="V151" s="694"/>
      <c r="W151" s="694"/>
      <c r="X151" s="694"/>
      <c r="Y151" s="694"/>
      <c r="Z151" s="694"/>
      <c r="AA151" s="694"/>
      <c r="AB151" s="697"/>
      <c r="AC151" s="139">
        <v>1</v>
      </c>
    </row>
    <row r="152" spans="1:29" collapsed="1">
      <c r="A152" s="698"/>
      <c r="B152" s="698" t="s">
        <v>411</v>
      </c>
      <c r="C152" s="698" t="s">
        <v>581</v>
      </c>
      <c r="D152" s="197"/>
      <c r="E152" s="197"/>
      <c r="F152" s="699"/>
      <c r="G152" s="1218" t="s">
        <v>582</v>
      </c>
      <c r="H152" s="271" t="s">
        <v>583</v>
      </c>
      <c r="I152" s="630">
        <f ca="1">IFERROR(INDEX(INDIRECT($B$152 &amp; $B$153), MATCH($C152, INDIRECT($B$139 &amp; $B$154),0), MATCH($G$3, INDIRECT($B$139 &amp; $B$155), 0)),0)</f>
        <v>207.74289346702776</v>
      </c>
      <c r="J152" s="260">
        <f t="shared" ref="J152:O152" ca="1" si="118">IFERROR(INDEX(INDIRECT($B$152 &amp; $B$153), MATCH($C152, INDIRECT($B$139 &amp; $B$154),0), MATCH($G$3, INDIRECT($B$139 &amp; $B$155), 0)),0)</f>
        <v>207.74289346702776</v>
      </c>
      <c r="K152" s="260">
        <f t="shared" ca="1" si="118"/>
        <v>207.74289346702776</v>
      </c>
      <c r="L152" s="260">
        <f t="shared" ca="1" si="118"/>
        <v>207.74289346702776</v>
      </c>
      <c r="M152" s="260">
        <f t="shared" ca="1" si="118"/>
        <v>207.74289346702776</v>
      </c>
      <c r="N152" s="260">
        <f t="shared" ca="1" si="118"/>
        <v>207.74289346702776</v>
      </c>
      <c r="O152" s="260">
        <f t="shared" ca="1" si="118"/>
        <v>207.74289346702776</v>
      </c>
      <c r="P152" s="261"/>
      <c r="Q152" s="721" t="s">
        <v>584</v>
      </c>
      <c r="R152" s="722">
        <f ca="1">INDEX(INDIRECT($S$152 &amp; $S$153), MATCH($Q152, INDIRECT($S$152 &amp; $S$154),0), MATCH($R$139, INDIRECT($S$152 &amp; $S$155),0))</f>
        <v>0.44641177674553434</v>
      </c>
      <c r="S152" s="696" t="s">
        <v>551</v>
      </c>
      <c r="T152" s="719" t="s">
        <v>433</v>
      </c>
      <c r="U152" s="547">
        <f t="shared" ref="U152:AA155" ca="1" si="119">I152*$H$2*(1+VLOOKUP($T152,$T$137:$AA$139,MATCH(U$4,$T$4:$AA$4,0),0))*(1+U$141*$R152)</f>
        <v>74787.441648129985</v>
      </c>
      <c r="V152" s="404">
        <f t="shared" ca="1" si="119"/>
        <v>78692.759414021028</v>
      </c>
      <c r="W152" s="404">
        <f t="shared" ca="1" si="119"/>
        <v>79037.377408113593</v>
      </c>
      <c r="X152" s="404">
        <f t="shared" ca="1" si="119"/>
        <v>80311.244433166066</v>
      </c>
      <c r="Y152" s="404">
        <f t="shared" ca="1" si="119"/>
        <v>82552.021611394724</v>
      </c>
      <c r="Z152" s="404">
        <f t="shared" ca="1" si="119"/>
        <v>84435.124774519325</v>
      </c>
      <c r="AA152" s="409">
        <f t="shared" ca="1" si="119"/>
        <v>86387.044661003092</v>
      </c>
      <c r="AB152" s="705"/>
      <c r="AC152" s="139">
        <v>1</v>
      </c>
    </row>
    <row r="153" spans="1:29">
      <c r="A153" s="698"/>
      <c r="B153" s="698" t="s">
        <v>413</v>
      </c>
      <c r="C153" s="698" t="s">
        <v>585</v>
      </c>
      <c r="D153" s="197"/>
      <c r="E153" s="197"/>
      <c r="F153" s="699"/>
      <c r="G153" s="1230"/>
      <c r="H153" s="272" t="s">
        <v>586</v>
      </c>
      <c r="I153" s="22">
        <f t="shared" ref="I153:O155" ca="1" si="120">IFERROR(INDEX(INDIRECT($B$152 &amp; $B$153), MATCH($C153, INDIRECT($B$139 &amp; $B$154),0), MATCH($G$3, INDIRECT($B$139 &amp; $B$155), 0)),0)</f>
        <v>287.3810454865399</v>
      </c>
      <c r="J153" s="23">
        <f t="shared" ca="1" si="120"/>
        <v>287.3810454865399</v>
      </c>
      <c r="K153" s="23">
        <f t="shared" ca="1" si="120"/>
        <v>287.3810454865399</v>
      </c>
      <c r="L153" s="23">
        <f t="shared" ca="1" si="120"/>
        <v>287.3810454865399</v>
      </c>
      <c r="M153" s="23">
        <f t="shared" ca="1" si="120"/>
        <v>287.3810454865399</v>
      </c>
      <c r="N153" s="23">
        <f t="shared" ca="1" si="120"/>
        <v>287.3810454865399</v>
      </c>
      <c r="O153" s="23">
        <f t="shared" ca="1" si="120"/>
        <v>287.3810454865399</v>
      </c>
      <c r="P153" s="24"/>
      <c r="Q153" s="721" t="s">
        <v>587</v>
      </c>
      <c r="R153" s="722">
        <f ca="1">INDEX(INDIRECT($S$152 &amp; $S$153), MATCH($Q153, INDIRECT($S$152 &amp; $S$154),0), MATCH($R$139, INDIRECT($S$152 &amp; $S$155),0))</f>
        <v>0.35842276390039168</v>
      </c>
      <c r="S153" s="696" t="s">
        <v>553</v>
      </c>
      <c r="T153" s="719" t="s">
        <v>433</v>
      </c>
      <c r="U153" s="548">
        <f t="shared" ca="1" si="119"/>
        <v>103457.17637515436</v>
      </c>
      <c r="V153" s="27">
        <f t="shared" ca="1" si="119"/>
        <v>108534.67983067184</v>
      </c>
      <c r="W153" s="27">
        <f t="shared" ca="1" si="119"/>
        <v>109336.32324545908</v>
      </c>
      <c r="X153" s="27">
        <f t="shared" ca="1" si="119"/>
        <v>111218.5257845882</v>
      </c>
      <c r="Y153" s="27">
        <f t="shared" ca="1" si="119"/>
        <v>114198.30484586675</v>
      </c>
      <c r="Z153" s="27">
        <f t="shared" ca="1" si="119"/>
        <v>116803.29482528883</v>
      </c>
      <c r="AA153" s="386">
        <f t="shared" ca="1" si="119"/>
        <v>119503.48239041824</v>
      </c>
      <c r="AB153" s="705"/>
      <c r="AC153" s="139">
        <v>1</v>
      </c>
    </row>
    <row r="154" spans="1:29">
      <c r="A154" s="698"/>
      <c r="B154" s="698" t="s">
        <v>415</v>
      </c>
      <c r="C154" s="698" t="s">
        <v>588</v>
      </c>
      <c r="D154" s="197"/>
      <c r="E154" s="197"/>
      <c r="F154" s="699"/>
      <c r="G154" s="1230"/>
      <c r="H154" s="272" t="s">
        <v>589</v>
      </c>
      <c r="I154" s="22">
        <f t="shared" ca="1" si="120"/>
        <v>128.41620751494605</v>
      </c>
      <c r="J154" s="23">
        <f t="shared" ca="1" si="120"/>
        <v>128.41620751494605</v>
      </c>
      <c r="K154" s="23">
        <f t="shared" ca="1" si="120"/>
        <v>128.41620751494605</v>
      </c>
      <c r="L154" s="23">
        <f t="shared" ca="1" si="120"/>
        <v>128.41620751494605</v>
      </c>
      <c r="M154" s="23">
        <f t="shared" ca="1" si="120"/>
        <v>128.41620751494605</v>
      </c>
      <c r="N154" s="23">
        <f t="shared" ca="1" si="120"/>
        <v>128.41620751494605</v>
      </c>
      <c r="O154" s="23">
        <f t="shared" ca="1" si="120"/>
        <v>128.41620751494605</v>
      </c>
      <c r="P154" s="24"/>
      <c r="Q154" s="721" t="s">
        <v>590</v>
      </c>
      <c r="R154" s="722">
        <f ca="1">INDEX(INDIRECT($S$152 &amp; $S$153), MATCH($Q154, INDIRECT($S$152 &amp; $S$154),0), MATCH($R$139, INDIRECT($S$152 &amp; $S$155),0))</f>
        <v>0.56889621416585201</v>
      </c>
      <c r="S154" s="696" t="s">
        <v>555</v>
      </c>
      <c r="T154" s="719" t="s">
        <v>433</v>
      </c>
      <c r="U154" s="548">
        <f t="shared" ca="1" si="119"/>
        <v>46229.834705380577</v>
      </c>
      <c r="V154" s="27">
        <f t="shared" ca="1" si="119"/>
        <v>48846.014702448672</v>
      </c>
      <c r="W154" s="27">
        <f t="shared" ca="1" si="119"/>
        <v>48856.931225367509</v>
      </c>
      <c r="X154" s="27">
        <f t="shared" ca="1" si="119"/>
        <v>49569.728203815212</v>
      </c>
      <c r="Y154" s="27">
        <f t="shared" ca="1" si="119"/>
        <v>51029.507489312666</v>
      </c>
      <c r="Z154" s="27">
        <f t="shared" ca="1" si="119"/>
        <v>52193.547146853307</v>
      </c>
      <c r="AA154" s="386">
        <f t="shared" ca="1" si="119"/>
        <v>53400.125841373279</v>
      </c>
      <c r="AB154" s="705"/>
      <c r="AC154" s="139">
        <v>1</v>
      </c>
    </row>
    <row r="155" spans="1:29" ht="15.75" thickBot="1">
      <c r="A155" s="698"/>
      <c r="B155" s="698" t="s">
        <v>418</v>
      </c>
      <c r="C155" s="698" t="s">
        <v>591</v>
      </c>
      <c r="D155" s="197"/>
      <c r="E155" s="197"/>
      <c r="F155" s="701"/>
      <c r="G155" s="1231"/>
      <c r="H155" s="275" t="s">
        <v>592</v>
      </c>
      <c r="I155" s="78">
        <f t="shared" ca="1" si="120"/>
        <v>46.007457289868704</v>
      </c>
      <c r="J155" s="65">
        <f t="shared" ca="1" si="120"/>
        <v>46.007457289868704</v>
      </c>
      <c r="K155" s="65">
        <f t="shared" ca="1" si="120"/>
        <v>46.007457289868704</v>
      </c>
      <c r="L155" s="65">
        <f t="shared" ca="1" si="120"/>
        <v>46.007457289868704</v>
      </c>
      <c r="M155" s="65">
        <f t="shared" ca="1" si="120"/>
        <v>46.007457289868704</v>
      </c>
      <c r="N155" s="65">
        <f t="shared" ca="1" si="120"/>
        <v>46.007457289868704</v>
      </c>
      <c r="O155" s="65">
        <f t="shared" ca="1" si="120"/>
        <v>46.007457289868704</v>
      </c>
      <c r="P155" s="68"/>
      <c r="Q155" s="721" t="s">
        <v>591</v>
      </c>
      <c r="R155" s="722">
        <f ca="1">INDEX(INDIRECT($S$152 &amp; $S$153), MATCH($Q155, INDIRECT($S$152 &amp; $S$154),0), MATCH($R$139, INDIRECT($S$152 &amp; $S$155),0))</f>
        <v>0.54694038119016553</v>
      </c>
      <c r="S155" s="696" t="s">
        <v>560</v>
      </c>
      <c r="T155" s="719" t="s">
        <v>433</v>
      </c>
      <c r="U155" s="549">
        <f t="shared" ca="1" si="119"/>
        <v>16562.684624352732</v>
      </c>
      <c r="V155" s="387">
        <f t="shared" ca="1" si="119"/>
        <v>17486.999352103085</v>
      </c>
      <c r="W155" s="387">
        <f t="shared" ca="1" si="119"/>
        <v>17503.890047551311</v>
      </c>
      <c r="X155" s="387">
        <f t="shared" ca="1" si="119"/>
        <v>17764.056301062123</v>
      </c>
      <c r="Y155" s="387">
        <f t="shared" ca="1" si="119"/>
        <v>18282.255268006884</v>
      </c>
      <c r="Z155" s="387">
        <f t="shared" ca="1" si="119"/>
        <v>18699.293785686059</v>
      </c>
      <c r="AA155" s="388">
        <f t="shared" ca="1" si="119"/>
        <v>19131.572692135873</v>
      </c>
      <c r="AB155" s="705"/>
      <c r="AC155" s="139">
        <v>1</v>
      </c>
    </row>
    <row r="156" spans="1:29" ht="15.75" hidden="1" customHeight="1" outlineLevel="1" thickBot="1">
      <c r="A156" s="698"/>
      <c r="B156" s="698"/>
      <c r="C156" s="698"/>
      <c r="D156" s="197"/>
      <c r="E156" s="197"/>
      <c r="F156" s="197"/>
      <c r="G156" s="702"/>
      <c r="H156" s="703"/>
      <c r="I156" s="704"/>
      <c r="J156" s="704"/>
      <c r="K156" s="704"/>
      <c r="L156" s="704"/>
      <c r="M156" s="704"/>
      <c r="N156" s="704"/>
      <c r="O156" s="704"/>
      <c r="P156" s="704"/>
      <c r="Q156" s="700"/>
      <c r="R156" s="700"/>
      <c r="S156" s="700"/>
      <c r="T156" s="700"/>
      <c r="U156" s="723"/>
      <c r="V156" s="720"/>
      <c r="W156" s="720"/>
      <c r="X156" s="720"/>
      <c r="Y156" s="720"/>
      <c r="Z156" s="720"/>
      <c r="AA156" s="720"/>
      <c r="AB156" s="705"/>
      <c r="AC156" s="139">
        <v>0</v>
      </c>
    </row>
    <row r="157" spans="1:29" ht="15.75" collapsed="1" thickBot="1">
      <c r="A157" s="164"/>
      <c r="B157" s="161" t="str">
        <f>'K-12_assumptions'!K5</f>
        <v>Full QEM</v>
      </c>
      <c r="C157" s="161" t="s">
        <v>81</v>
      </c>
      <c r="D157" s="161">
        <v>190</v>
      </c>
      <c r="E157" s="161"/>
      <c r="F157" s="266"/>
      <c r="G157" s="1221" t="s">
        <v>593</v>
      </c>
      <c r="H157" s="751" t="s">
        <v>594</v>
      </c>
      <c r="I157" s="755" t="s">
        <v>595</v>
      </c>
      <c r="J157" s="756"/>
      <c r="K157" s="756"/>
      <c r="L157" s="756"/>
      <c r="M157" s="756"/>
      <c r="N157" s="756"/>
      <c r="O157" s="757"/>
      <c r="P157" s="743">
        <f ca="1">(SUM($U$23:$U$35)+$U$63-((SUM(I$23:I$35)+I$63)*U$17))/$H$2/$H$158</f>
        <v>38.028554161591224</v>
      </c>
      <c r="Q157" s="264"/>
      <c r="R157" s="164"/>
      <c r="S157" s="164"/>
      <c r="T157" s="164"/>
      <c r="U157" s="548"/>
      <c r="V157" s="548"/>
      <c r="W157" s="548"/>
      <c r="X157" s="548"/>
      <c r="Y157" s="548"/>
      <c r="Z157" s="548"/>
      <c r="AA157" s="548"/>
      <c r="AB157" s="164"/>
      <c r="AC157" s="139"/>
    </row>
    <row r="158" spans="1:29">
      <c r="A158" s="164"/>
      <c r="B158" s="161"/>
      <c r="C158" s="161" t="s">
        <v>195</v>
      </c>
      <c r="D158" s="161">
        <v>193</v>
      </c>
      <c r="E158" s="161"/>
      <c r="F158" s="266"/>
      <c r="G158" s="1222"/>
      <c r="H158" s="753">
        <f>VLOOKUP($B$157, $C$157:$D$160,2,0)</f>
        <v>193</v>
      </c>
      <c r="I158" s="758" t="s">
        <v>596</v>
      </c>
      <c r="O158" s="759"/>
      <c r="P158" s="742">
        <f ca="1">(SUM($U$68:$U$86)+$U$63-((SUM(I$68:I$86)+I$63)*U$17))/$H$2/$H$158</f>
        <v>9.9784785811952155</v>
      </c>
      <c r="Q158" s="264"/>
      <c r="R158" s="164"/>
      <c r="S158" s="164"/>
      <c r="T158" s="164"/>
      <c r="U158" s="548"/>
      <c r="V158" s="548"/>
      <c r="W158" s="548"/>
      <c r="X158" s="548"/>
      <c r="Y158" s="548"/>
      <c r="Z158" s="548"/>
      <c r="AA158" s="548"/>
      <c r="AB158" s="164"/>
      <c r="AC158" s="139"/>
    </row>
    <row r="159" spans="1:29">
      <c r="A159" s="164"/>
      <c r="B159" s="161"/>
      <c r="C159" s="161" t="s">
        <v>194</v>
      </c>
      <c r="D159" s="161">
        <v>190</v>
      </c>
      <c r="E159" s="161"/>
      <c r="F159" s="266"/>
      <c r="G159" s="1222"/>
      <c r="H159" s="586"/>
      <c r="I159" s="758" t="s">
        <v>597</v>
      </c>
      <c r="O159" s="759"/>
      <c r="P159" s="742">
        <f ca="1">($U$90-(I$90*U$17))/$H$2/$H$158</f>
        <v>2.5628908475911856</v>
      </c>
      <c r="Q159" s="264"/>
      <c r="R159" s="164"/>
      <c r="S159" s="164"/>
      <c r="T159" s="164"/>
      <c r="U159" s="548"/>
      <c r="V159" s="548"/>
      <c r="W159" s="548"/>
      <c r="X159" s="548"/>
      <c r="Y159" s="548"/>
      <c r="Z159" s="548"/>
      <c r="AA159" s="548"/>
      <c r="AB159" s="164"/>
      <c r="AC159" s="139"/>
    </row>
    <row r="160" spans="1:29">
      <c r="A160" s="164"/>
      <c r="B160" s="161"/>
      <c r="C160" s="161" t="s">
        <v>87</v>
      </c>
      <c r="D160" s="161">
        <v>190</v>
      </c>
      <c r="E160" s="161"/>
      <c r="F160" s="266"/>
      <c r="G160" s="1222"/>
      <c r="H160" s="751" t="s">
        <v>598</v>
      </c>
      <c r="I160" s="758" t="s">
        <v>599</v>
      </c>
      <c r="O160" s="759"/>
      <c r="P160" s="741">
        <f ca="1">SUMIFS(U$140:U$149, $AC$140:$AC$149,1)/$H$2/$H$161</f>
        <v>15.65738515013768</v>
      </c>
      <c r="Q160" s="264"/>
      <c r="R160" s="164"/>
      <c r="S160" s="164"/>
      <c r="T160" s="164"/>
      <c r="U160" s="548"/>
      <c r="V160" s="548"/>
      <c r="W160" s="548"/>
      <c r="X160" s="548"/>
      <c r="Y160" s="548"/>
      <c r="Z160" s="548"/>
      <c r="AA160" s="548"/>
      <c r="AB160" s="164"/>
      <c r="AC160" s="139"/>
    </row>
    <row r="161" spans="1:29" ht="15.75" thickBot="1">
      <c r="A161" s="164"/>
      <c r="B161" s="161"/>
      <c r="C161" s="161"/>
      <c r="D161" s="161"/>
      <c r="E161" s="161"/>
      <c r="F161" s="266"/>
      <c r="G161" s="1222"/>
      <c r="H161" s="754">
        <v>260</v>
      </c>
      <c r="I161" s="760" t="s">
        <v>600</v>
      </c>
      <c r="J161" s="64"/>
      <c r="K161" s="64"/>
      <c r="L161" s="64"/>
      <c r="M161" s="64"/>
      <c r="N161" s="64"/>
      <c r="O161" s="761"/>
      <c r="P161" s="749">
        <f ca="1">SUMIFS(U$152:U$155, $AC$152:$AC$155,1)/$H$2/$H$161</f>
        <v>2.5751830913783937</v>
      </c>
      <c r="Q161" s="264"/>
      <c r="R161" s="164"/>
      <c r="S161" s="164"/>
      <c r="T161" s="164"/>
      <c r="U161" s="548"/>
      <c r="V161" s="548"/>
      <c r="W161" s="548"/>
      <c r="X161" s="548"/>
      <c r="Y161" s="548"/>
      <c r="Z161" s="548"/>
      <c r="AA161" s="548"/>
      <c r="AB161" s="164"/>
      <c r="AC161" s="139"/>
    </row>
    <row r="162" spans="1:29" ht="16.5" thickTop="1" thickBot="1">
      <c r="A162" s="164"/>
      <c r="B162" s="161"/>
      <c r="C162" s="161"/>
      <c r="D162" s="161"/>
      <c r="E162" s="161"/>
      <c r="F162" s="266"/>
      <c r="G162" s="1223"/>
      <c r="H162" s="586"/>
      <c r="I162" s="762" t="s">
        <v>601</v>
      </c>
      <c r="J162" s="61"/>
      <c r="K162" s="61"/>
      <c r="L162" s="61"/>
      <c r="M162" s="61"/>
      <c r="N162" s="61"/>
      <c r="O162" s="763"/>
      <c r="P162" s="750">
        <f ca="1">SUM(P157:P161)</f>
        <v>68.80249183189369</v>
      </c>
      <c r="Q162" s="264"/>
      <c r="R162" s="164"/>
      <c r="S162" s="164"/>
      <c r="T162" s="164"/>
      <c r="U162" s="548"/>
      <c r="V162" s="548"/>
      <c r="W162" s="548"/>
      <c r="X162" s="548"/>
      <c r="Y162" s="548"/>
      <c r="Z162" s="548"/>
      <c r="AA162" s="548"/>
      <c r="AB162" s="164"/>
      <c r="AC162" s="139"/>
    </row>
    <row r="163" spans="1:29" ht="15" hidden="1" customHeight="1" outlineLevel="1">
      <c r="A163" s="684"/>
      <c r="B163" s="684"/>
      <c r="C163" s="684"/>
      <c r="D163" s="79"/>
      <c r="E163" s="79"/>
      <c r="F163" s="79"/>
      <c r="G163" s="706"/>
      <c r="H163" s="140"/>
      <c r="I163" s="141"/>
      <c r="J163" s="141"/>
      <c r="K163" s="141"/>
      <c r="L163" s="141"/>
      <c r="M163" s="141"/>
      <c r="N163" s="141"/>
      <c r="O163" s="141"/>
      <c r="P163" s="141"/>
      <c r="Q163" s="598"/>
      <c r="R163" s="598"/>
      <c r="S163" s="598"/>
      <c r="T163" s="598"/>
      <c r="U163" s="688"/>
      <c r="V163" s="685"/>
      <c r="W163" s="685"/>
      <c r="X163" s="685"/>
      <c r="Y163" s="685"/>
      <c r="Z163" s="685"/>
      <c r="AA163" s="685"/>
      <c r="AB163" s="689"/>
      <c r="AC163" s="139">
        <v>0</v>
      </c>
    </row>
    <row r="164" spans="1:29" ht="15" hidden="1" customHeight="1" outlineLevel="1">
      <c r="A164" s="684"/>
      <c r="B164" s="597"/>
      <c r="C164" s="597" t="str">
        <f>LEFT($G$3,1) &amp; "S" &amp; D164</f>
        <v>ES_InstructionDays</v>
      </c>
      <c r="D164" s="79" t="s">
        <v>602</v>
      </c>
      <c r="E164" s="79"/>
      <c r="F164" s="79"/>
      <c r="G164" s="706"/>
      <c r="H164" s="140"/>
      <c r="I164" s="707">
        <f t="shared" ref="I164:O164" ca="1" si="121">INDEX(INDIRECT($B$166 &amp; $B$167), MATCH($C164, INDIRECT($B$166 &amp; $B$168),0), MATCH(I$4, INDIRECT($B$166 &amp; $B$169), 0))</f>
        <v>170</v>
      </c>
      <c r="J164" s="707">
        <f t="shared" ca="1" si="121"/>
        <v>170</v>
      </c>
      <c r="K164" s="707">
        <f t="shared" ca="1" si="121"/>
        <v>170</v>
      </c>
      <c r="L164" s="707">
        <f t="shared" ca="1" si="121"/>
        <v>170</v>
      </c>
      <c r="M164" s="707">
        <f t="shared" ca="1" si="121"/>
        <v>170</v>
      </c>
      <c r="N164" s="707">
        <f t="shared" ca="1" si="121"/>
        <v>170</v>
      </c>
      <c r="O164" s="707">
        <f t="shared" ca="1" si="121"/>
        <v>170</v>
      </c>
      <c r="P164" s="598"/>
      <c r="Q164" s="598"/>
      <c r="R164" s="598"/>
      <c r="S164" s="598"/>
      <c r="T164" s="598"/>
      <c r="U164" s="688"/>
      <c r="V164" s="685"/>
      <c r="W164" s="685"/>
      <c r="X164" s="685"/>
      <c r="Y164" s="685"/>
      <c r="Z164" s="685"/>
      <c r="AA164" s="685"/>
      <c r="AB164" s="689"/>
      <c r="AC164" s="139">
        <v>0</v>
      </c>
    </row>
    <row r="165" spans="1:29" ht="15.75" hidden="1" customHeight="1" outlineLevel="1" thickBot="1">
      <c r="A165" s="684"/>
      <c r="B165" s="79"/>
      <c r="C165" s="597" t="str">
        <f>LEFT($G$3,1) &amp; "S" &amp; D165</f>
        <v>ES_InstructionDays</v>
      </c>
      <c r="D165" s="79" t="s">
        <v>602</v>
      </c>
      <c r="E165" s="79" t="s">
        <v>197</v>
      </c>
      <c r="F165" s="79"/>
      <c r="G165" s="708"/>
      <c r="H165" s="683"/>
      <c r="I165" s="709">
        <f ca="1">INDEX(INDIRECT($B$166 &amp; $B$167), MATCH($C165, INDIRECT($B$166 &amp; $B$168),0), MATCH($E$165, INDIRECT($B$166 &amp; $B$169), 0))</f>
        <v>170</v>
      </c>
      <c r="J165" s="709">
        <f t="shared" ref="J165:O165" ca="1" si="122">INDEX(INDIRECT($B$166 &amp; $B$167), MATCH($C165, INDIRECT($B$166 &amp; $B$168),0), MATCH($E$165, INDIRECT($B$166 &amp; $B$169), 0))</f>
        <v>170</v>
      </c>
      <c r="K165" s="709">
        <f t="shared" ca="1" si="122"/>
        <v>170</v>
      </c>
      <c r="L165" s="709">
        <f t="shared" ca="1" si="122"/>
        <v>170</v>
      </c>
      <c r="M165" s="709">
        <f t="shared" ca="1" si="122"/>
        <v>170</v>
      </c>
      <c r="N165" s="709">
        <f t="shared" ca="1" si="122"/>
        <v>170</v>
      </c>
      <c r="O165" s="709">
        <f t="shared" ca="1" si="122"/>
        <v>170</v>
      </c>
      <c r="P165" s="710"/>
      <c r="Q165" s="598"/>
      <c r="R165" s="598"/>
      <c r="S165" s="598"/>
      <c r="T165" s="598"/>
      <c r="U165" s="728"/>
      <c r="V165" s="729"/>
      <c r="W165" s="729"/>
      <c r="X165" s="729"/>
      <c r="Y165" s="729"/>
      <c r="Z165" s="729"/>
      <c r="AA165" s="729"/>
      <c r="AB165" s="689"/>
      <c r="AC165" s="139">
        <v>0</v>
      </c>
    </row>
    <row r="166" spans="1:29" ht="15.75" collapsed="1" thickBot="1">
      <c r="A166" s="684"/>
      <c r="B166" s="79" t="s">
        <v>398</v>
      </c>
      <c r="C166" s="597"/>
      <c r="D166" s="79"/>
      <c r="E166" s="79"/>
      <c r="F166" s="292"/>
      <c r="G166" s="680" t="s">
        <v>603</v>
      </c>
      <c r="H166" s="619"/>
      <c r="I166" s="682">
        <f ca="1">I164-I165</f>
        <v>0</v>
      </c>
      <c r="J166" s="681">
        <f t="shared" ref="J166:O166" ca="1" si="123">J164-J165</f>
        <v>0</v>
      </c>
      <c r="K166" s="681">
        <f t="shared" ca="1" si="123"/>
        <v>0</v>
      </c>
      <c r="L166" s="681">
        <f t="shared" ca="1" si="123"/>
        <v>0</v>
      </c>
      <c r="M166" s="681">
        <f t="shared" ca="1" si="123"/>
        <v>0</v>
      </c>
      <c r="N166" s="681">
        <f t="shared" ca="1" si="123"/>
        <v>0</v>
      </c>
      <c r="O166" s="351">
        <f t="shared" ca="1" si="123"/>
        <v>0</v>
      </c>
      <c r="P166" s="68"/>
      <c r="Q166" s="711"/>
      <c r="R166" s="712"/>
      <c r="S166" s="712"/>
      <c r="T166" s="727"/>
      <c r="U166" s="731">
        <f t="shared" ref="U166:AA166" ca="1" si="124">I$166*$P$162 * $H$2</f>
        <v>0</v>
      </c>
      <c r="V166" s="732">
        <f t="shared" ca="1" si="124"/>
        <v>0</v>
      </c>
      <c r="W166" s="732">
        <f t="shared" ca="1" si="124"/>
        <v>0</v>
      </c>
      <c r="X166" s="732">
        <f t="shared" ca="1" si="124"/>
        <v>0</v>
      </c>
      <c r="Y166" s="732">
        <f t="shared" ca="1" si="124"/>
        <v>0</v>
      </c>
      <c r="Z166" s="732">
        <f t="shared" ca="1" si="124"/>
        <v>0</v>
      </c>
      <c r="AA166" s="733">
        <f t="shared" ca="1" si="124"/>
        <v>0</v>
      </c>
      <c r="AB166" s="689"/>
      <c r="AC166" s="139">
        <v>1</v>
      </c>
    </row>
    <row r="167" spans="1:29" ht="15.75" hidden="1" customHeight="1" outlineLevel="1" thickBot="1">
      <c r="A167" s="684"/>
      <c r="B167" s="79" t="s">
        <v>423</v>
      </c>
      <c r="C167" s="597"/>
      <c r="D167" s="79"/>
      <c r="E167" s="79"/>
      <c r="F167" s="79"/>
      <c r="G167" s="85"/>
      <c r="H167" s="687"/>
      <c r="I167" s="713"/>
      <c r="J167" s="713"/>
      <c r="K167" s="713"/>
      <c r="L167" s="713"/>
      <c r="M167" s="713"/>
      <c r="N167" s="713"/>
      <c r="O167" s="713"/>
      <c r="P167" s="713"/>
      <c r="Q167" s="712"/>
      <c r="R167" s="712"/>
      <c r="S167" s="712"/>
      <c r="T167" s="712"/>
      <c r="U167" s="730"/>
      <c r="V167" s="730"/>
      <c r="W167" s="730"/>
      <c r="X167" s="730"/>
      <c r="Y167" s="730"/>
      <c r="Z167" s="730"/>
      <c r="AA167" s="730"/>
      <c r="AB167" s="689"/>
      <c r="AC167" s="139">
        <v>0</v>
      </c>
    </row>
    <row r="168" spans="1:29" ht="15.75" collapsed="1" thickBot="1">
      <c r="A168" s="684" t="str">
        <f>G168</f>
        <v>Total School Cost</v>
      </c>
      <c r="B168" s="597" t="s">
        <v>424</v>
      </c>
      <c r="C168" s="597"/>
      <c r="D168" s="597"/>
      <c r="E168" s="597"/>
      <c r="F168" s="734"/>
      <c r="G168" s="736" t="s">
        <v>604</v>
      </c>
      <c r="H168" s="608"/>
      <c r="I168" s="608"/>
      <c r="J168" s="608"/>
      <c r="K168" s="608"/>
      <c r="L168" s="608"/>
      <c r="M168" s="608"/>
      <c r="N168" s="608"/>
      <c r="O168" s="608"/>
      <c r="P168" s="608"/>
      <c r="Q168" s="712"/>
      <c r="R168" s="712"/>
      <c r="S168" s="712"/>
      <c r="T168" s="712"/>
      <c r="U168" s="764">
        <f ca="1">SUMIFS(U$23:U$167, $AC$23:$AC$167, 1)</f>
        <v>6445787.4252765998</v>
      </c>
      <c r="V168" s="765">
        <f ca="1">SUMIFS(V$23:V$167, $AC$23:$AC$167, 1)</f>
        <v>6788651.3182271421</v>
      </c>
      <c r="W168" s="765">
        <f ca="1">SUMIFS(W$23:W$167, $AC$23:$AC$167, 1)</f>
        <v>6957502.8172384836</v>
      </c>
      <c r="X168" s="765">
        <f ca="1">SUMIFS(X$23:X$167, $AC$23:$AC$167, 1)</f>
        <v>8130175.0344966995</v>
      </c>
      <c r="Y168" s="765">
        <f ca="1">SUMIFS(Y$23:Y$167, $AC$23:$AC$167, 1)</f>
        <v>8375112.4928796217</v>
      </c>
      <c r="Z168" s="765">
        <f t="shared" ref="Z168:AA168" ca="1" si="125">SUMIFS(Z$23:Z$167, $AC$23:$AC$167, 1)</f>
        <v>7634034.9973637816</v>
      </c>
      <c r="AA168" s="766">
        <f t="shared" ca="1" si="125"/>
        <v>7840692.3823528914</v>
      </c>
      <c r="AB168" s="689"/>
      <c r="AC168" s="139"/>
    </row>
    <row r="169" spans="1:29" ht="15.75" thickBot="1">
      <c r="A169" s="684" t="str">
        <f>G169</f>
        <v>School Cost Per Pupil</v>
      </c>
      <c r="B169" s="597" t="s">
        <v>425</v>
      </c>
      <c r="C169" s="597"/>
      <c r="D169" s="597"/>
      <c r="E169" s="597"/>
      <c r="F169" s="734"/>
      <c r="G169" s="737" t="s">
        <v>134</v>
      </c>
      <c r="H169" s="608"/>
      <c r="I169" s="608"/>
      <c r="J169" s="608"/>
      <c r="K169" s="608"/>
      <c r="L169" s="608"/>
      <c r="M169" s="608"/>
      <c r="N169" s="608"/>
      <c r="O169" s="608"/>
      <c r="P169" s="608"/>
      <c r="Q169" s="712"/>
      <c r="R169" s="712"/>
      <c r="S169" s="712"/>
      <c r="T169" s="712"/>
      <c r="U169" s="767">
        <f t="shared" ref="U169:AA169" ca="1" si="126">U168/$H$2</f>
        <v>17904.965070212776</v>
      </c>
      <c r="V169" s="768">
        <f t="shared" ca="1" si="126"/>
        <v>18857.364772853172</v>
      </c>
      <c r="W169" s="768">
        <f t="shared" ca="1" si="126"/>
        <v>19326.396714551342</v>
      </c>
      <c r="X169" s="768">
        <f t="shared" ca="1" si="126"/>
        <v>22583.819540268611</v>
      </c>
      <c r="Y169" s="768">
        <f t="shared" ca="1" si="126"/>
        <v>23264.201369110062</v>
      </c>
      <c r="Z169" s="768">
        <f t="shared" ca="1" si="126"/>
        <v>21205.652770454948</v>
      </c>
      <c r="AA169" s="769">
        <f t="shared" ca="1" si="126"/>
        <v>21779.701062091364</v>
      </c>
      <c r="AB169" s="689"/>
      <c r="AC169" s="139"/>
    </row>
    <row r="170" spans="1:29" ht="15.75" hidden="1" customHeight="1" outlineLevel="1" thickBot="1">
      <c r="A170" s="716"/>
      <c r="B170" s="716"/>
      <c r="C170" s="716"/>
      <c r="D170" s="716"/>
      <c r="E170" s="716"/>
      <c r="F170" s="716"/>
      <c r="G170" s="735"/>
      <c r="H170" s="717"/>
      <c r="I170" s="717"/>
      <c r="J170" s="717"/>
      <c r="K170" s="717"/>
      <c r="L170" s="717"/>
      <c r="M170" s="717"/>
      <c r="N170" s="717"/>
      <c r="O170" s="717"/>
      <c r="P170" s="717"/>
      <c r="Q170" s="716"/>
      <c r="R170" s="716"/>
      <c r="S170" s="716"/>
      <c r="T170" s="740" t="s">
        <v>561</v>
      </c>
      <c r="U170" s="745">
        <f ca="1">INDEX(INDIRECT($S$146 &amp; $S$147), MATCH($T170, INDIRECT($S$146 &amp; $S$148),0), MATCH(U$4, INDIRECT($S$146 &amp; $S$149),0))</f>
        <v>0</v>
      </c>
      <c r="V170" s="247">
        <f t="shared" ref="V170:AA170" ca="1" si="127">INDEX(INDIRECT($S$146 &amp; $S$147), MATCH($T170, INDIRECT($S$146 &amp; $S$148),0), MATCH(V$4, INDIRECT($S$146 &amp; $S$149),0))</f>
        <v>3.4443168771526977E-2</v>
      </c>
      <c r="W170" s="247">
        <f t="shared" ca="1" si="127"/>
        <v>0</v>
      </c>
      <c r="X170" s="247">
        <f t="shared" ca="1" si="127"/>
        <v>-1.2208657047724669E-2</v>
      </c>
      <c r="Y170" s="247">
        <f t="shared" ca="1" si="127"/>
        <v>0</v>
      </c>
      <c r="Z170" s="247">
        <f t="shared" ca="1" si="127"/>
        <v>0</v>
      </c>
      <c r="AA170" s="248">
        <f t="shared" ca="1" si="127"/>
        <v>0</v>
      </c>
      <c r="AB170" s="747"/>
      <c r="AC170" s="139"/>
    </row>
    <row r="171" spans="1:29" collapsed="1">
      <c r="A171" s="716"/>
      <c r="B171" s="714"/>
      <c r="C171" s="724" t="s">
        <v>346</v>
      </c>
      <c r="D171" s="715"/>
      <c r="E171" s="715"/>
      <c r="F171" s="714"/>
      <c r="G171" s="1218" t="s">
        <v>605</v>
      </c>
      <c r="H171" s="679" t="s">
        <v>606</v>
      </c>
      <c r="I171" s="259">
        <f t="shared" ref="I171:O175" ca="1" si="128">INDEX(INDIRECT($B$166 &amp; $B$167), MATCH($C171, INDIRECT($B$166 &amp; $B$168),0), MATCH(I$4, INDIRECT($B$166 &amp; $B$169),0))</f>
        <v>561.69148625945911</v>
      </c>
      <c r="J171" s="260">
        <f t="shared" ca="1" si="128"/>
        <v>582.07254444724811</v>
      </c>
      <c r="K171" s="260">
        <f t="shared" ca="1" si="128"/>
        <v>582.07254444724811</v>
      </c>
      <c r="L171" s="260">
        <f t="shared" ca="1" si="128"/>
        <v>582.07254444724811</v>
      </c>
      <c r="M171" s="260">
        <f t="shared" ca="1" si="128"/>
        <v>582.07254444724811</v>
      </c>
      <c r="N171" s="260">
        <f t="shared" ca="1" si="128"/>
        <v>582.07254444724811</v>
      </c>
      <c r="O171" s="261">
        <f t="shared" ca="1" si="128"/>
        <v>582.07254444724811</v>
      </c>
      <c r="P171" s="608"/>
      <c r="Q171" s="724" t="s">
        <v>346</v>
      </c>
      <c r="R171" s="739">
        <f ca="1">INDEX(INDIRECT($S$171 &amp; $S$172), MATCH($Q171, INDIRECT($S$171 &amp; $S$173),0), MATCH($R$139, INDIRECT($S$171 &amp; $S$174),0))</f>
        <v>0.48168145861323125</v>
      </c>
      <c r="S171" s="587" t="s">
        <v>551</v>
      </c>
      <c r="T171" s="748" t="s">
        <v>554</v>
      </c>
      <c r="U171" s="548">
        <f t="shared" ref="U171:AA175" ca="1" si="129">I171*$H$2*(1+VLOOKUP($T171,$T$137:$AA$139,MATCH(U$4,$T$4:$AA$4,0),0))*(1+U$141*$R171)</f>
        <v>212516.08769261005</v>
      </c>
      <c r="V171" s="27">
        <f t="shared" ca="1" si="129"/>
        <v>235292.81244005865</v>
      </c>
      <c r="W171" s="27">
        <f t="shared" ca="1" si="129"/>
        <v>243250.65936817645</v>
      </c>
      <c r="X171" s="27">
        <f t="shared" ca="1" si="129"/>
        <v>254146.42725474233</v>
      </c>
      <c r="Y171" s="27">
        <f t="shared" ca="1" si="129"/>
        <v>268681.0065597741</v>
      </c>
      <c r="Z171" s="27">
        <f t="shared" ca="1" si="129"/>
        <v>282376.42583061574</v>
      </c>
      <c r="AA171" s="386">
        <f t="shared" ca="1" si="129"/>
        <v>296769.93876801652</v>
      </c>
      <c r="AB171" s="746"/>
      <c r="AC171" s="139"/>
    </row>
    <row r="172" spans="1:29">
      <c r="A172" s="716"/>
      <c r="B172" s="714"/>
      <c r="C172" s="724" t="s">
        <v>348</v>
      </c>
      <c r="D172" s="715"/>
      <c r="E172" s="715"/>
      <c r="F172" s="714"/>
      <c r="G172" s="1219"/>
      <c r="H172" s="677" t="s">
        <v>607</v>
      </c>
      <c r="I172" s="67">
        <f t="shared" ca="1" si="128"/>
        <v>269.59081319019515</v>
      </c>
      <c r="J172" s="23">
        <f t="shared" ca="1" si="128"/>
        <v>272.47233708458509</v>
      </c>
      <c r="K172" s="23">
        <f t="shared" ca="1" si="128"/>
        <v>272.47233708458509</v>
      </c>
      <c r="L172" s="23">
        <f t="shared" ca="1" si="128"/>
        <v>272.47233708458509</v>
      </c>
      <c r="M172" s="23">
        <f t="shared" ca="1" si="128"/>
        <v>272.47233708458509</v>
      </c>
      <c r="N172" s="23">
        <f t="shared" ca="1" si="128"/>
        <v>272.47233708458509</v>
      </c>
      <c r="O172" s="24">
        <f t="shared" ca="1" si="128"/>
        <v>272.47233708458509</v>
      </c>
      <c r="P172" s="609"/>
      <c r="Q172" s="724" t="s">
        <v>608</v>
      </c>
      <c r="R172" s="739">
        <f ca="1">INDEX(INDIRECT($S$171 &amp; $S$172), MATCH($Q172, INDIRECT($S$171 &amp; $S$173),0), MATCH($R$139, INDIRECT($S$171 &amp; $S$174),0))</f>
        <v>0.38816766217148979</v>
      </c>
      <c r="S172" s="587" t="s">
        <v>553</v>
      </c>
      <c r="T172" s="748" t="s">
        <v>433</v>
      </c>
      <c r="U172" s="548">
        <f t="shared" ca="1" si="129"/>
        <v>97052.692748470261</v>
      </c>
      <c r="V172" s="27">
        <f t="shared" ca="1" si="129"/>
        <v>103008.27541402918</v>
      </c>
      <c r="W172" s="27">
        <f t="shared" ca="1" si="129"/>
        <v>103664.19076974654</v>
      </c>
      <c r="X172" s="27">
        <f t="shared" ca="1" si="129"/>
        <v>105410.28718769715</v>
      </c>
      <c r="Y172" s="27">
        <f t="shared" ca="1" si="129"/>
        <v>108273.9432580587</v>
      </c>
      <c r="Z172" s="27">
        <f t="shared" ca="1" si="129"/>
        <v>110743.79197954756</v>
      </c>
      <c r="AA172" s="386">
        <f t="shared" ca="1" si="129"/>
        <v>113303.89964145669</v>
      </c>
      <c r="AB172" s="746"/>
      <c r="AC172" s="139"/>
    </row>
    <row r="173" spans="1:29">
      <c r="A173" s="716"/>
      <c r="B173" s="714"/>
      <c r="C173" s="724" t="s">
        <v>350</v>
      </c>
      <c r="D173" s="715"/>
      <c r="E173" s="715"/>
      <c r="F173" s="714"/>
      <c r="G173" s="1219"/>
      <c r="H173" s="677" t="s">
        <v>609</v>
      </c>
      <c r="I173" s="67">
        <f t="shared" ca="1" si="128"/>
        <v>92.31574193489989</v>
      </c>
      <c r="J173" s="23">
        <f t="shared" ca="1" si="128"/>
        <v>95.665432208031433</v>
      </c>
      <c r="K173" s="23">
        <f t="shared" ca="1" si="128"/>
        <v>95.665432208031433</v>
      </c>
      <c r="L173" s="23">
        <f t="shared" ca="1" si="128"/>
        <v>95.665432208031433</v>
      </c>
      <c r="M173" s="23">
        <f t="shared" ca="1" si="128"/>
        <v>95.665432208031433</v>
      </c>
      <c r="N173" s="23">
        <f t="shared" ca="1" si="128"/>
        <v>95.665432208031433</v>
      </c>
      <c r="O173" s="24">
        <f t="shared" ca="1" si="128"/>
        <v>95.665432208031433</v>
      </c>
      <c r="P173" s="609"/>
      <c r="Q173" s="724" t="s">
        <v>610</v>
      </c>
      <c r="R173" s="739">
        <f ca="1">INDEX(INDIRECT($S$171 &amp; $S$172), MATCH($Q173, INDIRECT($S$171 &amp; $S$173),0), MATCH($R$139, INDIRECT($S$171 &amp; $S$174),0))</f>
        <v>0.32189984698010743</v>
      </c>
      <c r="S173" s="587" t="s">
        <v>555</v>
      </c>
      <c r="T173" s="748" t="s">
        <v>433</v>
      </c>
      <c r="U173" s="548">
        <f t="shared" ca="1" si="129"/>
        <v>33233.667096563957</v>
      </c>
      <c r="V173" s="27">
        <f t="shared" ca="1" si="129"/>
        <v>36084.895043727818</v>
      </c>
      <c r="W173" s="27">
        <f t="shared" ca="1" si="129"/>
        <v>36396.647529782123</v>
      </c>
      <c r="X173" s="27">
        <f t="shared" ca="1" si="129"/>
        <v>37039.789453363381</v>
      </c>
      <c r="Y173" s="27">
        <f t="shared" ca="1" si="129"/>
        <v>38015.138305341228</v>
      </c>
      <c r="Z173" s="27">
        <f t="shared" ca="1" si="129"/>
        <v>38882.30576886372</v>
      </c>
      <c r="AA173" s="386">
        <f t="shared" ca="1" si="129"/>
        <v>39781.163277101703</v>
      </c>
      <c r="AB173" s="746"/>
      <c r="AC173" s="139"/>
    </row>
    <row r="174" spans="1:29">
      <c r="A174" s="716"/>
      <c r="B174" s="714"/>
      <c r="C174" s="724" t="s">
        <v>352</v>
      </c>
      <c r="D174" s="715"/>
      <c r="E174" s="715"/>
      <c r="F174" s="714"/>
      <c r="G174" s="1219"/>
      <c r="H174" s="677" t="s">
        <v>611</v>
      </c>
      <c r="I174" s="67">
        <f t="shared" ca="1" si="128"/>
        <v>71.20107681306348</v>
      </c>
      <c r="J174" s="23">
        <f t="shared" ca="1" si="128"/>
        <v>71.20107681306348</v>
      </c>
      <c r="K174" s="23">
        <f t="shared" ca="1" si="128"/>
        <v>71.20107681306348</v>
      </c>
      <c r="L174" s="23">
        <f t="shared" ca="1" si="128"/>
        <v>71.20107681306348</v>
      </c>
      <c r="M174" s="23">
        <f t="shared" ca="1" si="128"/>
        <v>71.20107681306348</v>
      </c>
      <c r="N174" s="23">
        <f t="shared" ca="1" si="128"/>
        <v>71.20107681306348</v>
      </c>
      <c r="O174" s="24">
        <f t="shared" ca="1" si="128"/>
        <v>71.20107681306348</v>
      </c>
      <c r="P174" s="609"/>
      <c r="Q174" s="724" t="s">
        <v>612</v>
      </c>
      <c r="R174" s="739">
        <f ca="1">INDEX(INDIRECT($S$171 &amp; $S$172), MATCH($Q174, INDIRECT($S$171 &amp; $S$173),0), MATCH($R$139, INDIRECT($S$171 &amp; $S$174),0))</f>
        <v>0.33230012846919521</v>
      </c>
      <c r="S174" s="587" t="s">
        <v>560</v>
      </c>
      <c r="T174" s="748" t="s">
        <v>433</v>
      </c>
      <c r="U174" s="548">
        <f t="shared" ca="1" si="129"/>
        <v>25632.387652702851</v>
      </c>
      <c r="V174" s="27">
        <f t="shared" ca="1" si="129"/>
        <v>26866.482461654956</v>
      </c>
      <c r="W174" s="27">
        <f t="shared" ca="1" si="129"/>
        <v>27088.995854538673</v>
      </c>
      <c r="X174" s="27">
        <f t="shared" ca="1" si="129"/>
        <v>27564.154034126048</v>
      </c>
      <c r="Y174" s="27">
        <f t="shared" ca="1" si="129"/>
        <v>28293.592785447054</v>
      </c>
      <c r="Z174" s="27">
        <f t="shared" ca="1" si="129"/>
        <v>28939.001014469522</v>
      </c>
      <c r="AA174" s="386">
        <f t="shared" ca="1" si="129"/>
        <v>29607.995247923456</v>
      </c>
      <c r="AB174" s="746"/>
      <c r="AC174" s="139"/>
    </row>
    <row r="175" spans="1:29" ht="15.75" thickBot="1">
      <c r="A175" s="716"/>
      <c r="B175" s="714"/>
      <c r="C175" s="724" t="s">
        <v>354</v>
      </c>
      <c r="D175" s="715"/>
      <c r="E175" s="715"/>
      <c r="F175" s="714"/>
      <c r="G175" s="1220"/>
      <c r="H175" s="678" t="s">
        <v>613</v>
      </c>
      <c r="I175" s="252">
        <f t="shared" ca="1" si="128"/>
        <v>144.06795322060901</v>
      </c>
      <c r="J175" s="65">
        <f t="shared" ca="1" si="128"/>
        <v>138.75302258360577</v>
      </c>
      <c r="K175" s="65">
        <f t="shared" ca="1" si="128"/>
        <v>138.75302258360577</v>
      </c>
      <c r="L175" s="65">
        <f t="shared" ca="1" si="128"/>
        <v>138.75302258360577</v>
      </c>
      <c r="M175" s="65">
        <f t="shared" ca="1" si="128"/>
        <v>138.75302258360577</v>
      </c>
      <c r="N175" s="65">
        <f t="shared" ca="1" si="128"/>
        <v>138.75302258360577</v>
      </c>
      <c r="O175" s="68">
        <f t="shared" ca="1" si="128"/>
        <v>138.75302258360577</v>
      </c>
      <c r="P175" s="610"/>
      <c r="Q175" s="724" t="s">
        <v>354</v>
      </c>
      <c r="R175" s="739">
        <f ca="1">INDEX(INDIRECT($S$171 &amp; $S$172), MATCH($Q175, INDIRECT($S$171 &amp; $S$173),0), MATCH($R$139, INDIRECT($S$171 &amp; $S$174),0))</f>
        <v>0.4172258505928908</v>
      </c>
      <c r="S175" s="587"/>
      <c r="T175" s="748" t="s">
        <v>433</v>
      </c>
      <c r="U175" s="549">
        <f t="shared" ca="1" si="129"/>
        <v>51864.463159419247</v>
      </c>
      <c r="V175" s="387">
        <f t="shared" ca="1" si="129"/>
        <v>52507.443263323163</v>
      </c>
      <c r="W175" s="387">
        <f t="shared" ca="1" si="129"/>
        <v>52789.651811591582</v>
      </c>
      <c r="X175" s="387">
        <f t="shared" ca="1" si="129"/>
        <v>53659.695031623116</v>
      </c>
      <c r="Y175" s="387">
        <f t="shared" ca="1" si="129"/>
        <v>55137.108797351757</v>
      </c>
      <c r="Z175" s="387">
        <f t="shared" ca="1" si="129"/>
        <v>56394.847396057456</v>
      </c>
      <c r="AA175" s="388">
        <f t="shared" ca="1" si="129"/>
        <v>57698.549195771033</v>
      </c>
      <c r="AB175" s="746"/>
      <c r="AC175" s="139"/>
    </row>
    <row r="176" spans="1:29" ht="15.75" hidden="1" customHeight="1" outlineLevel="1" thickBot="1">
      <c r="A176" s="716"/>
      <c r="B176" s="714"/>
      <c r="C176" s="724"/>
      <c r="D176" s="715"/>
      <c r="E176" s="715"/>
      <c r="F176" s="715"/>
      <c r="G176" s="735"/>
      <c r="H176" s="718"/>
      <c r="I176" s="718"/>
      <c r="J176" s="718"/>
      <c r="K176" s="718"/>
      <c r="L176" s="718"/>
      <c r="M176" s="718"/>
      <c r="N176" s="718"/>
      <c r="O176" s="718"/>
      <c r="P176" s="718"/>
      <c r="Q176" s="716"/>
      <c r="R176" s="716"/>
      <c r="S176" s="716"/>
      <c r="T176" s="716"/>
      <c r="U176" s="735"/>
      <c r="V176" s="735"/>
      <c r="W176" s="735"/>
      <c r="X176" s="735"/>
      <c r="Y176" s="735"/>
      <c r="Z176" s="735"/>
      <c r="AA176" s="735"/>
      <c r="AB176" s="716"/>
      <c r="AC176" s="139"/>
    </row>
    <row r="177" spans="1:29" ht="15.75" collapsed="1" thickBot="1">
      <c r="A177" s="776" t="str">
        <f>G177</f>
        <v>Total Cost</v>
      </c>
      <c r="B177" s="714"/>
      <c r="C177" s="724"/>
      <c r="D177" s="715"/>
      <c r="E177" s="715"/>
      <c r="F177" s="714"/>
      <c r="G177" s="738" t="s">
        <v>614</v>
      </c>
      <c r="H177" s="608"/>
      <c r="I177" s="608"/>
      <c r="J177" s="608"/>
      <c r="K177" s="608"/>
      <c r="L177" s="608"/>
      <c r="M177" s="608"/>
      <c r="N177" s="608"/>
      <c r="O177" s="608"/>
      <c r="P177" s="608"/>
      <c r="Q177" s="716"/>
      <c r="R177" s="716"/>
      <c r="S177" s="716"/>
      <c r="T177" s="716"/>
      <c r="U177" s="764">
        <f ca="1">U168+SUM(U171:U175)</f>
        <v>6866086.7236263659</v>
      </c>
      <c r="V177" s="765">
        <f t="shared" ref="V177:AA177" ca="1" si="130">V168+SUM(V171:V175)</f>
        <v>7242411.2268499359</v>
      </c>
      <c r="W177" s="765">
        <f t="shared" ca="1" si="130"/>
        <v>7420692.9625723194</v>
      </c>
      <c r="X177" s="765">
        <f t="shared" ca="1" si="130"/>
        <v>8607995.3874582518</v>
      </c>
      <c r="Y177" s="765">
        <f t="shared" ca="1" si="130"/>
        <v>8873513.2825855948</v>
      </c>
      <c r="Z177" s="765">
        <f t="shared" ca="1" si="130"/>
        <v>8151371.3693533354</v>
      </c>
      <c r="AA177" s="766">
        <f t="shared" ca="1" si="130"/>
        <v>8377853.9284831611</v>
      </c>
      <c r="AB177" s="716"/>
      <c r="AC177" s="139"/>
    </row>
    <row r="178" spans="1:29" ht="15.75" thickBot="1">
      <c r="A178" s="776" t="str">
        <f>G178</f>
        <v>Total Cost per Pupil</v>
      </c>
      <c r="B178" s="714"/>
      <c r="C178" s="724"/>
      <c r="D178" s="715"/>
      <c r="E178" s="715"/>
      <c r="F178" s="714"/>
      <c r="G178" s="472" t="s">
        <v>615</v>
      </c>
      <c r="H178" s="608"/>
      <c r="I178" s="608"/>
      <c r="J178" s="608"/>
      <c r="K178" s="608"/>
      <c r="L178" s="608"/>
      <c r="M178" s="608"/>
      <c r="N178" s="608"/>
      <c r="O178" s="608"/>
      <c r="P178" s="608"/>
      <c r="Q178" s="716"/>
      <c r="R178" s="716"/>
      <c r="S178" s="716"/>
      <c r="T178" s="716"/>
      <c r="U178" s="767">
        <f t="shared" ref="U178:AA178" ca="1" si="131">U177/$H$2</f>
        <v>19072.463121184348</v>
      </c>
      <c r="V178" s="768">
        <f t="shared" ca="1" si="131"/>
        <v>20117.808963472045</v>
      </c>
      <c r="W178" s="768">
        <f t="shared" ca="1" si="131"/>
        <v>20613.036007145332</v>
      </c>
      <c r="X178" s="768">
        <f t="shared" ca="1" si="131"/>
        <v>23911.098298495144</v>
      </c>
      <c r="Y178" s="768">
        <f t="shared" ca="1" si="131"/>
        <v>24648.648007182208</v>
      </c>
      <c r="Z178" s="768">
        <f t="shared" ca="1" si="131"/>
        <v>22642.698248203709</v>
      </c>
      <c r="AA178" s="769">
        <f t="shared" ca="1" si="131"/>
        <v>23271.816468008779</v>
      </c>
      <c r="AB178" s="716"/>
      <c r="AC178" s="139"/>
    </row>
    <row r="179" spans="1:29">
      <c r="A179" t="s">
        <v>616</v>
      </c>
      <c r="I179" s="4">
        <f ca="1">U179</f>
        <v>1167.4980509715715</v>
      </c>
      <c r="J179" s="4">
        <f ca="1">V179</f>
        <v>1260.4441906188731</v>
      </c>
      <c r="K179" s="4">
        <f ca="1">W179</f>
        <v>1286.6392925939908</v>
      </c>
      <c r="L179" s="4">
        <f ca="1">X179</f>
        <v>1327.2787582265337</v>
      </c>
      <c r="M179" s="4">
        <f ca="1">Y179</f>
        <v>1384.446638072146</v>
      </c>
      <c r="N179" s="4">
        <f t="shared" ref="N179:O179" ca="1" si="132">Z179</f>
        <v>1437.0454777487612</v>
      </c>
      <c r="O179" s="4">
        <f t="shared" ca="1" si="132"/>
        <v>1492.115405917415</v>
      </c>
      <c r="U179" s="4">
        <f ca="1">U178-U169</f>
        <v>1167.4980509715715</v>
      </c>
      <c r="V179" s="4">
        <f t="shared" ref="V179:AA179" ca="1" si="133">V178-V169</f>
        <v>1260.4441906188731</v>
      </c>
      <c r="W179" s="4">
        <f t="shared" ca="1" si="133"/>
        <v>1286.6392925939908</v>
      </c>
      <c r="X179" s="4">
        <f t="shared" ca="1" si="133"/>
        <v>1327.2787582265337</v>
      </c>
      <c r="Y179" s="4">
        <f t="shared" ca="1" si="133"/>
        <v>1384.446638072146</v>
      </c>
      <c r="Z179" s="4">
        <f t="shared" ca="1" si="133"/>
        <v>1437.0454777487612</v>
      </c>
      <c r="AA179" s="4">
        <f t="shared" ca="1" si="133"/>
        <v>1492.115405917415</v>
      </c>
    </row>
    <row r="180" spans="1:29">
      <c r="H180" s="725"/>
    </row>
    <row r="181" spans="1:29">
      <c r="H181" s="726"/>
      <c r="U181" s="907"/>
      <c r="V181" s="907"/>
      <c r="W181" s="907"/>
      <c r="X181" s="907"/>
      <c r="Y181" s="907"/>
    </row>
    <row r="182" spans="1:29">
      <c r="H182" s="726"/>
      <c r="O182" s="887"/>
    </row>
    <row r="183" spans="1:29">
      <c r="H183" s="726"/>
      <c r="U183" s="4"/>
      <c r="V183" s="4"/>
      <c r="W183" s="4"/>
      <c r="X183" s="4"/>
      <c r="Y183" s="4"/>
    </row>
    <row r="184" spans="1:29">
      <c r="H184" s="726"/>
    </row>
    <row r="185" spans="1:29">
      <c r="H185" s="726"/>
    </row>
    <row r="186" spans="1:29">
      <c r="H186" s="726"/>
    </row>
    <row r="187" spans="1:29">
      <c r="H187" s="726"/>
    </row>
    <row r="188" spans="1:29">
      <c r="H188" s="726"/>
    </row>
    <row r="189" spans="1:29">
      <c r="H189" s="726"/>
    </row>
  </sheetData>
  <sheetProtection algorithmName="SHA-512" hashValue="5W2c3U+6Op8fIKBTVmfhFJmuTIxc5O24bEuEv8wNJdqPig1ieR7JYWd40+69kN5NdekjQ4EkNxotV9PnlS7ROQ==" saltValue="7I2PPc2PHOW5Q7y2ELN0VQ==" spinCount="100000" sheet="1" objects="1" scenarios="1" formatColumns="0" formatRows="0"/>
  <mergeCells count="2">
    <mergeCell ref="U3:AA3"/>
    <mergeCell ref="I3:O3"/>
  </mergeCells>
  <conditionalFormatting sqref="H159 H162">
    <cfRule type="cellIs" dxfId="69" priority="1" operator="equal">
      <formula>0</formula>
    </cfRule>
  </conditionalFormatting>
  <conditionalFormatting sqref="H168:P169">
    <cfRule type="cellIs" dxfId="68" priority="8" operator="equal">
      <formula>0</formula>
    </cfRule>
    <cfRule type="cellIs" dxfId="67" priority="9" operator="equal">
      <formula>0</formula>
    </cfRule>
  </conditionalFormatting>
  <conditionalFormatting sqref="H177:P178">
    <cfRule type="cellIs" dxfId="66" priority="10" operator="equal">
      <formula>0</formula>
    </cfRule>
    <cfRule type="cellIs" dxfId="65" priority="11" operator="equal">
      <formula>0</formula>
    </cfRule>
  </conditionalFormatting>
  <conditionalFormatting sqref="I164:O165">
    <cfRule type="cellIs" dxfId="64" priority="17" operator="equal">
      <formula>0</formula>
    </cfRule>
    <cfRule type="cellIs" dxfId="63" priority="18" operator="equal">
      <formula>0</formula>
    </cfRule>
  </conditionalFormatting>
  <conditionalFormatting sqref="I7:P13">
    <cfRule type="cellIs" dxfId="62" priority="26" operator="equal">
      <formula>0</formula>
    </cfRule>
  </conditionalFormatting>
  <conditionalFormatting sqref="I17:P19">
    <cfRule type="cellIs" dxfId="61" priority="25" operator="equal">
      <formula>0</formula>
    </cfRule>
  </conditionalFormatting>
  <conditionalFormatting sqref="I23:P38 I52:P54 I57:P57 I63:P63 I68:P87 I90:P92 I97:P97 I102:P102 I108:P109 I112:P112 I114:P116 I120:P124 I129:P135 I140:P147 I148:O148">
    <cfRule type="cellIs" dxfId="60" priority="24" operator="equal">
      <formula>0</formula>
    </cfRule>
  </conditionalFormatting>
  <conditionalFormatting sqref="I140:P149">
    <cfRule type="cellIs" dxfId="59" priority="22" operator="equal">
      <formula>0</formula>
    </cfRule>
  </conditionalFormatting>
  <conditionalFormatting sqref="I152:P155">
    <cfRule type="cellIs" dxfId="58" priority="19" operator="equal">
      <formula>0</formula>
    </cfRule>
    <cfRule type="cellIs" dxfId="57" priority="20" operator="equal">
      <formula>0</formula>
    </cfRule>
  </conditionalFormatting>
  <conditionalFormatting sqref="I171:P175">
    <cfRule type="cellIs" dxfId="56" priority="15" operator="equal">
      <formula>0</formula>
    </cfRule>
    <cfRule type="cellIs" dxfId="55" priority="16" operator="equal">
      <formula>0</formula>
    </cfRule>
  </conditionalFormatting>
  <conditionalFormatting sqref="P166">
    <cfRule type="cellIs" dxfId="54" priority="13" operator="equal">
      <formula>0</formula>
    </cfRule>
    <cfRule type="cellIs" dxfId="53" priority="14" operator="equal">
      <formula>0</formula>
    </cfRule>
  </conditionalFormatting>
  <conditionalFormatting sqref="U16:AA19 U23:AA38 U41:AA49 U52:AA54 U57:AA57 U63:AA63 U68:AA87 U90:AA92 U97:AA97 U102:AA102 U108:AA109 U112:AA112 U114:AA116 U120:AA124 U129:AA135">
    <cfRule type="cellIs" dxfId="52" priority="23" operator="equal">
      <formula>0</formula>
    </cfRule>
  </conditionalFormatting>
  <conditionalFormatting sqref="U140:AA140 U142:AA149">
    <cfRule type="cellIs" dxfId="51" priority="21" operator="equal">
      <formula>0</formula>
    </cfRule>
  </conditionalFormatting>
  <conditionalFormatting sqref="U152:AA155">
    <cfRule type="cellIs" dxfId="50" priority="12" operator="equal">
      <formula>0</formula>
    </cfRule>
  </conditionalFormatting>
  <conditionalFormatting sqref="U157:AA162">
    <cfRule type="cellIs" dxfId="49" priority="2" operator="equal">
      <formula>0</formula>
    </cfRule>
  </conditionalFormatting>
  <conditionalFormatting sqref="U171:AA175">
    <cfRule type="cellIs" dxfId="48" priority="3" operator="equal">
      <formula>0</formula>
    </cfRule>
  </conditionalFormatting>
  <dataValidations disablePrompts="1" count="1">
    <dataValidation type="list" allowBlank="1" showInputMessage="1" showErrorMessage="1" sqref="F3" xr:uid="{00000000-0002-0000-0E00-000000000000}">
      <formula1>$B$3:$B$5</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sheetPr>
  <dimension ref="A1:AD189"/>
  <sheetViews>
    <sheetView topLeftCell="A2" zoomScaleNormal="100" workbookViewId="0">
      <pane xSplit="8" ySplit="5" topLeftCell="I7" activePane="bottomRight" state="frozen"/>
      <selection pane="topRight"/>
      <selection pane="bottomLeft"/>
      <selection pane="bottomRight"/>
    </sheetView>
  </sheetViews>
  <sheetFormatPr defaultColWidth="12.7109375" defaultRowHeight="15" outlineLevelRow="1" outlineLevelCol="1"/>
  <cols>
    <col min="1" max="1" width="7.85546875" hidden="1" customWidth="1" outlineLevel="1"/>
    <col min="2" max="2" width="30" style="63" hidden="1" customWidth="1" outlineLevel="1"/>
    <col min="3" max="3" width="21.7109375" style="63" hidden="1" customWidth="1" outlineLevel="1"/>
    <col min="4" max="4" width="24.42578125" style="63" hidden="1" customWidth="1" outlineLevel="1"/>
    <col min="5" max="5" width="6.28515625" style="63" hidden="1" customWidth="1" outlineLevel="1"/>
    <col min="6" max="6" width="10.7109375" style="63" hidden="1" customWidth="1" outlineLevel="1"/>
    <col min="7" max="7" width="55" style="62" bestFit="1" customWidth="1" collapsed="1"/>
    <col min="8" max="8" width="58.85546875" customWidth="1"/>
    <col min="9" max="13" width="9.140625" bestFit="1" customWidth="1"/>
    <col min="14" max="15" width="9.5703125" bestFit="1" customWidth="1"/>
    <col min="16" max="16" width="12.140625" customWidth="1"/>
    <col min="17" max="17" width="24.42578125" hidden="1" customWidth="1" outlineLevel="1"/>
    <col min="18" max="18" width="9.5703125" hidden="1" customWidth="1" outlineLevel="1"/>
    <col min="19" max="19" width="25.28515625" hidden="1" customWidth="1" outlineLevel="1"/>
    <col min="20" max="20" width="54.85546875" hidden="1" customWidth="1" outlineLevel="1"/>
    <col min="21" max="21" width="13.42578125" bestFit="1" customWidth="1" collapsed="1"/>
    <col min="22" max="22" width="13.42578125" bestFit="1" customWidth="1"/>
    <col min="23" max="23" width="13.85546875" bestFit="1" customWidth="1"/>
    <col min="24" max="24" width="13.42578125" bestFit="1" customWidth="1"/>
    <col min="25" max="27" width="13.85546875" bestFit="1" customWidth="1"/>
    <col min="28" max="28" width="6.140625" hidden="1" customWidth="1" outlineLevel="1"/>
    <col min="29" max="29" width="2.5703125" hidden="1" customWidth="1" outlineLevel="1"/>
    <col min="30" max="30" width="12.7109375" collapsed="1"/>
  </cols>
  <sheetData>
    <row r="1" spans="1:29" ht="15.95" hidden="1" customHeight="1" outlineLevel="1" thickBot="1">
      <c r="A1" s="175"/>
      <c r="B1" s="175"/>
      <c r="C1" s="175"/>
      <c r="D1" s="143"/>
      <c r="E1" s="143"/>
      <c r="F1" s="143"/>
      <c r="G1" s="467"/>
      <c r="H1" s="468"/>
      <c r="I1" s="131"/>
      <c r="J1" s="131"/>
      <c r="K1" s="131"/>
      <c r="L1" s="131"/>
      <c r="M1" s="131"/>
      <c r="N1" s="131"/>
      <c r="O1" s="131"/>
      <c r="P1" s="131"/>
      <c r="Q1" s="481"/>
      <c r="R1" s="481"/>
      <c r="S1" s="131"/>
      <c r="T1" s="131"/>
      <c r="U1" s="131"/>
      <c r="V1" s="131"/>
      <c r="W1" s="131"/>
      <c r="X1" s="131"/>
      <c r="Y1" s="131"/>
      <c r="Z1" s="131"/>
      <c r="AA1" s="131"/>
      <c r="AB1" s="518"/>
      <c r="AC1" s="139"/>
    </row>
    <row r="2" spans="1:29" ht="15.75" collapsed="1" thickBot="1">
      <c r="A2" s="175"/>
      <c r="B2" s="175"/>
      <c r="C2" s="175" t="s">
        <v>356</v>
      </c>
      <c r="D2" s="144"/>
      <c r="E2" s="144"/>
      <c r="F2" s="290"/>
      <c r="G2" s="470" t="s">
        <v>357</v>
      </c>
      <c r="H2" s="469">
        <f>VLOOKUP($F$3, $B$2:$C$5, MATCH("School Size", $B$2:$C$2,0),0)</f>
        <v>500</v>
      </c>
      <c r="I2" s="466"/>
      <c r="J2" s="465"/>
      <c r="K2" s="465"/>
      <c r="L2" s="310"/>
      <c r="M2" s="310"/>
      <c r="N2" s="310"/>
      <c r="O2" s="310"/>
      <c r="P2" s="310"/>
      <c r="Q2" s="482"/>
      <c r="R2" s="482"/>
      <c r="S2" s="128"/>
      <c r="T2" s="128"/>
      <c r="U2" s="526"/>
      <c r="V2" s="526"/>
      <c r="W2" s="526"/>
      <c r="X2" s="526"/>
      <c r="Y2" s="526"/>
      <c r="Z2" s="526"/>
      <c r="AA2" s="526"/>
      <c r="AB2" s="518"/>
      <c r="AC2" s="139"/>
    </row>
    <row r="3" spans="1:29" ht="15" customHeight="1">
      <c r="A3" s="175"/>
      <c r="B3" s="174" t="s">
        <v>99</v>
      </c>
      <c r="C3" s="181">
        <f>VLOOKUP($B3, '9.ComputerAssumptions'!$A$2:$B$5, MATCH($C$2, '9.ComputerAssumptions'!$A$2:$B$2,0),0)</f>
        <v>360</v>
      </c>
      <c r="D3" s="144"/>
      <c r="E3" s="144"/>
      <c r="F3" s="290" t="s">
        <v>100</v>
      </c>
      <c r="G3" s="471" t="str">
        <f>$F$3 &amp; " School"</f>
        <v>Middle School</v>
      </c>
      <c r="H3" s="1232" t="s">
        <v>358</v>
      </c>
      <c r="I3" s="1236" t="s">
        <v>359</v>
      </c>
      <c r="J3" s="1236"/>
      <c r="K3" s="1236"/>
      <c r="L3" s="1236"/>
      <c r="M3" s="1236"/>
      <c r="N3" s="1236"/>
      <c r="O3" s="1237"/>
      <c r="P3" s="560"/>
      <c r="Q3" s="483"/>
      <c r="R3" s="483"/>
      <c r="S3" s="129"/>
      <c r="T3" s="525"/>
      <c r="U3" s="1238" t="s">
        <v>360</v>
      </c>
      <c r="V3" s="1239"/>
      <c r="W3" s="1239"/>
      <c r="X3" s="1239"/>
      <c r="Y3" s="1239"/>
      <c r="Z3" s="1239"/>
      <c r="AA3" s="1240"/>
      <c r="AB3" s="518"/>
      <c r="AC3" s="139"/>
    </row>
    <row r="4" spans="1:29" ht="26.25" thickBot="1">
      <c r="A4" s="175"/>
      <c r="B4" s="174" t="s">
        <v>100</v>
      </c>
      <c r="C4" s="181">
        <f>VLOOKUP($B4, '9.ComputerAssumptions'!$A$2:$B$5, MATCH($C$2, '9.ComputerAssumptions'!$A$2:$B$2,0),0)</f>
        <v>500</v>
      </c>
      <c r="D4" s="145"/>
      <c r="E4" s="145"/>
      <c r="F4" s="464"/>
      <c r="G4" s="472" t="s">
        <v>361</v>
      </c>
      <c r="H4" s="1233"/>
      <c r="I4" s="227" t="str">
        <f>'1.Years'!A7</f>
        <v>2022-23</v>
      </c>
      <c r="J4" s="227" t="str">
        <f>'1.Years'!B7</f>
        <v>2023-24</v>
      </c>
      <c r="K4" s="227" t="str">
        <f>'1.Years'!C7</f>
        <v>2024-25</v>
      </c>
      <c r="L4" s="227" t="str">
        <f>'1.Years'!D7</f>
        <v>2025-26</v>
      </c>
      <c r="M4" s="227" t="str">
        <f>'1.Years'!E7</f>
        <v>2026-27</v>
      </c>
      <c r="N4" s="227" t="str">
        <f>'1.Years'!F7</f>
        <v>2027-28</v>
      </c>
      <c r="O4" s="303" t="str">
        <f>'1.Years'!G7</f>
        <v>2028-29</v>
      </c>
      <c r="P4" s="561" t="s">
        <v>362</v>
      </c>
      <c r="Q4" s="484"/>
      <c r="R4" s="484"/>
      <c r="S4" s="129"/>
      <c r="T4" s="525"/>
      <c r="U4" s="527" t="str">
        <f t="shared" ref="U4:Z4" si="0">I4</f>
        <v>2022-23</v>
      </c>
      <c r="V4" s="228" t="str">
        <f t="shared" si="0"/>
        <v>2023-24</v>
      </c>
      <c r="W4" s="228" t="str">
        <f t="shared" si="0"/>
        <v>2024-25</v>
      </c>
      <c r="X4" s="228" t="str">
        <f t="shared" si="0"/>
        <v>2025-26</v>
      </c>
      <c r="Y4" s="228" t="str">
        <f t="shared" si="0"/>
        <v>2026-27</v>
      </c>
      <c r="Z4" s="228" t="str">
        <f t="shared" si="0"/>
        <v>2027-28</v>
      </c>
      <c r="AA4" s="528" t="str">
        <f>O4</f>
        <v>2028-29</v>
      </c>
      <c r="AB4" s="519"/>
      <c r="AC4" s="139"/>
    </row>
    <row r="5" spans="1:29" ht="15" hidden="1" customHeight="1" outlineLevel="1">
      <c r="A5" s="175"/>
      <c r="B5" s="182" t="s">
        <v>101</v>
      </c>
      <c r="C5" s="181">
        <f>VLOOKUP($B5, '9.ComputerAssumptions'!$A$2:$B$5, MATCH($C$2, '9.ComputerAssumptions'!$A$2:$B$2,0),0)</f>
        <v>1000</v>
      </c>
      <c r="D5" s="131"/>
      <c r="E5" s="131"/>
      <c r="F5" s="131"/>
      <c r="G5" s="222"/>
      <c r="H5" s="223"/>
      <c r="I5" s="224"/>
      <c r="J5" s="224"/>
      <c r="K5" s="224"/>
      <c r="L5" s="224"/>
      <c r="M5" s="224"/>
      <c r="N5" s="224"/>
      <c r="O5" s="224"/>
      <c r="P5" s="224"/>
      <c r="Q5" s="485"/>
      <c r="R5" s="485"/>
      <c r="S5" s="131"/>
      <c r="T5" s="132"/>
      <c r="U5" s="225"/>
      <c r="V5" s="226"/>
      <c r="W5" s="226"/>
      <c r="X5" s="226"/>
      <c r="Y5" s="226"/>
      <c r="Z5" s="226"/>
      <c r="AA5" s="226"/>
      <c r="AB5" s="520"/>
      <c r="AC5" s="139"/>
    </row>
    <row r="6" spans="1:29" ht="15.95" hidden="1" customHeight="1" outlineLevel="1" thickBot="1">
      <c r="A6" s="146"/>
      <c r="B6" s="146"/>
      <c r="C6" s="147"/>
      <c r="D6" s="133"/>
      <c r="E6" s="133"/>
      <c r="F6" s="133"/>
      <c r="G6" s="233"/>
      <c r="H6" s="239"/>
      <c r="I6" s="244"/>
      <c r="J6" s="244"/>
      <c r="K6" s="244"/>
      <c r="L6" s="244"/>
      <c r="M6" s="244"/>
      <c r="N6" s="244"/>
      <c r="O6" s="244"/>
      <c r="P6" s="244"/>
      <c r="Q6" s="486"/>
      <c r="R6" s="486"/>
      <c r="S6" s="133"/>
      <c r="T6" s="134"/>
      <c r="U6" s="257"/>
      <c r="V6" s="258"/>
      <c r="W6" s="258"/>
      <c r="X6" s="258"/>
      <c r="Y6" s="258"/>
      <c r="Z6" s="258"/>
      <c r="AA6" s="258"/>
      <c r="AB6" s="254"/>
      <c r="AC6" s="139"/>
    </row>
    <row r="7" spans="1:29" collapsed="1">
      <c r="A7" s="146"/>
      <c r="B7" s="148" t="s">
        <v>363</v>
      </c>
      <c r="C7" s="147"/>
      <c r="D7" s="147" t="s">
        <v>364</v>
      </c>
      <c r="E7" s="147"/>
      <c r="F7" s="229"/>
      <c r="G7" s="235" t="s">
        <v>365</v>
      </c>
      <c r="H7" s="241">
        <f t="shared" ref="H7:H13" ca="1" si="1">INDEX(INDIRECT($S$7 &amp; $S$8), MATCH($T7, INDIRECT($S$7 &amp; $S$9), 0), MATCH(I$4, INDIRECT($S$7 &amp; $S$10), 0))</f>
        <v>73300</v>
      </c>
      <c r="I7" s="246">
        <f t="shared" ref="I7:O12" ca="1" si="2">INDEX(INDIRECT($B$7 &amp; $B$8), MATCH($D7, INDIRECT($B$7 &amp; $B$9), 0), MATCH(I$4, INDIRECT($B$7 &amp; $B$10), 0))</f>
        <v>4.3937732328771073E-2</v>
      </c>
      <c r="J7" s="247">
        <f t="shared" ca="1" si="2"/>
        <v>5.2675379955796853E-2</v>
      </c>
      <c r="K7" s="247">
        <f t="shared" ca="1" si="2"/>
        <v>3.1813178496871153E-2</v>
      </c>
      <c r="L7" s="247">
        <f t="shared" ca="1" si="2"/>
        <v>5.0975250926298177E-2</v>
      </c>
      <c r="M7" s="247">
        <f t="shared" ca="1" si="2"/>
        <v>3.4001816617267533E-2</v>
      </c>
      <c r="N7" s="247">
        <f t="shared" ca="1" si="2"/>
        <v>3.4883317729463625E-2</v>
      </c>
      <c r="O7" s="304">
        <f t="shared" ca="1" si="2"/>
        <v>3.5773719774389923E-2</v>
      </c>
      <c r="P7" s="562"/>
      <c r="Q7" s="1171"/>
      <c r="R7" s="1171"/>
      <c r="S7" s="134" t="s">
        <v>363</v>
      </c>
      <c r="T7" s="253" t="s">
        <v>366</v>
      </c>
      <c r="U7" s="259">
        <f t="shared" ref="U7:U12" ca="1" si="3">INDEX(INDIRECT($S$7 &amp; $S$8), MATCH($T7, INDIRECT($S$7 &amp; $S$9), 0), MATCH(U$4, INDIRECT($S$7 &amp; $S$10), 0))</f>
        <v>73300</v>
      </c>
      <c r="V7" s="260">
        <f t="shared" ref="V7:Z12" ca="1" si="4">U7*(1+J7)</f>
        <v>77161.105350759914</v>
      </c>
      <c r="W7" s="260">
        <f t="shared" ca="1" si="4"/>
        <v>79615.845368299517</v>
      </c>
      <c r="X7" s="260">
        <f t="shared" ca="1" si="4"/>
        <v>83674.283063657946</v>
      </c>
      <c r="Y7" s="260">
        <f t="shared" ca="1" si="4"/>
        <v>86519.360691969778</v>
      </c>
      <c r="Z7" s="260">
        <f t="shared" ca="1" si="4"/>
        <v>89537.443040737824</v>
      </c>
      <c r="AA7" s="261">
        <f t="shared" ref="AA7:AA12" ca="1" si="5">Z7*(1+O7)</f>
        <v>92740.530437392576</v>
      </c>
      <c r="AB7" s="254"/>
      <c r="AC7" s="139"/>
    </row>
    <row r="8" spans="1:29">
      <c r="A8" s="146"/>
      <c r="B8" s="148" t="s">
        <v>367</v>
      </c>
      <c r="C8" s="147"/>
      <c r="D8" s="147" t="s">
        <v>368</v>
      </c>
      <c r="E8" s="147"/>
      <c r="F8" s="229"/>
      <c r="G8" s="236" t="s">
        <v>369</v>
      </c>
      <c r="H8" s="242">
        <f t="shared" ca="1" si="1"/>
        <v>127310</v>
      </c>
      <c r="I8" s="249">
        <f t="shared" ca="1" si="2"/>
        <v>4.6108965403895086E-2</v>
      </c>
      <c r="J8" s="105">
        <f t="shared" ca="1" si="2"/>
        <v>4.3063290940369647E-2</v>
      </c>
      <c r="K8" s="105">
        <f t="shared" ca="1" si="2"/>
        <v>2.9099999999999904E-2</v>
      </c>
      <c r="L8" s="105">
        <f t="shared" ca="1" si="2"/>
        <v>4.6183059999999942E-2</v>
      </c>
      <c r="M8" s="105">
        <f t="shared" ca="1" si="2"/>
        <v>2.9100000000000792E-2</v>
      </c>
      <c r="N8" s="105">
        <f t="shared" ca="1" si="2"/>
        <v>2.9099999999998793E-2</v>
      </c>
      <c r="O8" s="305">
        <f t="shared" ca="1" si="2"/>
        <v>2.9100000000002124E-2</v>
      </c>
      <c r="P8" s="563"/>
      <c r="Q8" s="121"/>
      <c r="R8" s="121"/>
      <c r="S8" s="134" t="s">
        <v>367</v>
      </c>
      <c r="T8" s="253" t="s">
        <v>370</v>
      </c>
      <c r="U8" s="67">
        <f t="shared" ca="1" si="3"/>
        <v>127310</v>
      </c>
      <c r="V8" s="23">
        <f t="shared" ca="1" si="4"/>
        <v>132792.38756961847</v>
      </c>
      <c r="W8" s="23">
        <f t="shared" ca="1" si="4"/>
        <v>136656.64604789435</v>
      </c>
      <c r="X8" s="23">
        <f t="shared" ca="1" si="4"/>
        <v>142967.86813172302</v>
      </c>
      <c r="Y8" s="23">
        <f t="shared" ca="1" si="4"/>
        <v>147128.23309435628</v>
      </c>
      <c r="Z8" s="23">
        <f t="shared" ca="1" si="4"/>
        <v>151409.66467740189</v>
      </c>
      <c r="AA8" s="24">
        <f t="shared" ca="1" si="5"/>
        <v>155815.6859195146</v>
      </c>
      <c r="AB8" s="254"/>
      <c r="AC8" s="139"/>
    </row>
    <row r="9" spans="1:29">
      <c r="A9" s="146"/>
      <c r="B9" s="148" t="s">
        <v>371</v>
      </c>
      <c r="C9" s="147"/>
      <c r="D9" s="147" t="s">
        <v>372</v>
      </c>
      <c r="E9" s="147"/>
      <c r="F9" s="229"/>
      <c r="G9" s="236" t="s">
        <v>373</v>
      </c>
      <c r="H9" s="242">
        <f t="shared" ca="1" si="1"/>
        <v>117910</v>
      </c>
      <c r="I9" s="249">
        <f t="shared" ca="1" si="2"/>
        <v>5.4464477355655738E-2</v>
      </c>
      <c r="J9" s="105">
        <f t="shared" ca="1" si="2"/>
        <v>3.8522212610045292E-2</v>
      </c>
      <c r="K9" s="105">
        <f t="shared" ca="1" si="2"/>
        <v>2.6499999999999968E-2</v>
      </c>
      <c r="L9" s="105">
        <f t="shared" ca="1" si="2"/>
        <v>4.6516750000000107E-2</v>
      </c>
      <c r="M9" s="105">
        <f t="shared" ca="1" si="2"/>
        <v>2.6499999999999746E-2</v>
      </c>
      <c r="N9" s="105">
        <f t="shared" ca="1" si="2"/>
        <v>2.6499999999999524E-2</v>
      </c>
      <c r="O9" s="305">
        <f t="shared" ca="1" si="2"/>
        <v>2.6499999999996859E-2</v>
      </c>
      <c r="P9" s="563"/>
      <c r="Q9" s="121"/>
      <c r="R9" s="121"/>
      <c r="S9" s="134" t="s">
        <v>371</v>
      </c>
      <c r="T9" s="253" t="s">
        <v>374</v>
      </c>
      <c r="U9" s="67">
        <f t="shared" ca="1" si="3"/>
        <v>117910</v>
      </c>
      <c r="V9" s="23">
        <f t="shared" ca="1" si="4"/>
        <v>122452.15408885044</v>
      </c>
      <c r="W9" s="23">
        <f t="shared" ca="1" si="4"/>
        <v>125697.13617220498</v>
      </c>
      <c r="X9" s="23">
        <f t="shared" ca="1" si="4"/>
        <v>131544.15843124341</v>
      </c>
      <c r="Y9" s="23">
        <f t="shared" ca="1" si="4"/>
        <v>135030.07862967133</v>
      </c>
      <c r="Z9" s="23">
        <f t="shared" ca="1" si="4"/>
        <v>138608.37571335756</v>
      </c>
      <c r="AA9" s="24">
        <f t="shared" ca="1" si="5"/>
        <v>142281.4976697611</v>
      </c>
      <c r="AB9" s="254"/>
      <c r="AC9" s="139"/>
    </row>
    <row r="10" spans="1:29">
      <c r="A10" s="146"/>
      <c r="B10" s="148" t="s">
        <v>375</v>
      </c>
      <c r="C10" s="147"/>
      <c r="D10" s="147" t="s">
        <v>364</v>
      </c>
      <c r="E10" s="147"/>
      <c r="F10" s="229"/>
      <c r="G10" s="236" t="s">
        <v>376</v>
      </c>
      <c r="H10" s="242">
        <f t="shared" ca="1" si="1"/>
        <v>74785.188193197333</v>
      </c>
      <c r="I10" s="249">
        <f t="shared" ca="1" si="2"/>
        <v>4.3937732328771073E-2</v>
      </c>
      <c r="J10" s="105">
        <f t="shared" ca="1" si="2"/>
        <v>5.2675379955796853E-2</v>
      </c>
      <c r="K10" s="105">
        <f t="shared" ca="1" si="2"/>
        <v>3.1813178496871153E-2</v>
      </c>
      <c r="L10" s="105">
        <f t="shared" ca="1" si="2"/>
        <v>5.0975250926298177E-2</v>
      </c>
      <c r="M10" s="105">
        <f t="shared" ca="1" si="2"/>
        <v>3.4001816617267533E-2</v>
      </c>
      <c r="N10" s="105">
        <f t="shared" ca="1" si="2"/>
        <v>3.4883317729463625E-2</v>
      </c>
      <c r="O10" s="305">
        <f t="shared" ca="1" si="2"/>
        <v>3.5773719774389923E-2</v>
      </c>
      <c r="P10" s="563"/>
      <c r="Q10" s="121"/>
      <c r="R10" s="121"/>
      <c r="S10" s="134" t="s">
        <v>375</v>
      </c>
      <c r="T10" s="253" t="s">
        <v>377</v>
      </c>
      <c r="U10" s="67">
        <f t="shared" ca="1" si="3"/>
        <v>74785.188193197333</v>
      </c>
      <c r="V10" s="23">
        <f t="shared" ca="1" si="4"/>
        <v>78724.526396339774</v>
      </c>
      <c r="W10" s="23">
        <f t="shared" ca="1" si="4"/>
        <v>81229.003806668174</v>
      </c>
      <c r="X10" s="23">
        <f t="shared" ca="1" si="4"/>
        <v>85369.672658206313</v>
      </c>
      <c r="Y10" s="23">
        <f t="shared" ca="1" si="4"/>
        <v>88272.396612606797</v>
      </c>
      <c r="Z10" s="23">
        <f t="shared" ca="1" si="4"/>
        <v>91351.630670385595</v>
      </c>
      <c r="AA10" s="24">
        <f t="shared" ca="1" si="5"/>
        <v>94619.618306921533</v>
      </c>
      <c r="AB10" s="254"/>
      <c r="AC10" s="139"/>
    </row>
    <row r="11" spans="1:29">
      <c r="A11" s="146"/>
      <c r="B11" s="149"/>
      <c r="C11" s="149"/>
      <c r="D11" s="147" t="s">
        <v>378</v>
      </c>
      <c r="E11" s="147"/>
      <c r="F11" s="229"/>
      <c r="G11" s="236" t="s">
        <v>379</v>
      </c>
      <c r="H11" s="243">
        <f t="shared" ca="1" si="1"/>
        <v>22.976859199438202</v>
      </c>
      <c r="I11" s="249">
        <f t="shared" ca="1" si="2"/>
        <v>8.1000000000000072E-2</v>
      </c>
      <c r="J11" s="105">
        <f t="shared" ca="1" si="2"/>
        <v>4.3834138486312457E-2</v>
      </c>
      <c r="K11" s="105">
        <f t="shared" ca="1" si="2"/>
        <v>2.8486102532427338E-2</v>
      </c>
      <c r="L11" s="105">
        <f t="shared" ca="1" si="2"/>
        <v>2.2641118124436477E-2</v>
      </c>
      <c r="M11" s="105">
        <f t="shared" ca="1" si="2"/>
        <v>2.5124742571344671E-2</v>
      </c>
      <c r="N11" s="105">
        <f t="shared" ca="1" si="2"/>
        <v>2.5992818155702424E-2</v>
      </c>
      <c r="O11" s="305">
        <f t="shared" ca="1" si="2"/>
        <v>2.4542600896860889E-2</v>
      </c>
      <c r="P11" s="563"/>
      <c r="Q11" s="121"/>
      <c r="R11" s="121"/>
      <c r="S11" s="133"/>
      <c r="T11" s="253" t="s">
        <v>380</v>
      </c>
      <c r="U11" s="67">
        <f t="shared" ca="1" si="3"/>
        <v>22.976859199438202</v>
      </c>
      <c r="V11" s="23">
        <f t="shared" ca="1" si="4"/>
        <v>23.984030027566881</v>
      </c>
      <c r="W11" s="23">
        <f t="shared" ca="1" si="4"/>
        <v>24.66724156607297</v>
      </c>
      <c r="X11" s="23">
        <f t="shared" ca="1" si="4"/>
        <v>25.22573549617444</v>
      </c>
      <c r="Y11" s="23">
        <f t="shared" ca="1" si="4"/>
        <v>25.859525606688656</v>
      </c>
      <c r="Z11" s="23">
        <f t="shared" ca="1" si="4"/>
        <v>26.531687553376042</v>
      </c>
      <c r="AA11" s="24">
        <f t="shared" ca="1" si="5"/>
        <v>27.182844172118763</v>
      </c>
      <c r="AB11" s="254"/>
      <c r="AC11" s="139"/>
    </row>
    <row r="12" spans="1:29">
      <c r="A12" s="146"/>
      <c r="B12" s="149"/>
      <c r="C12" s="149"/>
      <c r="D12" s="147" t="s">
        <v>378</v>
      </c>
      <c r="E12" s="147"/>
      <c r="F12" s="229"/>
      <c r="G12" s="236" t="s">
        <v>381</v>
      </c>
      <c r="H12" s="243">
        <f t="shared" ca="1" si="1"/>
        <v>19.060954773869348</v>
      </c>
      <c r="I12" s="249">
        <f t="shared" ca="1" si="2"/>
        <v>8.1000000000000072E-2</v>
      </c>
      <c r="J12" s="105">
        <f t="shared" ca="1" si="2"/>
        <v>4.3834138486312457E-2</v>
      </c>
      <c r="K12" s="105">
        <f t="shared" ca="1" si="2"/>
        <v>2.8486102532427338E-2</v>
      </c>
      <c r="L12" s="105">
        <f t="shared" ca="1" si="2"/>
        <v>2.2641118124436477E-2</v>
      </c>
      <c r="M12" s="105">
        <f t="shared" ca="1" si="2"/>
        <v>2.5124742571344671E-2</v>
      </c>
      <c r="N12" s="105">
        <f t="shared" ca="1" si="2"/>
        <v>2.5992818155702424E-2</v>
      </c>
      <c r="O12" s="305">
        <f t="shared" ca="1" si="2"/>
        <v>2.4542600896860889E-2</v>
      </c>
      <c r="P12" s="563"/>
      <c r="Q12" s="121"/>
      <c r="R12" s="121"/>
      <c r="S12" s="133"/>
      <c r="T12" s="253" t="s">
        <v>382</v>
      </c>
      <c r="U12" s="67">
        <f t="shared" ca="1" si="3"/>
        <v>19.060954773869348</v>
      </c>
      <c r="V12" s="23">
        <f t="shared" ca="1" si="4"/>
        <v>19.896475305108478</v>
      </c>
      <c r="W12" s="23">
        <f t="shared" ca="1" si="4"/>
        <v>20.463248340683709</v>
      </c>
      <c r="X12" s="23">
        <f t="shared" ca="1" si="4"/>
        <v>20.926559163574808</v>
      </c>
      <c r="Y12" s="23">
        <f t="shared" ca="1" si="4"/>
        <v>21.452333575463641</v>
      </c>
      <c r="Z12" s="23">
        <f t="shared" ca="1" si="4"/>
        <v>22.009940181106135</v>
      </c>
      <c r="AA12" s="24">
        <f t="shared" ca="1" si="5"/>
        <v>22.550121358734806</v>
      </c>
      <c r="AB12" s="254"/>
      <c r="AC12" s="139"/>
    </row>
    <row r="13" spans="1:29" ht="15.75" thickBot="1">
      <c r="A13" s="146"/>
      <c r="B13" s="149"/>
      <c r="C13" s="95"/>
      <c r="D13" s="95"/>
      <c r="E13" s="95"/>
      <c r="F13" s="230"/>
      <c r="G13" s="238" t="s">
        <v>383</v>
      </c>
      <c r="H13" s="460">
        <f t="shared" ca="1" si="1"/>
        <v>24.125702159410114</v>
      </c>
      <c r="I13" s="461"/>
      <c r="J13" s="462">
        <f t="shared" ref="J13:O13" ca="1" si="6">V13/U13-1</f>
        <v>4.3834138486312568E-2</v>
      </c>
      <c r="K13" s="462">
        <f t="shared" ca="1" si="6"/>
        <v>2.8486102532427449E-2</v>
      </c>
      <c r="L13" s="462">
        <f t="shared" ca="1" si="6"/>
        <v>2.2641118124436588E-2</v>
      </c>
      <c r="M13" s="462">
        <f t="shared" ca="1" si="6"/>
        <v>2.512474257134456E-2</v>
      </c>
      <c r="N13" s="462">
        <f t="shared" ca="1" si="6"/>
        <v>2.5992818155702313E-2</v>
      </c>
      <c r="O13" s="463">
        <f t="shared" ca="1" si="6"/>
        <v>2.4542600896861E-2</v>
      </c>
      <c r="P13" s="564"/>
      <c r="Q13" s="121"/>
      <c r="R13" s="121"/>
      <c r="S13" s="133"/>
      <c r="T13" s="253" t="s">
        <v>384</v>
      </c>
      <c r="U13" s="252">
        <f ca="1">U11*1.05</f>
        <v>24.125702159410114</v>
      </c>
      <c r="V13" s="65">
        <f t="shared" ref="V13:AA13" ca="1" si="7">V11*1.05</f>
        <v>25.183231528945225</v>
      </c>
      <c r="W13" s="65">
        <f t="shared" ca="1" si="7"/>
        <v>25.90060364437662</v>
      </c>
      <c r="X13" s="65">
        <f t="shared" ca="1" si="7"/>
        <v>26.487022270983164</v>
      </c>
      <c r="Y13" s="65">
        <f t="shared" ca="1" si="7"/>
        <v>27.152501887023089</v>
      </c>
      <c r="Z13" s="65">
        <f t="shared" ca="1" si="7"/>
        <v>27.858271931044843</v>
      </c>
      <c r="AA13" s="68">
        <f t="shared" ca="1" si="7"/>
        <v>28.541986380724701</v>
      </c>
      <c r="AB13" s="254"/>
      <c r="AC13" s="139"/>
    </row>
    <row r="14" spans="1:29" ht="15" hidden="1" customHeight="1" outlineLevel="1">
      <c r="A14" s="146"/>
      <c r="B14" s="149"/>
      <c r="C14" s="95"/>
      <c r="D14" s="95"/>
      <c r="E14" s="95"/>
      <c r="F14" s="230"/>
      <c r="G14" s="459"/>
      <c r="H14" s="124"/>
      <c r="I14" s="123"/>
      <c r="J14" s="123"/>
      <c r="K14" s="123"/>
      <c r="L14" s="123"/>
      <c r="M14" s="123"/>
      <c r="N14" s="123"/>
      <c r="O14" s="123"/>
      <c r="P14" s="123"/>
      <c r="Q14" s="121"/>
      <c r="R14" s="121"/>
      <c r="S14" s="135"/>
      <c r="T14" s="135"/>
      <c r="U14" s="124"/>
      <c r="V14" s="124"/>
      <c r="W14" s="124"/>
      <c r="X14" s="124"/>
      <c r="Y14" s="124"/>
      <c r="Z14" s="124"/>
      <c r="AA14" s="124"/>
      <c r="AB14" s="254"/>
      <c r="AC14" s="139"/>
    </row>
    <row r="15" spans="1:29" ht="15" hidden="1" customHeight="1" outlineLevel="1">
      <c r="A15" s="150"/>
      <c r="B15" s="150"/>
      <c r="C15" s="74"/>
      <c r="D15" s="74"/>
      <c r="E15" s="74"/>
      <c r="F15" s="93"/>
      <c r="G15" s="84"/>
      <c r="H15" s="77"/>
      <c r="I15" s="136"/>
      <c r="J15" s="136"/>
      <c r="K15" s="136"/>
      <c r="L15" s="136"/>
      <c r="M15" s="136"/>
      <c r="N15" s="136"/>
      <c r="O15" s="136"/>
      <c r="P15" s="136"/>
      <c r="Q15" s="487"/>
      <c r="R15" s="487"/>
      <c r="S15" s="98"/>
      <c r="T15" s="98"/>
      <c r="U15" s="77"/>
      <c r="V15" s="77"/>
      <c r="W15" s="77"/>
      <c r="X15" s="77"/>
      <c r="Y15" s="77"/>
      <c r="Z15" s="77"/>
      <c r="AA15" s="77"/>
      <c r="AB15" s="255"/>
      <c r="AC15" s="139"/>
    </row>
    <row r="16" spans="1:29" ht="15.95" hidden="1" customHeight="1" outlineLevel="1" thickBot="1">
      <c r="A16" s="150"/>
      <c r="B16" s="151" t="s">
        <v>385</v>
      </c>
      <c r="C16" s="74"/>
      <c r="D16" s="150"/>
      <c r="E16" s="150"/>
      <c r="F16" s="231"/>
      <c r="G16" s="457"/>
      <c r="H16" s="458"/>
      <c r="I16" s="458"/>
      <c r="J16" s="458"/>
      <c r="K16" s="458"/>
      <c r="L16" s="458"/>
      <c r="M16" s="458"/>
      <c r="N16" s="458"/>
      <c r="O16" s="458"/>
      <c r="P16" s="458"/>
      <c r="Q16" s="488"/>
      <c r="R16" s="488"/>
      <c r="S16" s="137" t="s">
        <v>385</v>
      </c>
      <c r="T16" s="99" t="s">
        <v>386</v>
      </c>
      <c r="U16" s="105">
        <f ca="1">INDEX(INDIRECT($S$16 &amp; $S$17), MATCH($T16, INDIRECT($S$16 &amp; $S$18), 0), MATCH(U$4, INDIRECT($S$16 &amp; $S$19), 0))</f>
        <v>3.4000000000000002E-2</v>
      </c>
      <c r="V16" s="105">
        <f t="shared" ref="V16:AA16" ca="1" si="8">INDEX(INDIRECT($S$16 &amp; $S$17), MATCH($T16, INDIRECT($S$16 &amp; $S$18), 0), MATCH(V$4, INDIRECT($S$16 &amp; $S$19), 0))</f>
        <v>3.4000000000000002E-2</v>
      </c>
      <c r="W16" s="105">
        <f t="shared" ca="1" si="8"/>
        <v>3.4000000000000002E-2</v>
      </c>
      <c r="X16" s="105">
        <f t="shared" ca="1" si="8"/>
        <v>3.4000000000000002E-2</v>
      </c>
      <c r="Y16" s="105">
        <f t="shared" ca="1" si="8"/>
        <v>3.4000000000000002E-2</v>
      </c>
      <c r="Z16" s="105">
        <f t="shared" ca="1" si="8"/>
        <v>3.4000000000000002E-2</v>
      </c>
      <c r="AA16" s="105">
        <f t="shared" ca="1" si="8"/>
        <v>3.4000000000000002E-2</v>
      </c>
      <c r="AB16" s="255"/>
      <c r="AC16" s="139"/>
    </row>
    <row r="17" spans="1:30" collapsed="1">
      <c r="A17" s="150"/>
      <c r="B17" s="151" t="s">
        <v>387</v>
      </c>
      <c r="C17" s="74"/>
      <c r="D17" s="152" t="s">
        <v>388</v>
      </c>
      <c r="E17" s="152"/>
      <c r="F17" s="232"/>
      <c r="G17" s="235" t="s">
        <v>389</v>
      </c>
      <c r="H17" s="235" t="s">
        <v>389</v>
      </c>
      <c r="I17" s="259">
        <f ca="1">INDEX(INDIRECT($B$16 &amp; $B$17), MATCH($D17, INDIRECT($B$16 &amp; $B$18), 0), MATCH(I$4, INDIRECT($B$16 &amp; $B$19), 0))</f>
        <v>18828</v>
      </c>
      <c r="J17" s="279"/>
      <c r="K17" s="279"/>
      <c r="L17" s="279"/>
      <c r="M17" s="279"/>
      <c r="N17" s="279"/>
      <c r="O17" s="308"/>
      <c r="P17" s="241"/>
      <c r="Q17" s="489"/>
      <c r="R17" s="489"/>
      <c r="S17" s="137" t="s">
        <v>390</v>
      </c>
      <c r="T17" s="125"/>
      <c r="U17" s="23">
        <f ca="1">I17</f>
        <v>18828</v>
      </c>
      <c r="V17" s="23">
        <f t="shared" ref="V17:AA17" ca="1" si="9">U17*(1+V16)</f>
        <v>19468.152000000002</v>
      </c>
      <c r="W17" s="23">
        <f t="shared" ca="1" si="9"/>
        <v>20130.069168000002</v>
      </c>
      <c r="X17" s="23">
        <f t="shared" ca="1" si="9"/>
        <v>20814.491519712003</v>
      </c>
      <c r="Y17" s="23">
        <f t="shared" ca="1" si="9"/>
        <v>21522.184231382213</v>
      </c>
      <c r="Z17" s="23">
        <f t="shared" ca="1" si="9"/>
        <v>22253.938495249207</v>
      </c>
      <c r="AA17" s="23">
        <f t="shared" ca="1" si="9"/>
        <v>23010.572404087681</v>
      </c>
      <c r="AB17" s="255"/>
      <c r="AC17" s="139"/>
    </row>
    <row r="18" spans="1:30" s="63" customFormat="1">
      <c r="A18" s="150"/>
      <c r="B18" s="151" t="s">
        <v>391</v>
      </c>
      <c r="C18" s="74"/>
      <c r="D18" s="74" t="s">
        <v>392</v>
      </c>
      <c r="E18" s="74"/>
      <c r="F18" s="93"/>
      <c r="G18" s="237" t="s">
        <v>393</v>
      </c>
      <c r="H18" s="237" t="s">
        <v>393</v>
      </c>
      <c r="I18" s="249">
        <f ca="1">INDEX(INDIRECT($B$16 &amp; $B$17), MATCH($D18, INDIRECT($B$16 &amp; $B$18), 0), MATCH(I$4, INDIRECT($B$16 &amp; $B$19), 0))</f>
        <v>0.34320000000000001</v>
      </c>
      <c r="J18" s="105">
        <f t="shared" ref="J18:O19" ca="1" si="10">INDEX(INDIRECT($B$16 &amp; $B$17), MATCH($D18, INDIRECT($B$16 &amp; $B$18), 0), MATCH(J$4, INDIRECT($B$16 &amp; $B$19), 0))</f>
        <v>0.35339999999999999</v>
      </c>
      <c r="K18" s="105">
        <f t="shared" ca="1" si="10"/>
        <v>0.35339999999999999</v>
      </c>
      <c r="L18" s="105">
        <f t="shared" ca="1" si="10"/>
        <v>0.35010000000000002</v>
      </c>
      <c r="M18" s="105">
        <f t="shared" ca="1" si="10"/>
        <v>0.35010000000000002</v>
      </c>
      <c r="N18" s="105">
        <f t="shared" ca="1" si="10"/>
        <v>0.35010000000000002</v>
      </c>
      <c r="O18" s="305">
        <f t="shared" ca="1" si="10"/>
        <v>0.35010000000000002</v>
      </c>
      <c r="P18" s="565"/>
      <c r="Q18" s="490"/>
      <c r="R18" s="490"/>
      <c r="S18" s="137" t="s">
        <v>394</v>
      </c>
      <c r="T18" s="126"/>
      <c r="U18" s="105">
        <f ca="1">I18</f>
        <v>0.34320000000000001</v>
      </c>
      <c r="V18" s="105">
        <f t="shared" ref="V18:Z19" ca="1" si="11">J18</f>
        <v>0.35339999999999999</v>
      </c>
      <c r="W18" s="105">
        <f t="shared" ca="1" si="11"/>
        <v>0.35339999999999999</v>
      </c>
      <c r="X18" s="105">
        <f t="shared" ca="1" si="11"/>
        <v>0.35010000000000002</v>
      </c>
      <c r="Y18" s="105">
        <f t="shared" ca="1" si="11"/>
        <v>0.35010000000000002</v>
      </c>
      <c r="Z18" s="105">
        <f t="shared" ca="1" si="11"/>
        <v>0.35010000000000002</v>
      </c>
      <c r="AA18" s="105">
        <f ca="1">O18</f>
        <v>0.35010000000000002</v>
      </c>
      <c r="AB18" s="256"/>
      <c r="AC18" s="139"/>
      <c r="AD18"/>
    </row>
    <row r="19" spans="1:30" ht="15.75" thickBot="1">
      <c r="A19" s="150"/>
      <c r="B19" s="151" t="s">
        <v>395</v>
      </c>
      <c r="C19" s="74"/>
      <c r="D19" s="74" t="s">
        <v>396</v>
      </c>
      <c r="E19" s="74"/>
      <c r="F19" s="93"/>
      <c r="G19" s="238" t="s">
        <v>397</v>
      </c>
      <c r="H19" s="238" t="s">
        <v>397</v>
      </c>
      <c r="I19" s="252">
        <f ca="1">INDEX(INDIRECT($B$16 &amp; $B$17), MATCH($D19, INDIRECT($B$16 &amp; $B$18), 0), MATCH(I$4, INDIRECT($B$16 &amp; $B$19), 0))</f>
        <v>420</v>
      </c>
      <c r="J19" s="65">
        <f t="shared" ca="1" si="10"/>
        <v>420</v>
      </c>
      <c r="K19" s="65">
        <f t="shared" ca="1" si="10"/>
        <v>420</v>
      </c>
      <c r="L19" s="65">
        <f t="shared" ca="1" si="10"/>
        <v>420</v>
      </c>
      <c r="M19" s="65">
        <f t="shared" ca="1" si="10"/>
        <v>420</v>
      </c>
      <c r="N19" s="65">
        <f t="shared" ca="1" si="10"/>
        <v>420</v>
      </c>
      <c r="O19" s="307">
        <f t="shared" ca="1" si="10"/>
        <v>420</v>
      </c>
      <c r="P19" s="566"/>
      <c r="Q19" s="489"/>
      <c r="R19" s="489"/>
      <c r="S19" s="137" t="s">
        <v>395</v>
      </c>
      <c r="T19" s="127"/>
      <c r="U19" s="23">
        <f ca="1">I19</f>
        <v>420</v>
      </c>
      <c r="V19" s="23">
        <f t="shared" ca="1" si="11"/>
        <v>420</v>
      </c>
      <c r="W19" s="23">
        <f t="shared" ca="1" si="11"/>
        <v>420</v>
      </c>
      <c r="X19" s="23">
        <f t="shared" ca="1" si="11"/>
        <v>420</v>
      </c>
      <c r="Y19" s="23">
        <f t="shared" ca="1" si="11"/>
        <v>420</v>
      </c>
      <c r="Z19" s="23">
        <f t="shared" ca="1" si="11"/>
        <v>420</v>
      </c>
      <c r="AA19" s="23">
        <f ca="1">O19</f>
        <v>420</v>
      </c>
      <c r="AB19" s="255"/>
      <c r="AC19" s="139"/>
    </row>
    <row r="20" spans="1:30" ht="15" hidden="1" customHeight="1" outlineLevel="1">
      <c r="A20" s="150"/>
      <c r="B20" s="150"/>
      <c r="C20" s="74"/>
      <c r="D20" s="74"/>
      <c r="E20" s="74"/>
      <c r="F20" s="74"/>
      <c r="G20" s="234"/>
      <c r="H20" s="240"/>
      <c r="I20" s="245"/>
      <c r="J20" s="245"/>
      <c r="K20" s="245"/>
      <c r="L20" s="245"/>
      <c r="M20" s="245"/>
      <c r="N20" s="245"/>
      <c r="O20" s="245"/>
      <c r="P20" s="245"/>
      <c r="Q20" s="489"/>
      <c r="R20" s="489"/>
      <c r="S20" s="127"/>
      <c r="T20" s="127"/>
      <c r="U20" s="138"/>
      <c r="V20" s="138"/>
      <c r="W20" s="138"/>
      <c r="X20" s="138"/>
      <c r="Y20" s="138"/>
      <c r="Z20" s="138"/>
      <c r="AA20" s="138"/>
      <c r="AB20" s="255"/>
      <c r="AC20" s="139"/>
    </row>
    <row r="21" spans="1:30" ht="15" hidden="1" customHeight="1" outlineLevel="1">
      <c r="A21" s="162"/>
      <c r="B21" s="161"/>
      <c r="C21" s="162"/>
      <c r="D21" s="162"/>
      <c r="E21" s="162"/>
      <c r="F21" s="162"/>
      <c r="G21" s="163"/>
      <c r="H21" s="164"/>
      <c r="I21" s="165"/>
      <c r="J21" s="165"/>
      <c r="K21" s="165"/>
      <c r="L21" s="165"/>
      <c r="M21" s="165"/>
      <c r="N21" s="165"/>
      <c r="O21" s="165"/>
      <c r="P21" s="165"/>
      <c r="Q21" s="491"/>
      <c r="R21" s="491"/>
      <c r="S21" s="166"/>
      <c r="T21" s="166"/>
      <c r="U21" s="165"/>
      <c r="V21" s="165"/>
      <c r="W21" s="165"/>
      <c r="X21" s="165"/>
      <c r="Y21" s="165"/>
      <c r="Z21" s="165"/>
      <c r="AA21" s="165"/>
      <c r="AB21" s="264"/>
      <c r="AC21" s="139"/>
    </row>
    <row r="22" spans="1:30" ht="15.95" hidden="1" customHeight="1" outlineLevel="1" thickBot="1">
      <c r="A22" s="162"/>
      <c r="B22" s="161"/>
      <c r="C22" s="162"/>
      <c r="D22" s="162"/>
      <c r="E22" s="162"/>
      <c r="F22" s="162"/>
      <c r="G22" s="267"/>
      <c r="H22" s="269"/>
      <c r="I22" s="276"/>
      <c r="J22" s="276"/>
      <c r="K22" s="276"/>
      <c r="L22" s="276"/>
      <c r="M22" s="276"/>
      <c r="N22" s="276"/>
      <c r="O22" s="276"/>
      <c r="P22" s="276"/>
      <c r="Q22" s="491"/>
      <c r="R22" s="491"/>
      <c r="S22" s="167" t="s">
        <v>385</v>
      </c>
      <c r="T22" s="166" t="s">
        <v>44</v>
      </c>
      <c r="U22" s="265">
        <f t="shared" ref="U22:AA22" ca="1" si="12">INDEX(INDIRECT($S$22 &amp; $S$23), MATCH($T22, INDIRECT($S$22 &amp; $S$24), 0), MATCH(U$4, INDIRECT($S$22 &amp; $S$25), 0))</f>
        <v>5.4000000000000003E-3</v>
      </c>
      <c r="V22" s="265">
        <f t="shared" ca="1" si="12"/>
        <v>6.6E-3</v>
      </c>
      <c r="W22" s="265">
        <f t="shared" ca="1" si="12"/>
        <v>6.6E-3</v>
      </c>
      <c r="X22" s="265">
        <f t="shared" ca="1" si="12"/>
        <v>6.6E-3</v>
      </c>
      <c r="Y22" s="265">
        <f t="shared" ca="1" si="12"/>
        <v>6.6E-3</v>
      </c>
      <c r="Z22" s="265">
        <f t="shared" ca="1" si="12"/>
        <v>6.6E-3</v>
      </c>
      <c r="AA22" s="265">
        <f t="shared" ca="1" si="12"/>
        <v>6.6E-3</v>
      </c>
      <c r="AB22" s="264"/>
      <c r="AC22" s="139"/>
    </row>
    <row r="23" spans="1:30" collapsed="1">
      <c r="A23" s="162"/>
      <c r="B23" s="168" t="s">
        <v>398</v>
      </c>
      <c r="C23" s="162" t="s">
        <v>260</v>
      </c>
      <c r="D23" s="162" t="s">
        <v>203</v>
      </c>
      <c r="E23" s="169">
        <f>IF(LEFT($F$3)="E", (1/6)*$H$2,0)</f>
        <v>0</v>
      </c>
      <c r="F23" s="266">
        <f>IF(LEFT($G$3, 1)="E", 1, 0)</f>
        <v>0</v>
      </c>
      <c r="G23" s="1218" t="s">
        <v>399</v>
      </c>
      <c r="H23" s="271" t="s">
        <v>400</v>
      </c>
      <c r="I23" s="278">
        <f t="shared" ref="I23:O23" ca="1" si="13">$F23*IF(VLOOKUP($C23,INDIRECT($B$23 &amp; $B$24), MATCH(I$4,INDIRECT($B$23 &amp; $B$25),0)+6, 0)="Y",$E23/VLOOKUP($D23,INDIRECT($B$23 &amp; $B$24), MATCH(I$4,INDIRECT($B$23 &amp; $B$25),0)+6, 0),(0.5*$E23)/VLOOKUP($D23,INDIRECT($B$23 &amp; $B$24), MATCH(I$4,INDIRECT($B$23 &amp; $B$25),0)+6, 0))</f>
        <v>0</v>
      </c>
      <c r="J23" s="279">
        <f t="shared" ca="1" si="13"/>
        <v>0</v>
      </c>
      <c r="K23" s="279">
        <f t="shared" ca="1" si="13"/>
        <v>0</v>
      </c>
      <c r="L23" s="279">
        <f t="shared" ca="1" si="13"/>
        <v>0</v>
      </c>
      <c r="M23" s="279">
        <f t="shared" ca="1" si="13"/>
        <v>0</v>
      </c>
      <c r="N23" s="279">
        <f t="shared" ca="1" si="13"/>
        <v>0</v>
      </c>
      <c r="O23" s="308">
        <f t="shared" ca="1" si="13"/>
        <v>0</v>
      </c>
      <c r="P23" s="567"/>
      <c r="Q23" s="491"/>
      <c r="R23" s="491"/>
      <c r="S23" s="167" t="s">
        <v>390</v>
      </c>
      <c r="T23" s="262"/>
      <c r="U23" s="259">
        <f t="shared" ref="U23:U32" ca="1" si="14">((U$7*(1+U$18))+U$17+U$19)*I23</f>
        <v>0</v>
      </c>
      <c r="V23" s="260">
        <f t="shared" ref="V23:V32" ca="1" si="15">((V$7*(1+V$18))+V$17+V$19)*J23</f>
        <v>0</v>
      </c>
      <c r="W23" s="260">
        <f t="shared" ref="W23:W32" ca="1" si="16">((W$7*(1+W$18))+W$17+W$19)*K23</f>
        <v>0</v>
      </c>
      <c r="X23" s="260">
        <f t="shared" ref="X23:X32" ca="1" si="17">((X$7*(1+X$18))+X$17+X$19)*L23</f>
        <v>0</v>
      </c>
      <c r="Y23" s="260">
        <f t="shared" ref="Y23:Y32" ca="1" si="18">((Y$7*(1+Y$18))+Y$17+Y$19)*M23</f>
        <v>0</v>
      </c>
      <c r="Z23" s="260">
        <f t="shared" ref="Z23:Z32" ca="1" si="19">((Z$7*(1+Z$18))+Z$17+Z$19)*N23</f>
        <v>0</v>
      </c>
      <c r="AA23" s="261">
        <f t="shared" ref="AA23:AA32" ca="1" si="20">((AA$7*(1+AA$18))+AA$17+AA$19)*O23</f>
        <v>0</v>
      </c>
      <c r="AB23" s="264"/>
      <c r="AC23" s="139">
        <v>1</v>
      </c>
    </row>
    <row r="24" spans="1:30">
      <c r="A24" s="162"/>
      <c r="B24" s="162" t="s">
        <v>401</v>
      </c>
      <c r="C24" s="162" t="s">
        <v>260</v>
      </c>
      <c r="D24" s="162" t="s">
        <v>205</v>
      </c>
      <c r="E24" s="169">
        <f>IF(LEFT($F$3)="E", (1/6)*$H$2, 0)</f>
        <v>0</v>
      </c>
      <c r="F24" s="266">
        <f>IF(LEFT($G$3, 1)="E", 1, 0)</f>
        <v>0</v>
      </c>
      <c r="G24" s="1219"/>
      <c r="H24" s="272" t="s">
        <v>402</v>
      </c>
      <c r="I24" s="281">
        <f t="shared" ref="I24:O26" ca="1" si="21">$F24*$E24/VLOOKUP($D24,INDIRECT($B$23 &amp; $B$24), MATCH(I$4,INDIRECT($B$23 &amp; $B$25),0)+6, 0)</f>
        <v>0</v>
      </c>
      <c r="J24" s="96">
        <f t="shared" ca="1" si="21"/>
        <v>0</v>
      </c>
      <c r="K24" s="96">
        <f t="shared" ca="1" si="21"/>
        <v>0</v>
      </c>
      <c r="L24" s="96">
        <f t="shared" ca="1" si="21"/>
        <v>0</v>
      </c>
      <c r="M24" s="96">
        <f t="shared" ca="1" si="21"/>
        <v>0</v>
      </c>
      <c r="N24" s="96">
        <f t="shared" ca="1" si="21"/>
        <v>0</v>
      </c>
      <c r="O24" s="306">
        <f t="shared" ca="1" si="21"/>
        <v>0</v>
      </c>
      <c r="P24" s="568"/>
      <c r="Q24" s="491"/>
      <c r="R24" s="491"/>
      <c r="S24" s="165" t="s">
        <v>394</v>
      </c>
      <c r="T24" s="263"/>
      <c r="U24" s="67">
        <f t="shared" ca="1" si="14"/>
        <v>0</v>
      </c>
      <c r="V24" s="23">
        <f t="shared" ca="1" si="15"/>
        <v>0</v>
      </c>
      <c r="W24" s="23">
        <f t="shared" ca="1" si="16"/>
        <v>0</v>
      </c>
      <c r="X24" s="23">
        <f t="shared" ca="1" si="17"/>
        <v>0</v>
      </c>
      <c r="Y24" s="23">
        <f t="shared" ca="1" si="18"/>
        <v>0</v>
      </c>
      <c r="Z24" s="23">
        <f t="shared" ca="1" si="19"/>
        <v>0</v>
      </c>
      <c r="AA24" s="24">
        <f t="shared" ca="1" si="20"/>
        <v>0</v>
      </c>
      <c r="AB24" s="264"/>
      <c r="AC24" s="139">
        <v>1</v>
      </c>
    </row>
    <row r="25" spans="1:30">
      <c r="A25" s="162"/>
      <c r="B25" s="162" t="s">
        <v>403</v>
      </c>
      <c r="C25" s="162" t="s">
        <v>260</v>
      </c>
      <c r="D25" s="162" t="s">
        <v>264</v>
      </c>
      <c r="E25" s="169">
        <f>IF(LEFT($F$3)="E", (2/6)*$H$2,0)</f>
        <v>0</v>
      </c>
      <c r="F25" s="266">
        <f>IF(LEFT($G$3, 1)="E", 1, 0)</f>
        <v>0</v>
      </c>
      <c r="G25" s="1219"/>
      <c r="H25" s="272" t="s">
        <v>404</v>
      </c>
      <c r="I25" s="281">
        <f t="shared" ca="1" si="21"/>
        <v>0</v>
      </c>
      <c r="J25" s="96">
        <f t="shared" ca="1" si="21"/>
        <v>0</v>
      </c>
      <c r="K25" s="96">
        <f t="shared" ca="1" si="21"/>
        <v>0</v>
      </c>
      <c r="L25" s="96">
        <f t="shared" ca="1" si="21"/>
        <v>0</v>
      </c>
      <c r="M25" s="96">
        <f t="shared" ca="1" si="21"/>
        <v>0</v>
      </c>
      <c r="N25" s="96">
        <f t="shared" ca="1" si="21"/>
        <v>0</v>
      </c>
      <c r="O25" s="306">
        <f t="shared" ca="1" si="21"/>
        <v>0</v>
      </c>
      <c r="P25" s="568"/>
      <c r="Q25" s="491"/>
      <c r="R25" s="491"/>
      <c r="S25" s="167" t="s">
        <v>395</v>
      </c>
      <c r="T25" s="263"/>
      <c r="U25" s="67">
        <f t="shared" ca="1" si="14"/>
        <v>0</v>
      </c>
      <c r="V25" s="23">
        <f t="shared" ca="1" si="15"/>
        <v>0</v>
      </c>
      <c r="W25" s="23">
        <f t="shared" ca="1" si="16"/>
        <v>0</v>
      </c>
      <c r="X25" s="23">
        <f t="shared" ca="1" si="17"/>
        <v>0</v>
      </c>
      <c r="Y25" s="23">
        <f t="shared" ca="1" si="18"/>
        <v>0</v>
      </c>
      <c r="Z25" s="23">
        <f t="shared" ca="1" si="19"/>
        <v>0</v>
      </c>
      <c r="AA25" s="24">
        <f t="shared" ca="1" si="20"/>
        <v>0</v>
      </c>
      <c r="AB25" s="264"/>
      <c r="AC25" s="139">
        <v>1</v>
      </c>
    </row>
    <row r="26" spans="1:30">
      <c r="A26" s="162"/>
      <c r="B26" s="162"/>
      <c r="C26" s="162" t="s">
        <v>260</v>
      </c>
      <c r="D26" s="162" t="s">
        <v>266</v>
      </c>
      <c r="E26" s="169">
        <f>IF(LEFT($F$3)="E", (2/6)*$H$2, 0)</f>
        <v>0</v>
      </c>
      <c r="F26" s="266">
        <f>IF(LEFT($G$3, 1)="E", 1, 0)</f>
        <v>0</v>
      </c>
      <c r="G26" s="1219"/>
      <c r="H26" s="272" t="s">
        <v>405</v>
      </c>
      <c r="I26" s="281">
        <f t="shared" ca="1" si="21"/>
        <v>0</v>
      </c>
      <c r="J26" s="96">
        <f t="shared" ca="1" si="21"/>
        <v>0</v>
      </c>
      <c r="K26" s="96">
        <f t="shared" ca="1" si="21"/>
        <v>0</v>
      </c>
      <c r="L26" s="96">
        <f t="shared" ca="1" si="21"/>
        <v>0</v>
      </c>
      <c r="M26" s="96">
        <f t="shared" ca="1" si="21"/>
        <v>0</v>
      </c>
      <c r="N26" s="96">
        <f t="shared" ca="1" si="21"/>
        <v>0</v>
      </c>
      <c r="O26" s="306">
        <f t="shared" ca="1" si="21"/>
        <v>0</v>
      </c>
      <c r="P26" s="568"/>
      <c r="Q26" s="491"/>
      <c r="R26" s="491"/>
      <c r="S26" s="491"/>
      <c r="T26" s="263"/>
      <c r="U26" s="67">
        <f t="shared" ca="1" si="14"/>
        <v>0</v>
      </c>
      <c r="V26" s="23">
        <f t="shared" ca="1" si="15"/>
        <v>0</v>
      </c>
      <c r="W26" s="23">
        <f t="shared" ca="1" si="16"/>
        <v>0</v>
      </c>
      <c r="X26" s="23">
        <f t="shared" ca="1" si="17"/>
        <v>0</v>
      </c>
      <c r="Y26" s="23">
        <f t="shared" ca="1" si="18"/>
        <v>0</v>
      </c>
      <c r="Z26" s="23">
        <f t="shared" ca="1" si="19"/>
        <v>0</v>
      </c>
      <c r="AA26" s="24">
        <f t="shared" ca="1" si="20"/>
        <v>0</v>
      </c>
      <c r="AB26" s="264"/>
      <c r="AC26" s="139">
        <v>1</v>
      </c>
    </row>
    <row r="27" spans="1:30" ht="15.75" thickBot="1">
      <c r="A27" s="162"/>
      <c r="B27" s="162"/>
      <c r="C27" s="162" t="s">
        <v>260</v>
      </c>
      <c r="D27" s="162" t="str">
        <f>LEFT($G$3,1) &amp; "S_ProgramStaff"</f>
        <v>MS_ProgramStaff</v>
      </c>
      <c r="E27" s="162"/>
      <c r="F27" s="266">
        <f>IF(LEFT($G$3, 1)="E", 1, 0)</f>
        <v>0</v>
      </c>
      <c r="G27" s="1219"/>
      <c r="H27" s="273" t="s">
        <v>406</v>
      </c>
      <c r="I27" s="282">
        <f t="shared" ref="I27:O27" ca="1" si="22">$F27*VLOOKUP($D27,INDIRECT($B$23 &amp; $B$24), MATCH(I$4,INDIRECT($B$23 &amp; $B$25),0)+6, 0)</f>
        <v>0</v>
      </c>
      <c r="J27" s="221">
        <f t="shared" ca="1" si="22"/>
        <v>0</v>
      </c>
      <c r="K27" s="221">
        <f t="shared" ca="1" si="22"/>
        <v>0</v>
      </c>
      <c r="L27" s="221">
        <f t="shared" ca="1" si="22"/>
        <v>0</v>
      </c>
      <c r="M27" s="221">
        <f t="shared" ca="1" si="22"/>
        <v>0</v>
      </c>
      <c r="N27" s="221">
        <f t="shared" ca="1" si="22"/>
        <v>0</v>
      </c>
      <c r="O27" s="309">
        <f t="shared" ca="1" si="22"/>
        <v>0</v>
      </c>
      <c r="P27" s="569"/>
      <c r="Q27" s="491"/>
      <c r="R27" s="491"/>
      <c r="S27" s="173"/>
      <c r="T27" s="263"/>
      <c r="U27" s="252">
        <f t="shared" ca="1" si="14"/>
        <v>0</v>
      </c>
      <c r="V27" s="65">
        <f t="shared" ca="1" si="15"/>
        <v>0</v>
      </c>
      <c r="W27" s="65">
        <f t="shared" ca="1" si="16"/>
        <v>0</v>
      </c>
      <c r="X27" s="65">
        <f t="shared" ca="1" si="17"/>
        <v>0</v>
      </c>
      <c r="Y27" s="65">
        <f t="shared" ca="1" si="18"/>
        <v>0</v>
      </c>
      <c r="Z27" s="65">
        <f t="shared" ca="1" si="19"/>
        <v>0</v>
      </c>
      <c r="AA27" s="68">
        <f t="shared" ca="1" si="20"/>
        <v>0</v>
      </c>
      <c r="AB27" s="264"/>
      <c r="AC27" s="139">
        <v>1</v>
      </c>
    </row>
    <row r="28" spans="1:30">
      <c r="A28" s="162"/>
      <c r="B28" s="162"/>
      <c r="C28" s="162"/>
      <c r="D28" s="170" t="str">
        <f>LEFT($G$3,1) &amp; "S_CoreStaff"</f>
        <v>MS_CoreStaff</v>
      </c>
      <c r="E28" s="162"/>
      <c r="F28" s="266">
        <f>IF(LEFT($G$3, 1)="E", 0, 1)</f>
        <v>1</v>
      </c>
      <c r="G28" s="1219"/>
      <c r="H28" s="274" t="s">
        <v>407</v>
      </c>
      <c r="I28" s="284">
        <f t="shared" ref="I28:O28" ca="1" si="23">IFERROR($F28*VLOOKUP($D28,INDIRECT($B$23 &amp; $B$24), MATCH(I$4,INDIRECT($B$23 &amp; $B$25),0)+6, 0),0)</f>
        <v>26</v>
      </c>
      <c r="J28" s="220">
        <f t="shared" ca="1" si="23"/>
        <v>26</v>
      </c>
      <c r="K28" s="220">
        <f t="shared" ca="1" si="23"/>
        <v>26</v>
      </c>
      <c r="L28" s="220">
        <f t="shared" ca="1" si="23"/>
        <v>26</v>
      </c>
      <c r="M28" s="220">
        <f t="shared" ca="1" si="23"/>
        <v>26</v>
      </c>
      <c r="N28" s="220">
        <f t="shared" ca="1" si="23"/>
        <v>26</v>
      </c>
      <c r="O28" s="285">
        <f t="shared" ca="1" si="23"/>
        <v>26</v>
      </c>
      <c r="P28" s="567"/>
      <c r="Q28" s="491"/>
      <c r="R28" s="491"/>
      <c r="S28" s="173"/>
      <c r="T28" s="263"/>
      <c r="U28" s="69">
        <f t="shared" ca="1" si="14"/>
        <v>3060318.56</v>
      </c>
      <c r="V28" s="70">
        <f t="shared" ca="1" si="15"/>
        <v>3232267.7915246803</v>
      </c>
      <c r="W28" s="70">
        <f t="shared" ca="1" si="16"/>
        <v>3335856.0115258708</v>
      </c>
      <c r="X28" s="70">
        <f t="shared" ca="1" si="17"/>
        <v>3489281.6681828718</v>
      </c>
      <c r="Y28" s="70">
        <f t="shared" ca="1" si="18"/>
        <v>3607551.3006418757</v>
      </c>
      <c r="Z28" s="70">
        <f t="shared" ca="1" si="19"/>
        <v>3732519.4489582828</v>
      </c>
      <c r="AA28" s="71">
        <f t="shared" ca="1" si="20"/>
        <v>3864628.6262378972</v>
      </c>
      <c r="AB28" s="264"/>
      <c r="AC28" s="139">
        <v>1</v>
      </c>
    </row>
    <row r="29" spans="1:30">
      <c r="A29" s="162"/>
      <c r="B29" s="162"/>
      <c r="C29" s="162"/>
      <c r="D29" s="170" t="str">
        <f>LEFT($G$3,1) &amp; "S_ProgramStaff"</f>
        <v>MS_ProgramStaff</v>
      </c>
      <c r="E29" s="162"/>
      <c r="F29" s="266">
        <f>IF(LEFT($G$3, 1)="E", 0, 1)</f>
        <v>1</v>
      </c>
      <c r="G29" s="1219"/>
      <c r="H29" s="272" t="s">
        <v>408</v>
      </c>
      <c r="I29" s="281">
        <f t="shared" ref="I29:O29" ca="1" si="24">$F29*VLOOKUP($D29,INDIRECT($B$23 &amp; $B$24), MATCH(I$4,INDIRECT($B$23 &amp; $B$25),0)+6, 0)</f>
        <v>0.75</v>
      </c>
      <c r="J29" s="96">
        <f t="shared" ca="1" si="24"/>
        <v>0.75</v>
      </c>
      <c r="K29" s="96">
        <f t="shared" ca="1" si="24"/>
        <v>0.75</v>
      </c>
      <c r="L29" s="96">
        <f t="shared" ca="1" si="24"/>
        <v>1.5</v>
      </c>
      <c r="M29" s="96">
        <f t="shared" ca="1" si="24"/>
        <v>1.5</v>
      </c>
      <c r="N29" s="96">
        <f t="shared" ca="1" si="24"/>
        <v>0.75</v>
      </c>
      <c r="O29" s="251">
        <f t="shared" ca="1" si="24"/>
        <v>0.75</v>
      </c>
      <c r="P29" s="568"/>
      <c r="Q29" s="491"/>
      <c r="R29" s="491"/>
      <c r="S29" s="173"/>
      <c r="T29" s="263"/>
      <c r="U29" s="67">
        <f t="shared" ca="1" si="14"/>
        <v>88278.42</v>
      </c>
      <c r="V29" s="23">
        <f t="shared" ca="1" si="15"/>
        <v>93238.493986288857</v>
      </c>
      <c r="W29" s="23">
        <f t="shared" ca="1" si="16"/>
        <v>96226.615717092427</v>
      </c>
      <c r="X29" s="23">
        <f t="shared" ca="1" si="17"/>
        <v>201304.71162593493</v>
      </c>
      <c r="Y29" s="23">
        <f t="shared" ca="1" si="18"/>
        <v>208127.95965241591</v>
      </c>
      <c r="Z29" s="23">
        <f t="shared" ca="1" si="19"/>
        <v>107668.830258412</v>
      </c>
      <c r="AA29" s="24">
        <f t="shared" ca="1" si="20"/>
        <v>111479.67191070857</v>
      </c>
      <c r="AB29" s="264"/>
      <c r="AC29" s="139">
        <v>1</v>
      </c>
    </row>
    <row r="30" spans="1:30">
      <c r="A30" s="162"/>
      <c r="B30" s="162"/>
      <c r="C30" s="162"/>
      <c r="D30" s="171" t="str">
        <f>LEFT($G$3,1) &amp; "S_librarian"</f>
        <v>MS_librarian</v>
      </c>
      <c r="E30" s="162"/>
      <c r="F30" s="266"/>
      <c r="G30" s="1219"/>
      <c r="H30" s="237" t="s">
        <v>409</v>
      </c>
      <c r="I30" s="281">
        <f t="shared" ref="I30:O32" ca="1" si="25">VLOOKUP($D30,INDIRECT($B$23 &amp; $B$24), MATCH(I$4,INDIRECT($B$23 &amp; $B$25),0)+6, 0)</f>
        <v>0.75</v>
      </c>
      <c r="J30" s="96">
        <f t="shared" ca="1" si="25"/>
        <v>0.75</v>
      </c>
      <c r="K30" s="96">
        <f t="shared" ca="1" si="25"/>
        <v>0.75</v>
      </c>
      <c r="L30" s="96">
        <f t="shared" ca="1" si="25"/>
        <v>1</v>
      </c>
      <c r="M30" s="96">
        <f t="shared" ca="1" si="25"/>
        <v>1</v>
      </c>
      <c r="N30" s="96">
        <f t="shared" ca="1" si="25"/>
        <v>0.75</v>
      </c>
      <c r="O30" s="251">
        <f t="shared" ca="1" si="25"/>
        <v>0.75</v>
      </c>
      <c r="P30" s="568"/>
      <c r="Q30" s="491"/>
      <c r="R30" s="491"/>
      <c r="S30" s="173"/>
      <c r="T30" s="263"/>
      <c r="U30" s="67">
        <f t="shared" ca="1" si="14"/>
        <v>88278.42</v>
      </c>
      <c r="V30" s="23">
        <f t="shared" ca="1" si="15"/>
        <v>93238.493986288857</v>
      </c>
      <c r="W30" s="23">
        <f t="shared" ca="1" si="16"/>
        <v>96226.615717092427</v>
      </c>
      <c r="X30" s="23">
        <f t="shared" ca="1" si="17"/>
        <v>134203.14108395661</v>
      </c>
      <c r="Y30" s="23">
        <f t="shared" ca="1" si="18"/>
        <v>138751.97310161061</v>
      </c>
      <c r="Z30" s="23">
        <f t="shared" ca="1" si="19"/>
        <v>107668.830258412</v>
      </c>
      <c r="AA30" s="24">
        <f t="shared" ca="1" si="20"/>
        <v>111479.67191070857</v>
      </c>
      <c r="AB30" s="264"/>
      <c r="AC30" s="139">
        <v>1</v>
      </c>
    </row>
    <row r="31" spans="1:30">
      <c r="A31" s="162"/>
      <c r="B31" s="162"/>
      <c r="C31" s="162"/>
      <c r="D31" s="162" t="str">
        <f>LEFT($G$3,1) &amp; "S_ESL"</f>
        <v>MS_ESL</v>
      </c>
      <c r="E31" s="162"/>
      <c r="F31" s="266"/>
      <c r="G31" s="1219"/>
      <c r="H31" s="272" t="s">
        <v>410</v>
      </c>
      <c r="I31" s="281">
        <f t="shared" ca="1" si="25"/>
        <v>0.5</v>
      </c>
      <c r="J31" s="96">
        <f t="shared" ca="1" si="25"/>
        <v>0.5</v>
      </c>
      <c r="K31" s="96">
        <f t="shared" ca="1" si="25"/>
        <v>0.5</v>
      </c>
      <c r="L31" s="96">
        <f t="shared" ca="1" si="25"/>
        <v>1</v>
      </c>
      <c r="M31" s="96">
        <f t="shared" ca="1" si="25"/>
        <v>1</v>
      </c>
      <c r="N31" s="96">
        <f t="shared" ca="1" si="25"/>
        <v>0.5</v>
      </c>
      <c r="O31" s="251">
        <f t="shared" ca="1" si="25"/>
        <v>0.5</v>
      </c>
      <c r="P31" s="568"/>
      <c r="Q31" s="492"/>
      <c r="R31" s="492"/>
      <c r="S31" s="184" t="s">
        <v>411</v>
      </c>
      <c r="T31" s="286"/>
      <c r="U31" s="67">
        <f t="shared" ca="1" si="14"/>
        <v>58852.28</v>
      </c>
      <c r="V31" s="23">
        <f t="shared" ca="1" si="15"/>
        <v>62158.995990859235</v>
      </c>
      <c r="W31" s="23">
        <f t="shared" ca="1" si="16"/>
        <v>64151.077144728282</v>
      </c>
      <c r="X31" s="23">
        <f t="shared" ca="1" si="17"/>
        <v>134203.14108395661</v>
      </c>
      <c r="Y31" s="23">
        <f t="shared" ca="1" si="18"/>
        <v>138751.97310161061</v>
      </c>
      <c r="Z31" s="23">
        <f t="shared" ca="1" si="19"/>
        <v>71779.220172274669</v>
      </c>
      <c r="AA31" s="24">
        <f t="shared" ca="1" si="20"/>
        <v>74319.781273805711</v>
      </c>
      <c r="AB31" s="264"/>
      <c r="AC31" s="139">
        <v>1</v>
      </c>
    </row>
    <row r="32" spans="1:30">
      <c r="A32" s="162"/>
      <c r="B32" s="162"/>
      <c r="C32" s="162"/>
      <c r="D32" s="162" t="str">
        <f>LEFT($G$3,1) &amp; "S_SpEd"</f>
        <v>MS_SpEd</v>
      </c>
      <c r="E32" s="162"/>
      <c r="F32" s="266"/>
      <c r="G32" s="1219"/>
      <c r="H32" s="237" t="s">
        <v>412</v>
      </c>
      <c r="I32" s="281">
        <f t="shared" ca="1" si="25"/>
        <v>3.5</v>
      </c>
      <c r="J32" s="96">
        <f t="shared" ca="1" si="25"/>
        <v>3.5</v>
      </c>
      <c r="K32" s="96">
        <f t="shared" ca="1" si="25"/>
        <v>3.5</v>
      </c>
      <c r="L32" s="96">
        <f t="shared" ca="1" si="25"/>
        <v>4.5</v>
      </c>
      <c r="M32" s="96">
        <f t="shared" ca="1" si="25"/>
        <v>4.5</v>
      </c>
      <c r="N32" s="96">
        <f t="shared" ca="1" si="25"/>
        <v>3.5</v>
      </c>
      <c r="O32" s="251">
        <f t="shared" ca="1" si="25"/>
        <v>3.5</v>
      </c>
      <c r="P32" s="568"/>
      <c r="Q32" s="492"/>
      <c r="R32" s="492"/>
      <c r="S32" s="176" t="s">
        <v>413</v>
      </c>
      <c r="T32" s="287"/>
      <c r="U32" s="67">
        <f t="shared" ca="1" si="14"/>
        <v>411965.95999999996</v>
      </c>
      <c r="V32" s="23">
        <f t="shared" ca="1" si="15"/>
        <v>435112.97193601466</v>
      </c>
      <c r="W32" s="23">
        <f t="shared" ca="1" si="16"/>
        <v>449057.54001309798</v>
      </c>
      <c r="X32" s="23">
        <f t="shared" ca="1" si="17"/>
        <v>603914.13487780478</v>
      </c>
      <c r="Y32" s="23">
        <f t="shared" ca="1" si="18"/>
        <v>624383.87895724771</v>
      </c>
      <c r="Z32" s="23">
        <f t="shared" ca="1" si="19"/>
        <v>502454.54120592267</v>
      </c>
      <c r="AA32" s="24">
        <f t="shared" ca="1" si="20"/>
        <v>520238.46891663998</v>
      </c>
      <c r="AB32" s="264"/>
      <c r="AC32" s="139">
        <v>1</v>
      </c>
    </row>
    <row r="33" spans="1:29">
      <c r="A33" s="162"/>
      <c r="B33" s="162"/>
      <c r="C33" s="162"/>
      <c r="D33" s="162"/>
      <c r="E33" s="162"/>
      <c r="F33" s="266"/>
      <c r="G33" s="1219"/>
      <c r="H33" s="272" t="s">
        <v>414</v>
      </c>
      <c r="I33" s="281"/>
      <c r="J33" s="96"/>
      <c r="K33" s="96"/>
      <c r="L33" s="96"/>
      <c r="M33" s="96"/>
      <c r="N33" s="96"/>
      <c r="O33" s="251"/>
      <c r="P33" s="570">
        <f ca="1">INDEX(INDIRECT($S$31 &amp; $S$32),MATCH($T33,INDIRECT($S$31 &amp; $S$33),0),MATCH($G$3,INDIRECT($S$31 &amp; $S$34),0))</f>
        <v>121.45774028406743</v>
      </c>
      <c r="Q33" s="492"/>
      <c r="R33" s="492"/>
      <c r="S33" s="176" t="s">
        <v>415</v>
      </c>
      <c r="T33" s="288" t="s">
        <v>416</v>
      </c>
      <c r="U33" s="67">
        <f ca="1">$P33*$H$2</f>
        <v>60728.870142033717</v>
      </c>
      <c r="V33" s="23">
        <f t="shared" ref="V33:Z34" ca="1" si="26">U33*(1+J$7)</f>
        <v>63927.786451051586</v>
      </c>
      <c r="W33" s="23">
        <f t="shared" ca="1" si="26"/>
        <v>65961.532532328754</v>
      </c>
      <c r="X33" s="23">
        <f t="shared" ca="1" si="26"/>
        <v>69323.938204647391</v>
      </c>
      <c r="Y33" s="23">
        <f t="shared" ca="1" si="26"/>
        <v>71681.078038668595</v>
      </c>
      <c r="Z33" s="23">
        <f t="shared" ca="1" si="26"/>
        <v>74181.551859081956</v>
      </c>
      <c r="AA33" s="24">
        <f ca="1">Z33*(1+O$7)</f>
        <v>76835.301907718123</v>
      </c>
      <c r="AB33" s="264"/>
      <c r="AC33" s="139">
        <v>1</v>
      </c>
    </row>
    <row r="34" spans="1:29">
      <c r="A34" s="162"/>
      <c r="B34" s="162"/>
      <c r="C34" s="162"/>
      <c r="D34" s="162"/>
      <c r="E34" s="162"/>
      <c r="F34" s="266"/>
      <c r="G34" s="1219"/>
      <c r="H34" s="272" t="s">
        <v>417</v>
      </c>
      <c r="I34" s="281"/>
      <c r="J34" s="96"/>
      <c r="K34" s="96"/>
      <c r="L34" s="96"/>
      <c r="M34" s="96"/>
      <c r="N34" s="96"/>
      <c r="O34" s="251"/>
      <c r="P34" s="570">
        <f ca="1">INDEX(INDIRECT($S$31 &amp; $S$32),MATCH($T34,INDIRECT($S$31 &amp; $S$33),0),MATCH($G$3,INDIRECT($S$31 &amp; $S$34),0))</f>
        <v>17.428414470759229</v>
      </c>
      <c r="Q34" s="492"/>
      <c r="R34" s="492"/>
      <c r="S34" s="176" t="s">
        <v>418</v>
      </c>
      <c r="T34" s="288" t="s">
        <v>419</v>
      </c>
      <c r="U34" s="67">
        <f ca="1">$P34*$H$2</f>
        <v>8714.2072353796138</v>
      </c>
      <c r="V34" s="23">
        <f t="shared" ca="1" si="26"/>
        <v>9173.2314125167886</v>
      </c>
      <c r="W34" s="23">
        <f t="shared" ca="1" si="26"/>
        <v>9465.0610608362913</v>
      </c>
      <c r="X34" s="23">
        <f t="shared" ca="1" si="26"/>
        <v>9947.5449234451553</v>
      </c>
      <c r="Y34" s="23">
        <f t="shared" ca="1" si="26"/>
        <v>10285.779521724167</v>
      </c>
      <c r="Z34" s="23">
        <f t="shared" ca="1" si="26"/>
        <v>10644.581636875682</v>
      </c>
      <c r="AA34" s="24">
        <f ca="1">Z34*(1+O$7)</f>
        <v>11025.37791746889</v>
      </c>
      <c r="AB34" s="264"/>
      <c r="AC34" s="139">
        <v>1</v>
      </c>
    </row>
    <row r="35" spans="1:29" ht="15.75" thickBot="1">
      <c r="A35" s="162"/>
      <c r="B35" s="162"/>
      <c r="C35" s="162"/>
      <c r="D35" s="162" t="str">
        <f>LEFT($G$3,1) &amp; "S_ASSP"</f>
        <v>MS_ASSP</v>
      </c>
      <c r="E35" s="162"/>
      <c r="F35" s="266">
        <f>IF(LEFT($G$3, 1)="E", 0, 1)</f>
        <v>1</v>
      </c>
      <c r="G35" s="1219"/>
      <c r="H35" s="473" t="s">
        <v>420</v>
      </c>
      <c r="I35" s="474">
        <f t="shared" ref="I35:O35" ca="1" si="27">IFERROR($F35*VLOOKUP($D35,INDIRECT($B$23 &amp; $B$24), MATCH(I$4,INDIRECT($B$23 &amp; $B$25),0)+6, 0),0)</f>
        <v>0</v>
      </c>
      <c r="J35" s="475">
        <f t="shared" ca="1" si="27"/>
        <v>0</v>
      </c>
      <c r="K35" s="475">
        <f t="shared" ca="1" si="27"/>
        <v>0</v>
      </c>
      <c r="L35" s="475">
        <f t="shared" ca="1" si="27"/>
        <v>0</v>
      </c>
      <c r="M35" s="475">
        <f t="shared" ca="1" si="27"/>
        <v>0</v>
      </c>
      <c r="N35" s="475">
        <f t="shared" ca="1" si="27"/>
        <v>0</v>
      </c>
      <c r="O35" s="476">
        <f t="shared" ca="1" si="27"/>
        <v>0</v>
      </c>
      <c r="P35" s="571"/>
      <c r="Q35" s="493"/>
      <c r="R35" s="493"/>
      <c r="S35" s="173"/>
      <c r="T35" s="263"/>
      <c r="U35" s="455">
        <f t="shared" ref="U35:Z35" ca="1" si="28">((U$7*(1+U$18))+U$17+U$19)*I35</f>
        <v>0</v>
      </c>
      <c r="V35" s="456">
        <f t="shared" ca="1" si="28"/>
        <v>0</v>
      </c>
      <c r="W35" s="456">
        <f t="shared" ca="1" si="28"/>
        <v>0</v>
      </c>
      <c r="X35" s="456">
        <f t="shared" ca="1" si="28"/>
        <v>0</v>
      </c>
      <c r="Y35" s="456">
        <f t="shared" ca="1" si="28"/>
        <v>0</v>
      </c>
      <c r="Z35" s="456">
        <f t="shared" ca="1" si="28"/>
        <v>0</v>
      </c>
      <c r="AA35" s="529">
        <f ca="1">((AA$7*(1+AA$18))+AA$17+AA$19)*O35</f>
        <v>0</v>
      </c>
      <c r="AB35" s="264"/>
      <c r="AC35" s="139">
        <v>1</v>
      </c>
    </row>
    <row r="36" spans="1:29">
      <c r="A36" s="162"/>
      <c r="B36" s="162"/>
      <c r="C36" s="162"/>
      <c r="D36" s="162" t="str">
        <f>LEFT($G$3,1) &amp; "S_Couns"</f>
        <v>MS_Couns</v>
      </c>
      <c r="E36" s="162"/>
      <c r="F36" s="266">
        <v>1</v>
      </c>
      <c r="G36" s="1219"/>
      <c r="H36" s="477" t="s">
        <v>421</v>
      </c>
      <c r="I36" s="478">
        <f t="shared" ref="I36:O37" ca="1" si="29">VLOOKUP($D36,INDIRECT($B$23 &amp; $B$24), MATCH(I$4,INDIRECT($B$23 &amp; $B$25),0)+6, 0)</f>
        <v>1.75</v>
      </c>
      <c r="J36" s="479">
        <f t="shared" ca="1" si="29"/>
        <v>1.75</v>
      </c>
      <c r="K36" s="479">
        <f t="shared" ca="1" si="29"/>
        <v>1.75</v>
      </c>
      <c r="L36" s="479">
        <f t="shared" ca="1" si="29"/>
        <v>2</v>
      </c>
      <c r="M36" s="479">
        <f t="shared" ca="1" si="29"/>
        <v>2</v>
      </c>
      <c r="N36" s="479">
        <f t="shared" ca="1" si="29"/>
        <v>1.75</v>
      </c>
      <c r="O36" s="480">
        <f t="shared" ca="1" si="29"/>
        <v>1.75</v>
      </c>
      <c r="P36" s="572"/>
      <c r="Q36" s="493"/>
      <c r="R36" s="493"/>
      <c r="S36" s="173"/>
      <c r="T36" s="263"/>
      <c r="U36" s="530">
        <f t="shared" ref="U36:Z36" ca="1" si="30">((U$10*(1+U$18))+U$17+U$19)*I36</f>
        <v>209474.06336692965</v>
      </c>
      <c r="V36" s="531">
        <f t="shared" ca="1" si="30"/>
        <v>221259.37054341094</v>
      </c>
      <c r="W36" s="531">
        <f t="shared" ca="1" si="30"/>
        <v>228349.45510990321</v>
      </c>
      <c r="X36" s="531">
        <f t="shared" ca="1" si="30"/>
        <v>272984.17315111269</v>
      </c>
      <c r="Y36" s="531">
        <f t="shared" ca="1" si="30"/>
        <v>282237.49379612529</v>
      </c>
      <c r="Z36" s="531">
        <f t="shared" ca="1" si="30"/>
        <v>255513.60636083939</v>
      </c>
      <c r="AA36" s="532">
        <f ca="1">((AA$10*(1+AA$18))+AA$17+AA$19)*O36</f>
        <v>264558.90839045931</v>
      </c>
      <c r="AB36" s="264"/>
      <c r="AC36" s="139">
        <v>1</v>
      </c>
    </row>
    <row r="37" spans="1:29">
      <c r="A37" s="162"/>
      <c r="B37" s="162"/>
      <c r="C37" s="162"/>
      <c r="D37" s="162" t="str">
        <f>LEFT($G$3,1) &amp; "S_InstAsst"</f>
        <v>MS_InstAsst</v>
      </c>
      <c r="E37" s="162"/>
      <c r="F37" s="266">
        <v>1</v>
      </c>
      <c r="G37" s="1219"/>
      <c r="H37" s="447" t="s">
        <v>293</v>
      </c>
      <c r="I37" s="448">
        <f t="shared" ca="1" si="29"/>
        <v>1.2</v>
      </c>
      <c r="J37" s="176">
        <f t="shared" ca="1" si="29"/>
        <v>1.2</v>
      </c>
      <c r="K37" s="176">
        <f t="shared" ca="1" si="29"/>
        <v>1.2</v>
      </c>
      <c r="L37" s="176">
        <f t="shared" ca="1" si="29"/>
        <v>2</v>
      </c>
      <c r="M37" s="176">
        <f t="shared" ca="1" si="29"/>
        <v>2</v>
      </c>
      <c r="N37" s="176">
        <f t="shared" ca="1" si="29"/>
        <v>1.2</v>
      </c>
      <c r="O37" s="449">
        <f t="shared" ca="1" si="29"/>
        <v>1.2</v>
      </c>
      <c r="P37" s="573"/>
      <c r="Q37" s="493"/>
      <c r="R37" s="493"/>
      <c r="S37" s="173"/>
      <c r="T37" s="263"/>
      <c r="U37" s="533">
        <f t="shared" ref="U37:Z37" ca="1" si="31">((U$12*8*185*(1+U$18-U$22))+U$17+U$19)*I37</f>
        <v>68385.147646552767</v>
      </c>
      <c r="V37" s="177">
        <f t="shared" ca="1" si="31"/>
        <v>71456.4959430741</v>
      </c>
      <c r="W37" s="177">
        <f t="shared" ca="1" si="31"/>
        <v>73606.470490253487</v>
      </c>
      <c r="X37" s="177">
        <f t="shared" ca="1" si="31"/>
        <v>125688.88645876176</v>
      </c>
      <c r="Y37" s="177">
        <f t="shared" ca="1" si="31"/>
        <v>129195.15053232522</v>
      </c>
      <c r="Z37" s="177">
        <f t="shared" ca="1" si="31"/>
        <v>79725.67602306843</v>
      </c>
      <c r="AA37" s="534">
        <f ca="1">((AA$12*8*185*(1+AA$18-AA$22))+AA$17+AA$19)*O37</f>
        <v>81922.539253642564</v>
      </c>
      <c r="AB37" s="264"/>
      <c r="AC37" s="139">
        <v>1</v>
      </c>
    </row>
    <row r="38" spans="1:29" ht="15.75" thickBot="1">
      <c r="A38" s="162"/>
      <c r="B38" s="162"/>
      <c r="C38" s="162"/>
      <c r="D38" s="172" t="s">
        <v>292</v>
      </c>
      <c r="E38" s="162"/>
      <c r="F38" s="266">
        <f>IF(LEFT($G$3, 1)="H", 1, 0)</f>
        <v>0</v>
      </c>
      <c r="G38" s="1220"/>
      <c r="H38" s="450" t="s">
        <v>422</v>
      </c>
      <c r="I38" s="451">
        <f t="shared" ref="I38:O38" ca="1" si="32">$F38*VLOOKUP($D38,INDIRECT($B$23 &amp; $B$24), MATCH(I$4,INDIRECT($B$23 &amp; $B$25),0)+6, 0)</f>
        <v>0</v>
      </c>
      <c r="J38" s="452">
        <f t="shared" ca="1" si="32"/>
        <v>0</v>
      </c>
      <c r="K38" s="452">
        <f t="shared" ca="1" si="32"/>
        <v>0</v>
      </c>
      <c r="L38" s="452">
        <f t="shared" ca="1" si="32"/>
        <v>0</v>
      </c>
      <c r="M38" s="452">
        <f t="shared" ca="1" si="32"/>
        <v>0</v>
      </c>
      <c r="N38" s="452">
        <f t="shared" ca="1" si="32"/>
        <v>0</v>
      </c>
      <c r="O38" s="453">
        <f t="shared" ca="1" si="32"/>
        <v>0</v>
      </c>
      <c r="P38" s="574"/>
      <c r="Q38" s="493"/>
      <c r="R38" s="493"/>
      <c r="S38" s="173"/>
      <c r="T38" s="263"/>
      <c r="U38" s="535">
        <f t="shared" ref="U38:Z38" ca="1" si="33">((U$7*(1+U$18))+U$17+U$19)*I38</f>
        <v>0</v>
      </c>
      <c r="V38" s="536">
        <f t="shared" ca="1" si="33"/>
        <v>0</v>
      </c>
      <c r="W38" s="536">
        <f t="shared" ca="1" si="33"/>
        <v>0</v>
      </c>
      <c r="X38" s="536">
        <f t="shared" ca="1" si="33"/>
        <v>0</v>
      </c>
      <c r="Y38" s="536">
        <f t="shared" ca="1" si="33"/>
        <v>0</v>
      </c>
      <c r="Z38" s="536">
        <f t="shared" ca="1" si="33"/>
        <v>0</v>
      </c>
      <c r="AA38" s="537">
        <f ca="1">((AA$7*(1+AA$18))+AA$17+AA$19)*O38</f>
        <v>0</v>
      </c>
      <c r="AB38" s="264"/>
      <c r="AC38" s="139">
        <v>1</v>
      </c>
    </row>
    <row r="39" spans="1:29" ht="15" hidden="1" customHeight="1" outlineLevel="1">
      <c r="A39" s="172"/>
      <c r="B39" s="172"/>
      <c r="C39" s="162"/>
      <c r="D39" s="162"/>
      <c r="E39" s="162"/>
      <c r="F39" s="161"/>
      <c r="G39" s="268"/>
      <c r="H39" s="270"/>
      <c r="I39" s="277"/>
      <c r="J39" s="277"/>
      <c r="K39" s="277"/>
      <c r="L39" s="277"/>
      <c r="M39" s="277"/>
      <c r="N39" s="277"/>
      <c r="O39" s="277"/>
      <c r="P39" s="277"/>
      <c r="Q39" s="263"/>
      <c r="R39" s="263"/>
      <c r="S39" s="173"/>
      <c r="T39" s="173"/>
      <c r="U39" s="289"/>
      <c r="V39" s="289"/>
      <c r="W39" s="289"/>
      <c r="X39" s="289"/>
      <c r="Y39" s="289"/>
      <c r="Z39" s="289"/>
      <c r="AA39" s="289"/>
      <c r="AB39" s="264"/>
      <c r="AC39" s="139">
        <v>0</v>
      </c>
    </row>
    <row r="40" spans="1:29" ht="15.95" hidden="1" customHeight="1" outlineLevel="1" thickBot="1">
      <c r="A40" s="178"/>
      <c r="B40" s="178"/>
      <c r="C40" s="144"/>
      <c r="D40" s="144"/>
      <c r="E40" s="144"/>
      <c r="F40" s="143"/>
      <c r="G40" s="179"/>
      <c r="H40" s="113"/>
      <c r="I40" s="180"/>
      <c r="J40" s="180"/>
      <c r="K40" s="180"/>
      <c r="L40" s="180"/>
      <c r="M40" s="180"/>
      <c r="N40" s="180"/>
      <c r="O40" s="180"/>
      <c r="P40" s="180"/>
      <c r="Q40" s="287"/>
      <c r="R40" s="287"/>
      <c r="S40" s="176"/>
      <c r="T40" s="176"/>
      <c r="U40" s="540"/>
      <c r="V40" s="540"/>
      <c r="W40" s="540"/>
      <c r="X40" s="540"/>
      <c r="Y40" s="540"/>
      <c r="Z40" s="540"/>
      <c r="AA40" s="540"/>
      <c r="AB40" s="521"/>
      <c r="AC40" s="139">
        <v>0</v>
      </c>
    </row>
    <row r="41" spans="1:29" ht="15" hidden="1" customHeight="1" outlineLevel="1">
      <c r="A41" s="178"/>
      <c r="B41" s="178"/>
      <c r="C41" s="143"/>
      <c r="D41" s="143"/>
      <c r="E41" s="143"/>
      <c r="F41" s="143"/>
      <c r="G41" s="179"/>
      <c r="H41" s="113"/>
      <c r="I41" s="180"/>
      <c r="J41" s="180"/>
      <c r="K41" s="180"/>
      <c r="L41" s="180"/>
      <c r="M41" s="180"/>
      <c r="N41" s="180"/>
      <c r="O41" s="180"/>
      <c r="P41" s="186"/>
      <c r="Q41" s="494"/>
      <c r="R41" s="494"/>
      <c r="S41" s="188" t="s">
        <v>398</v>
      </c>
      <c r="T41" s="494" t="str">
        <f>LEFT($G$3,1) &amp; "S_AIT"</f>
        <v>MS_AIT</v>
      </c>
      <c r="U41" s="278">
        <f t="shared" ref="U41:AA41" ca="1" si="34">INDEX(INDIRECT($S$41 &amp; $S$42), MATCH($T$41, INDIRECT($S$41 &amp; $S$43), 0), MATCH(U$4, INDIRECT($S$41 &amp; $S$44),0))</f>
        <v>2</v>
      </c>
      <c r="V41" s="279">
        <f t="shared" ca="1" si="34"/>
        <v>2</v>
      </c>
      <c r="W41" s="279">
        <f t="shared" ca="1" si="34"/>
        <v>2</v>
      </c>
      <c r="X41" s="279">
        <f t="shared" ca="1" si="34"/>
        <v>4</v>
      </c>
      <c r="Y41" s="279">
        <f t="shared" ca="1" si="34"/>
        <v>4</v>
      </c>
      <c r="Z41" s="279">
        <f t="shared" ca="1" si="34"/>
        <v>2</v>
      </c>
      <c r="AA41" s="280">
        <f t="shared" ca="1" si="34"/>
        <v>2</v>
      </c>
      <c r="AB41" s="521"/>
      <c r="AC41" s="139">
        <v>0</v>
      </c>
    </row>
    <row r="42" spans="1:29" ht="15" hidden="1" customHeight="1" outlineLevel="1">
      <c r="A42" s="178"/>
      <c r="B42" s="178"/>
      <c r="C42" s="143"/>
      <c r="D42" s="143"/>
      <c r="E42" s="143"/>
      <c r="F42" s="143"/>
      <c r="G42" s="179"/>
      <c r="H42" s="113"/>
      <c r="I42" s="180"/>
      <c r="J42" s="180"/>
      <c r="K42" s="180"/>
      <c r="L42" s="180"/>
      <c r="M42" s="180"/>
      <c r="N42" s="180"/>
      <c r="O42" s="180"/>
      <c r="P42" s="186"/>
      <c r="Q42" s="494"/>
      <c r="R42" s="494"/>
      <c r="S42" s="189" t="s">
        <v>423</v>
      </c>
      <c r="T42" s="538" t="s">
        <v>198</v>
      </c>
      <c r="U42" s="281">
        <f t="shared" ref="U42:AA42" ca="1" si="35">INDEX(INDIRECT($S$41 &amp; $S$42), MATCH($T$41, INDIRECT($S$41 &amp; $S$43), 0), MATCH($T$42, INDIRECT($S$41 &amp; $S$44),0))</f>
        <v>4</v>
      </c>
      <c r="V42" s="96">
        <f t="shared" ca="1" si="35"/>
        <v>4</v>
      </c>
      <c r="W42" s="96">
        <f t="shared" ca="1" si="35"/>
        <v>4</v>
      </c>
      <c r="X42" s="96">
        <f t="shared" ca="1" si="35"/>
        <v>4</v>
      </c>
      <c r="Y42" s="96">
        <f t="shared" ca="1" si="35"/>
        <v>4</v>
      </c>
      <c r="Z42" s="96">
        <f t="shared" ca="1" si="35"/>
        <v>4</v>
      </c>
      <c r="AA42" s="251">
        <f t="shared" ca="1" si="35"/>
        <v>4</v>
      </c>
      <c r="AB42" s="521"/>
      <c r="AC42" s="139">
        <v>0</v>
      </c>
    </row>
    <row r="43" spans="1:29" ht="15" hidden="1" customHeight="1" outlineLevel="1">
      <c r="A43" s="178"/>
      <c r="B43" s="178"/>
      <c r="C43" s="143"/>
      <c r="D43" s="143"/>
      <c r="E43" s="143"/>
      <c r="F43" s="143"/>
      <c r="G43" s="179"/>
      <c r="H43" s="113"/>
      <c r="I43" s="180"/>
      <c r="J43" s="180"/>
      <c r="K43" s="180"/>
      <c r="L43" s="180"/>
      <c r="M43" s="180"/>
      <c r="N43" s="180"/>
      <c r="O43" s="180"/>
      <c r="P43" s="186"/>
      <c r="Q43" s="494"/>
      <c r="R43" s="494"/>
      <c r="S43" s="189" t="s">
        <v>424</v>
      </c>
      <c r="T43" s="494" t="str">
        <f>T41 &amp; "/" &amp;T42</f>
        <v>MS_AIT/QEM</v>
      </c>
      <c r="U43" s="542">
        <f ca="1">U41/U42</f>
        <v>0.5</v>
      </c>
      <c r="V43" s="104">
        <f t="shared" ref="V43:AA43" ca="1" si="36">V41/V42</f>
        <v>0.5</v>
      </c>
      <c r="W43" s="104">
        <f t="shared" ca="1" si="36"/>
        <v>0.5</v>
      </c>
      <c r="X43" s="104">
        <f t="shared" ca="1" si="36"/>
        <v>1</v>
      </c>
      <c r="Y43" s="104">
        <f t="shared" ca="1" si="36"/>
        <v>1</v>
      </c>
      <c r="Z43" s="104">
        <f t="shared" ca="1" si="36"/>
        <v>0.5</v>
      </c>
      <c r="AA43" s="543">
        <f t="shared" ca="1" si="36"/>
        <v>0.5</v>
      </c>
      <c r="AB43" s="521"/>
      <c r="AC43" s="139">
        <v>0</v>
      </c>
    </row>
    <row r="44" spans="1:29" ht="15" hidden="1" customHeight="1" outlineLevel="1">
      <c r="A44" s="178"/>
      <c r="B44" s="178"/>
      <c r="C44" s="143"/>
      <c r="D44" s="143"/>
      <c r="E44" s="143"/>
      <c r="F44" s="143"/>
      <c r="G44" s="179"/>
      <c r="H44" s="113"/>
      <c r="I44" s="180"/>
      <c r="J44" s="180"/>
      <c r="K44" s="180"/>
      <c r="L44" s="180"/>
      <c r="M44" s="180"/>
      <c r="N44" s="180"/>
      <c r="O44" s="180"/>
      <c r="P44" s="186"/>
      <c r="Q44" s="494"/>
      <c r="R44" s="494"/>
      <c r="S44" s="189" t="s">
        <v>425</v>
      </c>
      <c r="T44" s="539" t="s">
        <v>364</v>
      </c>
      <c r="U44" s="249">
        <f t="shared" ref="U44:AA44" ca="1" si="37">VLOOKUP($T44, $D$7:$O$12, MATCH(U$4, $D$4:$O$4, 0), 0)</f>
        <v>4.3937732328771073E-2</v>
      </c>
      <c r="V44" s="105">
        <f t="shared" ca="1" si="37"/>
        <v>5.2675379955796853E-2</v>
      </c>
      <c r="W44" s="105">
        <f t="shared" ca="1" si="37"/>
        <v>3.1813178496871153E-2</v>
      </c>
      <c r="X44" s="105">
        <f t="shared" ca="1" si="37"/>
        <v>5.0975250926298177E-2</v>
      </c>
      <c r="Y44" s="105">
        <f t="shared" ca="1" si="37"/>
        <v>3.4001816617267533E-2</v>
      </c>
      <c r="Z44" s="105">
        <f t="shared" ca="1" si="37"/>
        <v>3.4883317729463625E-2</v>
      </c>
      <c r="AA44" s="250">
        <f t="shared" ca="1" si="37"/>
        <v>3.5773719774389923E-2</v>
      </c>
      <c r="AB44" s="522"/>
      <c r="AC44" s="139">
        <v>0</v>
      </c>
    </row>
    <row r="45" spans="1:29" ht="15" hidden="1" customHeight="1" outlineLevel="1">
      <c r="A45" s="178"/>
      <c r="B45" s="178"/>
      <c r="C45" s="143"/>
      <c r="D45" s="143"/>
      <c r="E45" s="143"/>
      <c r="F45" s="143"/>
      <c r="G45" s="179"/>
      <c r="H45" s="113"/>
      <c r="I45" s="180"/>
      <c r="J45" s="180"/>
      <c r="K45" s="180"/>
      <c r="L45" s="180"/>
      <c r="M45" s="180"/>
      <c r="N45" s="180"/>
      <c r="O45" s="180"/>
      <c r="P45" s="186"/>
      <c r="Q45" s="494"/>
      <c r="R45" s="494"/>
      <c r="S45" s="184" t="s">
        <v>426</v>
      </c>
      <c r="T45" s="494" t="s">
        <v>427</v>
      </c>
      <c r="U45" s="249"/>
      <c r="V45" s="105">
        <f ca="1">V44</f>
        <v>5.2675379955796853E-2</v>
      </c>
      <c r="W45" s="105">
        <f ca="1">(1+V45)*(1+W44)-1</f>
        <v>8.6164329717592247E-2</v>
      </c>
      <c r="X45" s="105">
        <f ca="1">(1+W45)*(1+X44)-1</f>
        <v>0.141531828972141</v>
      </c>
      <c r="Y45" s="105">
        <f ca="1">(1+X45)*(1+Y44)-1</f>
        <v>0.18034598488362574</v>
      </c>
      <c r="Z45" s="105">
        <f ca="1">(1+Y45)*(1+Z44)-1</f>
        <v>0.22152036890501803</v>
      </c>
      <c r="AA45" s="250">
        <f ca="1">(1+Z45)*(1+AA44)-1</f>
        <v>0.26521869628093553</v>
      </c>
      <c r="AB45" s="522"/>
      <c r="AC45" s="139">
        <v>0</v>
      </c>
    </row>
    <row r="46" spans="1:29" ht="15" hidden="1" customHeight="1" outlineLevel="1">
      <c r="A46" s="178"/>
      <c r="B46" s="178"/>
      <c r="C46" s="143"/>
      <c r="D46" s="143"/>
      <c r="E46" s="143"/>
      <c r="F46" s="143"/>
      <c r="G46" s="179"/>
      <c r="H46" s="113"/>
      <c r="I46" s="180"/>
      <c r="J46" s="180"/>
      <c r="K46" s="180"/>
      <c r="L46" s="180"/>
      <c r="M46" s="180"/>
      <c r="N46" s="180"/>
      <c r="O46" s="180"/>
      <c r="P46" s="186"/>
      <c r="Q46" s="494"/>
      <c r="R46" s="494"/>
      <c r="S46" s="187" t="s">
        <v>428</v>
      </c>
      <c r="T46" s="494" t="s">
        <v>378</v>
      </c>
      <c r="U46" s="249">
        <f t="shared" ref="U46:AA46" ca="1" si="38">VLOOKUP($T46, $D$7:$O$12, MATCH(U$4, $D$4:$O$4, 0), 0)</f>
        <v>8.1000000000000072E-2</v>
      </c>
      <c r="V46" s="105">
        <f t="shared" ca="1" si="38"/>
        <v>4.3834138486312457E-2</v>
      </c>
      <c r="W46" s="105">
        <f t="shared" ca="1" si="38"/>
        <v>2.8486102532427338E-2</v>
      </c>
      <c r="X46" s="105">
        <f t="shared" ca="1" si="38"/>
        <v>2.2641118124436477E-2</v>
      </c>
      <c r="Y46" s="105">
        <f t="shared" ca="1" si="38"/>
        <v>2.5124742571344671E-2</v>
      </c>
      <c r="Z46" s="105">
        <f t="shared" ca="1" si="38"/>
        <v>2.5992818155702424E-2</v>
      </c>
      <c r="AA46" s="250">
        <f t="shared" ca="1" si="38"/>
        <v>2.4542600896860889E-2</v>
      </c>
      <c r="AB46" s="522"/>
      <c r="AC46" s="139">
        <v>0</v>
      </c>
    </row>
    <row r="47" spans="1:29" ht="15" hidden="1" customHeight="1" outlineLevel="1">
      <c r="A47" s="178"/>
      <c r="B47" s="178"/>
      <c r="C47" s="143"/>
      <c r="D47" s="143"/>
      <c r="E47" s="143"/>
      <c r="F47" s="143"/>
      <c r="G47" s="179"/>
      <c r="H47" s="113"/>
      <c r="I47" s="180"/>
      <c r="J47" s="180"/>
      <c r="K47" s="180"/>
      <c r="L47" s="180"/>
      <c r="M47" s="180"/>
      <c r="N47" s="180"/>
      <c r="O47" s="180"/>
      <c r="P47" s="186"/>
      <c r="Q47" s="494"/>
      <c r="R47" s="494"/>
      <c r="S47" s="187" t="s">
        <v>429</v>
      </c>
      <c r="T47" s="494" t="s">
        <v>430</v>
      </c>
      <c r="U47" s="249"/>
      <c r="V47" s="105">
        <f ca="1">V46</f>
        <v>4.3834138486312457E-2</v>
      </c>
      <c r="W47" s="105">
        <f ca="1">(1+V47)*(1+W46)-1</f>
        <v>7.3568904782081779E-2</v>
      </c>
      <c r="X47" s="105">
        <f ca="1">(1+W47)*(1+X46)-1</f>
        <v>9.7875705169975014E-2</v>
      </c>
      <c r="Y47" s="105">
        <f ca="1">(1+X47)*(1+Y46)-1</f>
        <v>0.12545954963770423</v>
      </c>
      <c r="Z47" s="105">
        <f ca="1">(1+Y47)*(1+Z46)-1</f>
        <v>0.1547134150530356</v>
      </c>
      <c r="AA47" s="250">
        <f ca="1">(1+Z47)*(1+AA46)-1</f>
        <v>0.18305308554893363</v>
      </c>
      <c r="AB47" s="522"/>
      <c r="AC47" s="139">
        <v>0</v>
      </c>
    </row>
    <row r="48" spans="1:29" ht="15" hidden="1" customHeight="1" outlineLevel="1">
      <c r="A48" s="178"/>
      <c r="B48" s="178"/>
      <c r="C48" s="143"/>
      <c r="D48" s="143"/>
      <c r="E48" s="143"/>
      <c r="F48" s="143"/>
      <c r="G48" s="179"/>
      <c r="H48" s="113"/>
      <c r="I48" s="180"/>
      <c r="J48" s="180"/>
      <c r="K48" s="180"/>
      <c r="L48" s="180"/>
      <c r="M48" s="180"/>
      <c r="N48" s="180"/>
      <c r="O48" s="180"/>
      <c r="P48" s="186"/>
      <c r="Q48" s="494"/>
      <c r="R48" s="494"/>
      <c r="S48" s="187" t="s">
        <v>431</v>
      </c>
      <c r="T48" s="494" t="s">
        <v>432</v>
      </c>
      <c r="U48" s="249">
        <f t="shared" ref="U48:AA48" ca="1" si="39">VLOOKUP($T48,INDIRECT($S$45 &amp; $S$46), MATCH(U$4, INDIRECT($S$45 &amp; $S$48), 0), 0)</f>
        <v>7.0547861313106974E-2</v>
      </c>
      <c r="V48" s="105">
        <f t="shared" ca="1" si="39"/>
        <v>3.6285147071598134E-2</v>
      </c>
      <c r="W48" s="105">
        <f t="shared" ca="1" si="39"/>
        <v>1.9822455990704757E-2</v>
      </c>
      <c r="X48" s="105">
        <f t="shared" ca="1" si="39"/>
        <v>2.1685549903348367E-2</v>
      </c>
      <c r="Y48" s="105">
        <f t="shared" ca="1" si="39"/>
        <v>2.2299011614558939E-2</v>
      </c>
      <c r="Z48" s="105">
        <f t="shared" ca="1" si="39"/>
        <v>2.2811108999718055E-2</v>
      </c>
      <c r="AA48" s="250">
        <f t="shared" ca="1" si="39"/>
        <v>2.3117392100695966E-2</v>
      </c>
      <c r="AB48" s="522"/>
      <c r="AC48" s="139">
        <v>0</v>
      </c>
    </row>
    <row r="49" spans="1:29" ht="15.95" hidden="1" customHeight="1" outlineLevel="1" thickBot="1">
      <c r="A49" s="178"/>
      <c r="B49" s="178"/>
      <c r="C49" s="143"/>
      <c r="D49" s="143"/>
      <c r="E49" s="143"/>
      <c r="F49" s="143"/>
      <c r="G49" s="179"/>
      <c r="H49" s="113"/>
      <c r="I49" s="180"/>
      <c r="J49" s="180"/>
      <c r="K49" s="180"/>
      <c r="L49" s="180"/>
      <c r="M49" s="180"/>
      <c r="N49" s="180"/>
      <c r="O49" s="180"/>
      <c r="P49" s="186"/>
      <c r="Q49" s="494"/>
      <c r="R49" s="494"/>
      <c r="S49" s="187"/>
      <c r="T49" s="494" t="s">
        <v>433</v>
      </c>
      <c r="U49" s="461"/>
      <c r="V49" s="462">
        <f ca="1">V48</f>
        <v>3.6285147071598134E-2</v>
      </c>
      <c r="W49" s="462">
        <f ca="1">(1+V49)*(1+W48)-1</f>
        <v>5.6826863793245863E-2</v>
      </c>
      <c r="X49" s="462">
        <f ca="1">(1+W49)*(1+X48)-1</f>
        <v>7.9744735487233376E-2</v>
      </c>
      <c r="Y49" s="462">
        <f ca="1">(1+X49)*(1+Y48)-1</f>
        <v>0.10382197588462216</v>
      </c>
      <c r="Z49" s="462">
        <f ca="1">(1+Y49)*(1+Z48)-1</f>
        <v>0.12900137929281041</v>
      </c>
      <c r="AA49" s="544">
        <f ca="1">(1+Z49)*(1+AA48)-1</f>
        <v>0.15510094686014897</v>
      </c>
      <c r="AB49" s="522"/>
      <c r="AC49" s="139">
        <v>0</v>
      </c>
    </row>
    <row r="50" spans="1:29" ht="15" hidden="1" customHeight="1" outlineLevel="1">
      <c r="A50" s="178"/>
      <c r="B50" s="178"/>
      <c r="C50" s="143"/>
      <c r="D50" s="143"/>
      <c r="E50" s="143"/>
      <c r="F50" s="143"/>
      <c r="G50" s="179"/>
      <c r="H50" s="113"/>
      <c r="I50" s="180"/>
      <c r="J50" s="180"/>
      <c r="K50" s="180"/>
      <c r="L50" s="180"/>
      <c r="M50" s="186"/>
      <c r="N50" s="180"/>
      <c r="O50" s="180"/>
      <c r="P50" s="180"/>
      <c r="Q50" s="495"/>
      <c r="R50" s="495"/>
      <c r="S50" s="180"/>
      <c r="T50" s="180"/>
      <c r="U50" s="541"/>
      <c r="V50" s="541"/>
      <c r="W50" s="541"/>
      <c r="X50" s="541"/>
      <c r="Y50" s="541"/>
      <c r="Z50" s="541"/>
      <c r="AA50" s="541"/>
      <c r="AB50" s="293"/>
      <c r="AC50" s="139">
        <v>0</v>
      </c>
    </row>
    <row r="51" spans="1:29" ht="15.95" hidden="1" customHeight="1" outlineLevel="1" thickBot="1">
      <c r="A51" s="178"/>
      <c r="B51" s="185" t="s">
        <v>434</v>
      </c>
      <c r="C51" s="143"/>
      <c r="D51" s="143"/>
      <c r="E51" s="143"/>
      <c r="F51" s="143"/>
      <c r="G51" s="295"/>
      <c r="H51" s="296"/>
      <c r="I51" s="297"/>
      <c r="J51" s="297"/>
      <c r="K51" s="297"/>
      <c r="L51" s="297"/>
      <c r="M51" s="297"/>
      <c r="N51" s="297"/>
      <c r="O51" s="297"/>
      <c r="P51" s="297"/>
      <c r="Q51" s="495"/>
      <c r="R51" s="495"/>
      <c r="S51" s="180"/>
      <c r="T51" s="180"/>
      <c r="U51" s="297"/>
      <c r="V51" s="297"/>
      <c r="W51" s="297"/>
      <c r="X51" s="297"/>
      <c r="Y51" s="297"/>
      <c r="Z51" s="297"/>
      <c r="AA51" s="297"/>
      <c r="AB51" s="293"/>
      <c r="AC51" s="139">
        <v>0</v>
      </c>
    </row>
    <row r="52" spans="1:29" collapsed="1">
      <c r="A52" s="178"/>
      <c r="B52" s="143" t="s">
        <v>461</v>
      </c>
      <c r="C52" s="144" t="str">
        <f>LEFT($G$3,1) &amp; "S_SumSchool"</f>
        <v>MS_SumSchool</v>
      </c>
      <c r="D52" s="143"/>
      <c r="E52" s="143"/>
      <c r="F52" s="290">
        <v>20</v>
      </c>
      <c r="G52" s="1218" t="s">
        <v>436</v>
      </c>
      <c r="H52" s="271" t="s">
        <v>437</v>
      </c>
      <c r="I52" s="278">
        <f t="shared" ref="I52:O53" ca="1" si="40">INDEX(INDIRECT($B$51 &amp; $B$52), MATCH($C52, INDIRECT($B$51 &amp; $B$53),0), MATCH(I$4, INDIRECT($B$51 &amp; $B$54),0))</f>
        <v>6.5</v>
      </c>
      <c r="J52" s="279">
        <f t="shared" ca="1" si="40"/>
        <v>6.5</v>
      </c>
      <c r="K52" s="279">
        <f t="shared" ca="1" si="40"/>
        <v>6.5</v>
      </c>
      <c r="L52" s="279">
        <f t="shared" ca="1" si="40"/>
        <v>6.5</v>
      </c>
      <c r="M52" s="279">
        <f t="shared" ca="1" si="40"/>
        <v>6.5</v>
      </c>
      <c r="N52" s="279">
        <f t="shared" ca="1" si="40"/>
        <v>6.5</v>
      </c>
      <c r="O52" s="280">
        <f t="shared" ca="1" si="40"/>
        <v>6.5</v>
      </c>
      <c r="P52" s="323">
        <f ca="1">INDEX(INDIRECT($S$52 &amp; $S$53), MATCH($T52, INDIRECT($S$52 &amp; $S$54),0), MATCH(I$4, INDIRECT($S$52 &amp; $S$55),0))</f>
        <v>516.10915789473677</v>
      </c>
      <c r="Q52" s="496"/>
      <c r="R52" s="496"/>
      <c r="S52" s="190" t="s">
        <v>363</v>
      </c>
      <c r="T52" s="336" t="s">
        <v>438</v>
      </c>
      <c r="U52" s="259">
        <f ca="1">$P52*$F52*I52*U43</f>
        <v>33547.095263157891</v>
      </c>
      <c r="V52" s="260">
        <f t="shared" ref="V52:AA52" ca="1" si="41">$P52*$F52*J52*V43*(1+V45)</f>
        <v>35314.201252558043</v>
      </c>
      <c r="W52" s="260">
        <f t="shared" ca="1" si="41"/>
        <v>36437.658240480108</v>
      </c>
      <c r="X52" s="260">
        <f t="shared" ca="1" si="41"/>
        <v>76590.154024910546</v>
      </c>
      <c r="Y52" s="260">
        <f t="shared" ca="1" si="41"/>
        <v>79194.358396753829</v>
      </c>
      <c r="Z52" s="260">
        <f t="shared" ca="1" si="41"/>
        <v>40978.460181544411</v>
      </c>
      <c r="AA52" s="261">
        <f t="shared" ca="1" si="41"/>
        <v>42444.412132864978</v>
      </c>
      <c r="AB52" s="293"/>
      <c r="AC52" s="139">
        <v>1</v>
      </c>
    </row>
    <row r="53" spans="1:29">
      <c r="A53" s="178"/>
      <c r="B53" s="143" t="s">
        <v>464</v>
      </c>
      <c r="C53" s="144" t="str">
        <f>LEFT($G$3,1) &amp; "S_ClsfdSumSchool"</f>
        <v>MS_ClsfdSumSchool</v>
      </c>
      <c r="D53" s="143"/>
      <c r="E53" s="143"/>
      <c r="F53" s="290">
        <v>20</v>
      </c>
      <c r="G53" s="1230"/>
      <c r="H53" s="272" t="s">
        <v>440</v>
      </c>
      <c r="I53" s="281">
        <f t="shared" ca="1" si="40"/>
        <v>4</v>
      </c>
      <c r="J53" s="96">
        <f t="shared" ca="1" si="40"/>
        <v>4</v>
      </c>
      <c r="K53" s="96">
        <f t="shared" ca="1" si="40"/>
        <v>4</v>
      </c>
      <c r="L53" s="96">
        <f t="shared" ca="1" si="40"/>
        <v>4</v>
      </c>
      <c r="M53" s="96">
        <f t="shared" ca="1" si="40"/>
        <v>4</v>
      </c>
      <c r="N53" s="96">
        <f t="shared" ca="1" si="40"/>
        <v>4</v>
      </c>
      <c r="O53" s="251">
        <f t="shared" ca="1" si="40"/>
        <v>4</v>
      </c>
      <c r="P53" s="312">
        <f ca="1">INDEX(INDIRECT($S$52 &amp; $S$53), MATCH($T53, INDIRECT($S$52 &amp; $S$54),0), MATCH(I$4, INDIRECT($S$52 &amp; $S$55),0))</f>
        <v>259.32602366853928</v>
      </c>
      <c r="Q53" s="496"/>
      <c r="R53" s="496"/>
      <c r="S53" s="191" t="s">
        <v>441</v>
      </c>
      <c r="T53" s="337" t="s">
        <v>442</v>
      </c>
      <c r="U53" s="67">
        <f ca="1">$P53*$F53*I53*U43</f>
        <v>10373.04094674157</v>
      </c>
      <c r="V53" s="23">
        <f t="shared" ref="V53:AA53" ca="1" si="42">$P53*$F53*J53*V43*(1+V47)</f>
        <v>10827.734260125231</v>
      </c>
      <c r="W53" s="23">
        <f t="shared" ca="1" si="42"/>
        <v>11136.174208453036</v>
      </c>
      <c r="X53" s="23">
        <f t="shared" ca="1" si="42"/>
        <v>22776.619288321854</v>
      </c>
      <c r="Y53" s="23">
        <f t="shared" ca="1" si="42"/>
        <v>23348.875984586466</v>
      </c>
      <c r="Z53" s="23">
        <f t="shared" ca="1" si="42"/>
        <v>11977.889536096933</v>
      </c>
      <c r="AA53" s="24">
        <f t="shared" ca="1" si="42"/>
        <v>12271.858098568046</v>
      </c>
      <c r="AB53" s="293"/>
      <c r="AC53" s="139">
        <v>1</v>
      </c>
    </row>
    <row r="54" spans="1:29">
      <c r="A54" s="178"/>
      <c r="B54" s="143" t="s">
        <v>443</v>
      </c>
      <c r="C54" s="144" t="str">
        <f>LEFT($G$3,1) &amp; "S_SumSchlSupplies"</f>
        <v>MS_SumSchlSupplies</v>
      </c>
      <c r="D54" s="143"/>
      <c r="E54" s="143"/>
      <c r="F54" s="290">
        <f>IF(LEFT($F$3,1) = "E", 0.2*(5/6)*$H$2, 0.2*$H$2)</f>
        <v>100</v>
      </c>
      <c r="G54" s="1230"/>
      <c r="H54" s="272" t="s">
        <v>444</v>
      </c>
      <c r="I54" s="281"/>
      <c r="J54" s="96"/>
      <c r="K54" s="96"/>
      <c r="L54" s="96"/>
      <c r="M54" s="96"/>
      <c r="N54" s="96"/>
      <c r="O54" s="251"/>
      <c r="P54" s="312">
        <f ca="1">INDEX(INDIRECT($B$51 &amp; $B$52), MATCH($C54, INDIRECT($B$51 &amp; $B$53),0), MATCH(P$4, INDIRECT($B$51 &amp; $B$54),0))</f>
        <v>24</v>
      </c>
      <c r="Q54" s="496"/>
      <c r="R54" s="496"/>
      <c r="S54" s="191" t="s">
        <v>445</v>
      </c>
      <c r="T54" s="338"/>
      <c r="U54" s="67">
        <f ca="1">$P54*$F54*U43</f>
        <v>1200</v>
      </c>
      <c r="V54" s="23">
        <f t="shared" ref="V54:AA54" ca="1" si="43">$P54*$F54*V43*(1+V49)</f>
        <v>1243.5421764859177</v>
      </c>
      <c r="W54" s="23">
        <f t="shared" ca="1" si="43"/>
        <v>1268.1922365518951</v>
      </c>
      <c r="X54" s="23">
        <f t="shared" ca="1" si="43"/>
        <v>2591.3873651693602</v>
      </c>
      <c r="Y54" s="23">
        <f t="shared" ca="1" si="43"/>
        <v>2649.172742123093</v>
      </c>
      <c r="Z54" s="23">
        <f t="shared" ca="1" si="43"/>
        <v>1354.8016551513724</v>
      </c>
      <c r="AA54" s="24">
        <f t="shared" ca="1" si="43"/>
        <v>1386.1211362321787</v>
      </c>
      <c r="AB54" s="293"/>
      <c r="AC54" s="139">
        <v>1</v>
      </c>
    </row>
    <row r="55" spans="1:29" ht="15" hidden="1" customHeight="1" outlineLevel="1">
      <c r="A55" s="178"/>
      <c r="B55" s="144"/>
      <c r="C55" s="144"/>
      <c r="D55" s="143"/>
      <c r="E55" s="143"/>
      <c r="F55" s="290"/>
      <c r="G55" s="1230"/>
      <c r="H55" s="317"/>
      <c r="I55" s="321"/>
      <c r="J55" s="180"/>
      <c r="K55" s="180"/>
      <c r="L55" s="180"/>
      <c r="M55" s="180"/>
      <c r="N55" s="180"/>
      <c r="O55" s="298"/>
      <c r="P55" s="321"/>
      <c r="Q55" s="496"/>
      <c r="R55" s="496"/>
      <c r="S55" s="191" t="s">
        <v>375</v>
      </c>
      <c r="T55" s="337"/>
      <c r="U55" s="321"/>
      <c r="V55" s="180"/>
      <c r="W55" s="180"/>
      <c r="X55" s="180"/>
      <c r="Y55" s="180"/>
      <c r="Z55" s="180"/>
      <c r="AA55" s="298"/>
      <c r="AB55" s="293"/>
      <c r="AC55" s="139">
        <v>0</v>
      </c>
    </row>
    <row r="56" spans="1:29" ht="15" hidden="1" customHeight="1" outlineLevel="1">
      <c r="A56" s="154"/>
      <c r="B56" s="154"/>
      <c r="C56" s="154"/>
      <c r="D56" s="154"/>
      <c r="E56" s="154"/>
      <c r="F56" s="291"/>
      <c r="G56" s="1230"/>
      <c r="H56" s="318"/>
      <c r="I56" s="322"/>
      <c r="J56" s="154"/>
      <c r="K56" s="154"/>
      <c r="L56" s="154"/>
      <c r="M56" s="154"/>
      <c r="N56" s="154"/>
      <c r="O56" s="299"/>
      <c r="P56" s="322"/>
      <c r="Q56" s="497"/>
      <c r="R56" s="497"/>
      <c r="S56" s="154"/>
      <c r="T56" s="291"/>
      <c r="U56" s="322"/>
      <c r="V56" s="154"/>
      <c r="W56" s="154"/>
      <c r="X56" s="154"/>
      <c r="Y56" s="154"/>
      <c r="Z56" s="154"/>
      <c r="AA56" s="299"/>
      <c r="AB56" s="294"/>
      <c r="AC56" s="139">
        <v>0</v>
      </c>
    </row>
    <row r="57" spans="1:29" ht="15.75" collapsed="1" thickBot="1">
      <c r="A57" s="154"/>
      <c r="B57" s="153" t="s">
        <v>398</v>
      </c>
      <c r="C57" s="79" t="str">
        <f>LEFT($G$3,1) &amp; "S_atRisk"</f>
        <v>MS_atRisk</v>
      </c>
      <c r="D57" s="154"/>
      <c r="E57" s="154"/>
      <c r="F57" s="292">
        <f>IF(LEFT($F$3,1) = "E", $H$2-$F54, $H$2)</f>
        <v>500</v>
      </c>
      <c r="G57" s="1230"/>
      <c r="H57" s="275" t="s">
        <v>446</v>
      </c>
      <c r="I57" s="282">
        <f t="shared" ref="I57:O57" ca="1" si="44">INDEX(INDIRECT($B$57&amp;$B$58),MATCH($C57,INDIRECT($B$57&amp;$B$59),0),MATCH(I$4,INDIRECT($B$57&amp;$B$60),0))</f>
        <v>0.2</v>
      </c>
      <c r="J57" s="221">
        <f t="shared" ca="1" si="44"/>
        <v>0.25</v>
      </c>
      <c r="K57" s="221">
        <f t="shared" ca="1" si="44"/>
        <v>0.25</v>
      </c>
      <c r="L57" s="221">
        <f t="shared" ca="1" si="44"/>
        <v>0.25</v>
      </c>
      <c r="M57" s="221">
        <f t="shared" ca="1" si="44"/>
        <v>0.25</v>
      </c>
      <c r="N57" s="221">
        <f t="shared" ca="1" si="44"/>
        <v>0.25</v>
      </c>
      <c r="O57" s="283">
        <f t="shared" ca="1" si="44"/>
        <v>0.25</v>
      </c>
      <c r="P57" s="324">
        <f ca="1">INDEX(INDIRECT($B$51 &amp; $B$52), MATCH($C57, INDIRECT($B$51 &amp; $B$53),0), MATCH(P$4, INDIRECT($B$51 &amp; $B$54),0))</f>
        <v>461</v>
      </c>
      <c r="Q57" s="498"/>
      <c r="R57" s="498"/>
      <c r="S57" s="100"/>
      <c r="T57" s="339"/>
      <c r="U57" s="252">
        <f ca="1">$P57*I57*$F$57</f>
        <v>46100</v>
      </c>
      <c r="V57" s="65">
        <f t="shared" ref="V57:AA57" ca="1" si="45">$P57*J57*$F$57*(1+V45)</f>
        <v>60660.41876995279</v>
      </c>
      <c r="W57" s="65">
        <f t="shared" ca="1" si="45"/>
        <v>62590.219499976251</v>
      </c>
      <c r="X57" s="65">
        <f t="shared" ca="1" si="45"/>
        <v>65780.771644519627</v>
      </c>
      <c r="Y57" s="65">
        <f t="shared" ca="1" si="45"/>
        <v>68017.437378918927</v>
      </c>
      <c r="Z57" s="65">
        <f t="shared" ca="1" si="45"/>
        <v>70390.111258151665</v>
      </c>
      <c r="AA57" s="68">
        <f t="shared" ca="1" si="45"/>
        <v>72908.227373188914</v>
      </c>
      <c r="AB57" s="340"/>
      <c r="AC57" s="139">
        <v>1</v>
      </c>
    </row>
    <row r="58" spans="1:29" ht="15" hidden="1" customHeight="1" outlineLevel="1">
      <c r="A58" s="154"/>
      <c r="B58" s="154" t="s">
        <v>423</v>
      </c>
      <c r="C58" s="154"/>
      <c r="D58" s="154"/>
      <c r="E58" s="154"/>
      <c r="F58" s="291"/>
      <c r="G58" s="1230"/>
      <c r="H58" s="316"/>
      <c r="I58" s="319"/>
      <c r="J58" s="319"/>
      <c r="K58" s="319"/>
      <c r="L58" s="319"/>
      <c r="M58" s="319"/>
      <c r="N58" s="319"/>
      <c r="O58" s="320"/>
      <c r="P58" s="320"/>
      <c r="Q58" s="498"/>
      <c r="R58" s="498"/>
      <c r="S58" s="100"/>
      <c r="T58" s="100"/>
      <c r="U58" s="341"/>
      <c r="V58" s="341"/>
      <c r="W58" s="341"/>
      <c r="X58" s="341"/>
      <c r="Y58" s="341"/>
      <c r="Z58" s="341"/>
      <c r="AA58" s="341"/>
      <c r="AB58" s="340"/>
      <c r="AC58" s="139">
        <v>0</v>
      </c>
    </row>
    <row r="59" spans="1:29" ht="15" hidden="1" customHeight="1" outlineLevel="1">
      <c r="A59" s="154"/>
      <c r="B59" s="154" t="s">
        <v>424</v>
      </c>
      <c r="C59" s="154"/>
      <c r="D59" s="154"/>
      <c r="E59" s="154"/>
      <c r="F59" s="291"/>
      <c r="G59" s="1230"/>
      <c r="H59" s="314"/>
      <c r="I59" s="100"/>
      <c r="J59" s="100"/>
      <c r="K59" s="100"/>
      <c r="L59" s="100"/>
      <c r="M59" s="100"/>
      <c r="N59" s="100"/>
      <c r="O59" s="300"/>
      <c r="P59" s="300"/>
      <c r="Q59" s="498"/>
      <c r="R59" s="498"/>
      <c r="S59" s="100"/>
      <c r="T59" s="100"/>
      <c r="U59" s="141"/>
      <c r="V59" s="141"/>
      <c r="W59" s="141"/>
      <c r="X59" s="141"/>
      <c r="Y59" s="141"/>
      <c r="Z59" s="141"/>
      <c r="AA59" s="141"/>
      <c r="AB59" s="340"/>
      <c r="AC59" s="139">
        <v>0</v>
      </c>
    </row>
    <row r="60" spans="1:29" ht="15.95" hidden="1" customHeight="1" outlineLevel="1" thickBot="1">
      <c r="A60" s="154"/>
      <c r="B60" s="154" t="s">
        <v>425</v>
      </c>
      <c r="C60" s="154"/>
      <c r="D60" s="154"/>
      <c r="E60" s="154"/>
      <c r="F60" s="291"/>
      <c r="G60" s="1231"/>
      <c r="H60" s="315"/>
      <c r="I60" s="301"/>
      <c r="J60" s="301"/>
      <c r="K60" s="301"/>
      <c r="L60" s="301"/>
      <c r="M60" s="301"/>
      <c r="N60" s="301"/>
      <c r="O60" s="302"/>
      <c r="P60" s="302"/>
      <c r="Q60" s="498"/>
      <c r="R60" s="498"/>
      <c r="S60" s="100"/>
      <c r="T60" s="100"/>
      <c r="U60" s="141"/>
      <c r="V60" s="141"/>
      <c r="W60" s="141"/>
      <c r="X60" s="141"/>
      <c r="Y60" s="141"/>
      <c r="Z60" s="141"/>
      <c r="AA60" s="141"/>
      <c r="AB60" s="340"/>
      <c r="AC60" s="139">
        <v>0</v>
      </c>
    </row>
    <row r="61" spans="1:29" ht="15" hidden="1" customHeight="1" outlineLevel="1">
      <c r="A61" s="154"/>
      <c r="B61" s="79"/>
      <c r="C61" s="79"/>
      <c r="D61" s="79"/>
      <c r="E61" s="79"/>
      <c r="F61" s="79"/>
      <c r="G61" s="80"/>
      <c r="H61" s="80"/>
      <c r="I61" s="80"/>
      <c r="J61" s="80"/>
      <c r="K61" s="80"/>
      <c r="L61" s="80"/>
      <c r="M61" s="80"/>
      <c r="N61" s="80"/>
      <c r="O61" s="80"/>
      <c r="P61" s="80"/>
      <c r="Q61" s="292"/>
      <c r="R61" s="292"/>
      <c r="S61" s="79"/>
      <c r="T61" s="79"/>
      <c r="U61" s="79"/>
      <c r="V61" s="79"/>
      <c r="W61" s="79"/>
      <c r="X61" s="79"/>
      <c r="Y61" s="79"/>
      <c r="Z61" s="79"/>
      <c r="AA61" s="79"/>
      <c r="AB61" s="523"/>
      <c r="AC61" s="139">
        <v>0</v>
      </c>
    </row>
    <row r="62" spans="1:29" ht="15.95" hidden="1" customHeight="1" outlineLevel="1" thickBot="1">
      <c r="A62" s="122"/>
      <c r="B62" s="192" t="s">
        <v>398</v>
      </c>
      <c r="C62" s="95"/>
      <c r="D62" s="95"/>
      <c r="E62" s="95"/>
      <c r="F62" s="95"/>
      <c r="G62" s="326"/>
      <c r="H62" s="326"/>
      <c r="I62" s="326"/>
      <c r="J62" s="326"/>
      <c r="K62" s="326"/>
      <c r="L62" s="326"/>
      <c r="M62" s="326"/>
      <c r="N62" s="326"/>
      <c r="O62" s="326"/>
      <c r="P62" s="326"/>
      <c r="Q62" s="230"/>
      <c r="R62" s="230"/>
      <c r="S62" s="160" t="s">
        <v>385</v>
      </c>
      <c r="T62" s="160" t="s">
        <v>44</v>
      </c>
      <c r="U62" s="343">
        <f t="shared" ref="U62:AA62" ca="1" si="46">INDEX(INDIRECT($S$62 &amp; $S$63), MATCH($T62, INDIRECT($S$62 &amp; $S$64), 0), MATCH(U$4, INDIRECT($S$62 &amp; $S$65), 0))</f>
        <v>5.4000000000000003E-3</v>
      </c>
      <c r="V62" s="343">
        <f t="shared" ca="1" si="46"/>
        <v>6.6E-3</v>
      </c>
      <c r="W62" s="343">
        <f t="shared" ca="1" si="46"/>
        <v>6.6E-3</v>
      </c>
      <c r="X62" s="343">
        <f t="shared" ca="1" si="46"/>
        <v>6.6E-3</v>
      </c>
      <c r="Y62" s="343">
        <f t="shared" ca="1" si="46"/>
        <v>6.6E-3</v>
      </c>
      <c r="Z62" s="343">
        <f t="shared" ca="1" si="46"/>
        <v>6.6E-3</v>
      </c>
      <c r="AA62" s="343">
        <f t="shared" ca="1" si="46"/>
        <v>6.6E-3</v>
      </c>
      <c r="AB62" s="524"/>
      <c r="AC62" s="139">
        <v>0</v>
      </c>
    </row>
    <row r="63" spans="1:29" ht="15.75" collapsed="1" thickBot="1">
      <c r="A63" s="122"/>
      <c r="B63" s="149" t="s">
        <v>423</v>
      </c>
      <c r="C63" s="95" t="str">
        <f>LEFT($G$3,1) &amp; "S_InstImp"</f>
        <v>MS_InstImp</v>
      </c>
      <c r="D63" s="95"/>
      <c r="E63" s="192"/>
      <c r="F63" s="325"/>
      <c r="G63" s="328" t="s">
        <v>447</v>
      </c>
      <c r="H63" s="328" t="s">
        <v>447</v>
      </c>
      <c r="I63" s="332">
        <f t="shared" ref="I63:O63" ca="1" si="47">INDEX(INDIRECT($B$62&amp;$B$63),MATCH($C63,INDIRECT($B$62&amp;$B$64),0),MATCH(I$4,INDIRECT($B$62&amp;$B$65),0))</f>
        <v>1</v>
      </c>
      <c r="J63" s="333">
        <f t="shared" ca="1" si="47"/>
        <v>1</v>
      </c>
      <c r="K63" s="333">
        <f t="shared" ca="1" si="47"/>
        <v>1</v>
      </c>
      <c r="L63" s="333">
        <f t="shared" ca="1" si="47"/>
        <v>2</v>
      </c>
      <c r="M63" s="333">
        <f t="shared" ca="1" si="47"/>
        <v>2</v>
      </c>
      <c r="N63" s="333">
        <f t="shared" ca="1" si="47"/>
        <v>1</v>
      </c>
      <c r="O63" s="334">
        <f t="shared" ca="1" si="47"/>
        <v>1</v>
      </c>
      <c r="P63" s="576"/>
      <c r="Q63" s="575"/>
      <c r="R63" s="575"/>
      <c r="S63" s="159" t="s">
        <v>390</v>
      </c>
      <c r="T63" s="342"/>
      <c r="U63" s="345">
        <f t="shared" ref="U63:Z63" ca="1" si="48">(U7*(1+U18-U62)+U17+U19)*I63</f>
        <v>117308.73999999999</v>
      </c>
      <c r="V63" s="346">
        <f t="shared" ca="1" si="48"/>
        <v>123808.72868640345</v>
      </c>
      <c r="W63" s="346">
        <f t="shared" ca="1" si="48"/>
        <v>127776.68971002579</v>
      </c>
      <c r="X63" s="346">
        <f t="shared" ca="1" si="48"/>
        <v>267301.78163147293</v>
      </c>
      <c r="Y63" s="346">
        <f t="shared" ca="1" si="48"/>
        <v>276361.89064208721</v>
      </c>
      <c r="Z63" s="346">
        <f t="shared" ca="1" si="48"/>
        <v>142967.49322048048</v>
      </c>
      <c r="AA63" s="347">
        <f ca="1">(AA7*(1+AA18-AA62)+AA17+AA19)*O63</f>
        <v>148027.4750467246</v>
      </c>
      <c r="AB63" s="254"/>
      <c r="AC63" s="139">
        <v>1</v>
      </c>
    </row>
    <row r="64" spans="1:29" ht="15" hidden="1" customHeight="1" outlineLevel="1">
      <c r="A64" s="122"/>
      <c r="B64" s="149" t="s">
        <v>424</v>
      </c>
      <c r="C64" s="95"/>
      <c r="D64" s="95"/>
      <c r="E64" s="149"/>
      <c r="F64" s="149"/>
      <c r="G64" s="327"/>
      <c r="H64" s="329"/>
      <c r="I64" s="331"/>
      <c r="J64" s="331"/>
      <c r="K64" s="331"/>
      <c r="L64" s="331"/>
      <c r="M64" s="331"/>
      <c r="N64" s="331"/>
      <c r="O64" s="331"/>
      <c r="P64" s="335"/>
      <c r="Q64" s="499"/>
      <c r="R64" s="499"/>
      <c r="S64" s="159" t="s">
        <v>394</v>
      </c>
      <c r="T64" s="159"/>
      <c r="U64" s="344"/>
      <c r="V64" s="344"/>
      <c r="W64" s="344"/>
      <c r="X64" s="344"/>
      <c r="Y64" s="344"/>
      <c r="Z64" s="344"/>
      <c r="AA64" s="344"/>
      <c r="AB64" s="254"/>
      <c r="AC64" s="139">
        <v>0</v>
      </c>
    </row>
    <row r="65" spans="1:30" ht="15" hidden="1" customHeight="1" outlineLevel="1">
      <c r="A65" s="122"/>
      <c r="B65" s="149" t="s">
        <v>425</v>
      </c>
      <c r="C65" s="95"/>
      <c r="D65" s="95"/>
      <c r="E65" s="149"/>
      <c r="F65" s="149"/>
      <c r="G65" s="193"/>
      <c r="H65" s="194"/>
      <c r="I65" s="195"/>
      <c r="J65" s="195"/>
      <c r="K65" s="195"/>
      <c r="L65" s="195"/>
      <c r="M65" s="195"/>
      <c r="N65" s="195"/>
      <c r="O65" s="195"/>
      <c r="P65" s="196"/>
      <c r="Q65" s="499"/>
      <c r="R65" s="499"/>
      <c r="S65" s="159" t="s">
        <v>395</v>
      </c>
      <c r="T65" s="159"/>
      <c r="U65" s="159"/>
      <c r="V65" s="159"/>
      <c r="W65" s="159"/>
      <c r="X65" s="159"/>
      <c r="Y65" s="159"/>
      <c r="Z65" s="159"/>
      <c r="AA65" s="159"/>
      <c r="AB65" s="254"/>
      <c r="AC65" s="139">
        <v>0</v>
      </c>
    </row>
    <row r="66" spans="1:30" ht="15" hidden="1" customHeight="1" outlineLevel="1">
      <c r="A66" s="122"/>
      <c r="B66" s="122"/>
      <c r="C66" s="95"/>
      <c r="D66" s="95"/>
      <c r="E66" s="95"/>
      <c r="F66" s="95"/>
      <c r="G66" s="122"/>
      <c r="H66" s="122"/>
      <c r="I66" s="122"/>
      <c r="J66" s="122"/>
      <c r="K66" s="122"/>
      <c r="L66" s="122"/>
      <c r="M66" s="122"/>
      <c r="N66" s="122"/>
      <c r="O66" s="122"/>
      <c r="P66" s="183"/>
      <c r="Q66" s="500"/>
      <c r="R66" s="500"/>
      <c r="S66" s="183"/>
      <c r="T66" s="133"/>
      <c r="U66" s="133"/>
      <c r="V66" s="133"/>
      <c r="W66" s="133"/>
      <c r="X66" s="133"/>
      <c r="Y66" s="133"/>
      <c r="Z66" s="133"/>
      <c r="AA66" s="133"/>
      <c r="AB66" s="254"/>
      <c r="AC66" s="139">
        <v>0</v>
      </c>
    </row>
    <row r="67" spans="1:30" ht="15.95" hidden="1" customHeight="1" outlineLevel="1" thickBot="1">
      <c r="A67" s="89"/>
      <c r="B67" s="89"/>
      <c r="C67" s="89"/>
      <c r="D67" s="89"/>
      <c r="E67" s="89"/>
      <c r="F67" s="89"/>
      <c r="G67" s="89"/>
      <c r="H67" s="89"/>
      <c r="I67" s="89"/>
      <c r="J67" s="89"/>
      <c r="K67" s="89"/>
      <c r="L67" s="89"/>
      <c r="M67" s="89"/>
      <c r="N67" s="89"/>
      <c r="O67" s="89"/>
      <c r="P67" s="89"/>
      <c r="Q67" s="89"/>
      <c r="R67" s="89"/>
      <c r="S67" s="203"/>
      <c r="T67" s="203"/>
      <c r="U67" s="545"/>
      <c r="V67" s="545"/>
      <c r="W67" s="545"/>
      <c r="X67" s="545"/>
      <c r="Y67" s="545"/>
      <c r="Z67" s="545"/>
      <c r="AA67" s="545"/>
      <c r="AB67" s="89"/>
      <c r="AC67" s="139">
        <v>0</v>
      </c>
    </row>
    <row r="68" spans="1:30" collapsed="1">
      <c r="A68" s="89"/>
      <c r="B68" s="211" t="s">
        <v>398</v>
      </c>
      <c r="C68" s="81" t="str">
        <f t="shared" ref="C68:C87" si="49">LEFT($G$3,1) &amp; "S" &amp; D68</f>
        <v>MS_Clsfd</v>
      </c>
      <c r="D68" s="203" t="s">
        <v>448</v>
      </c>
      <c r="E68" s="211"/>
      <c r="F68" s="330"/>
      <c r="G68" s="1224" t="s">
        <v>449</v>
      </c>
      <c r="H68" s="271" t="s">
        <v>450</v>
      </c>
      <c r="I68" s="278">
        <f t="shared" ref="I68:O68" ca="1" si="50">IFERROR(INDEX(INDIRECT($B$68 &amp; $B$69), MATCH($C68, INDIRECT($B$68 &amp; $B$70),0), MATCH(I$4, INDIRECT($B$68 &amp; $B$71), 0)),0)-I69-I70</f>
        <v>4</v>
      </c>
      <c r="J68" s="279">
        <f t="shared" ca="1" si="50"/>
        <v>4</v>
      </c>
      <c r="K68" s="279">
        <f t="shared" ca="1" si="50"/>
        <v>4</v>
      </c>
      <c r="L68" s="279">
        <f t="shared" ca="1" si="50"/>
        <v>4</v>
      </c>
      <c r="M68" s="279">
        <f t="shared" ca="1" si="50"/>
        <v>4</v>
      </c>
      <c r="N68" s="279">
        <f t="shared" ca="1" si="50"/>
        <v>4</v>
      </c>
      <c r="O68" s="280">
        <f t="shared" ca="1" si="50"/>
        <v>4</v>
      </c>
      <c r="P68" s="577"/>
      <c r="Q68" s="501">
        <v>8</v>
      </c>
      <c r="R68" s="501"/>
      <c r="S68" s="206">
        <v>185</v>
      </c>
      <c r="T68" s="354" t="s">
        <v>380</v>
      </c>
      <c r="U68" s="360">
        <f t="shared" ref="U68:Z68" si="51">IF(LEFT($G$3,1)="E", (VLOOKUP($T68, $T$7:$AA$13, MATCH(U$4, $S$4:$AA$4,0),0)*$Q68*$S68*(1+U$18-U$22)+U$17+U$19)*I68, 0)</f>
        <v>0</v>
      </c>
      <c r="V68" s="361">
        <f t="shared" si="51"/>
        <v>0</v>
      </c>
      <c r="W68" s="361">
        <f t="shared" si="51"/>
        <v>0</v>
      </c>
      <c r="X68" s="361">
        <f t="shared" si="51"/>
        <v>0</v>
      </c>
      <c r="Y68" s="361">
        <f t="shared" si="51"/>
        <v>0</v>
      </c>
      <c r="Z68" s="361">
        <f t="shared" si="51"/>
        <v>0</v>
      </c>
      <c r="AA68" s="362">
        <f>IF(LEFT($G$3,1)="E", (VLOOKUP($T68, $T$7:$AA$13, MATCH(AA$4, $T$4:$AA$4,0),0)*$Q68*$S68*(1+AA$18-AA$22)+AA$17+AA$19)*O68, 0)</f>
        <v>0</v>
      </c>
      <c r="AB68" s="89"/>
      <c r="AC68" s="139">
        <v>1</v>
      </c>
    </row>
    <row r="69" spans="1:30">
      <c r="A69" s="81"/>
      <c r="B69" s="212" t="s">
        <v>423</v>
      </c>
      <c r="C69" s="81" t="str">
        <f t="shared" si="49"/>
        <v>MS_SpEdStaff</v>
      </c>
      <c r="D69" s="81" t="s">
        <v>451</v>
      </c>
      <c r="E69" s="81"/>
      <c r="F69" s="82"/>
      <c r="G69" s="1225"/>
      <c r="H69" s="272" t="s">
        <v>452</v>
      </c>
      <c r="I69" s="281">
        <f t="shared" ref="I69:O78" ca="1" si="52">IFERROR(INDEX(INDIRECT($B$73 &amp; $B$74), MATCH($C69, INDIRECT($B$73 &amp; $B$75),0), MATCH(I$4, INDIRECT($B$73 &amp; $B$76), 0)),0)</f>
        <v>5</v>
      </c>
      <c r="J69" s="96">
        <f t="shared" ca="1" si="52"/>
        <v>5</v>
      </c>
      <c r="K69" s="96">
        <f t="shared" ca="1" si="52"/>
        <v>5</v>
      </c>
      <c r="L69" s="96">
        <f t="shared" ca="1" si="52"/>
        <v>5</v>
      </c>
      <c r="M69" s="96">
        <f t="shared" ca="1" si="52"/>
        <v>5</v>
      </c>
      <c r="N69" s="96">
        <f t="shared" ca="1" si="52"/>
        <v>5</v>
      </c>
      <c r="O69" s="96">
        <f t="shared" ca="1" si="52"/>
        <v>5</v>
      </c>
      <c r="P69" s="568"/>
      <c r="Q69" s="501">
        <v>8</v>
      </c>
      <c r="R69" s="501"/>
      <c r="S69" s="206">
        <v>185</v>
      </c>
      <c r="T69" s="354" t="s">
        <v>380</v>
      </c>
      <c r="U69" s="363">
        <f t="shared" ref="U69:U87" ca="1" si="53">(VLOOKUP($T69, $T$7:$AA$13, MATCH(U$4, $S$4:$AA$4,0),0)*$Q69*$S69*(1+$U$18-$U$22)+$U$17+$U$19)*I69</f>
        <v>333675.18174450437</v>
      </c>
      <c r="V69" s="26">
        <f t="shared" ref="V69:V87" ca="1" si="54">(VLOOKUP($T69, $T$7:$AA$13, MATCH(V$4, $S$4:$AA$4,0),0)*$Q69*$S69*(1+V$18-V$22)+V$17+V$19)*J69</f>
        <v>345282.38296478434</v>
      </c>
      <c r="W69" s="26">
        <f t="shared" ref="W69:W87" ca="1" si="55">(VLOOKUP($T69, $T$7:$AA$13, MATCH(W$4, $S$4:$AA$4,0),0)*$Q69*$S69*(1+W$18-W$22)+W$17+W$19)*K69</f>
        <v>354158.09803023323</v>
      </c>
      <c r="X69" s="26">
        <f t="shared" ref="X69:X87" ca="1" si="56">(VLOOKUP($T69, $T$7:$AA$13, MATCH(X$4, $S$4:$AA$4,0),0)*$Q69*$S69*(1+X$18-X$22)+X$17+X$19)*L69</f>
        <v>363265.27522769803</v>
      </c>
      <c r="Y69" s="26">
        <f t="shared" ref="Y69:Y87" ca="1" si="57">(VLOOKUP($T69, $T$7:$AA$13, MATCH(Y$4, $S$4:$AA$4,0),0)*$Q69*$S69*(1+Y$18-Y$22)+Y$17+Y$19)*M69</f>
        <v>373486.30564382038</v>
      </c>
      <c r="Z69" s="26">
        <f t="shared" ref="Z69:Z87" ca="1" si="58">(VLOOKUP($T69, $T$7:$AA$13, MATCH(Z$4, $S$4:$AA$4,0),0)*$Q69*$S69*(1+Z$18-Z$22)+Z$17+Z$19)*N69</f>
        <v>383618.81095103361</v>
      </c>
      <c r="AA69" s="364">
        <f t="shared" ref="AA69:AA87" ca="1" si="59">(VLOOKUP($T69, $T$7:$AA$13, MATCH(AA$4, $T$4:$AA$4,0),0)*$Q69*$S69*(1+AA$18-AA$22)+AA$17+AA$19)*O69</f>
        <v>387401.98049522593</v>
      </c>
      <c r="AB69" s="355"/>
      <c r="AC69" s="139">
        <v>1</v>
      </c>
      <c r="AD69" s="4"/>
    </row>
    <row r="70" spans="1:30">
      <c r="A70" s="81"/>
      <c r="B70" s="212" t="s">
        <v>424</v>
      </c>
      <c r="C70" s="81" t="str">
        <f t="shared" si="49"/>
        <v>MS_PrinSec</v>
      </c>
      <c r="D70" s="81" t="s">
        <v>453</v>
      </c>
      <c r="E70" s="81"/>
      <c r="F70" s="82"/>
      <c r="G70" s="1225"/>
      <c r="H70" s="272" t="s">
        <v>454</v>
      </c>
      <c r="I70" s="281">
        <f t="shared" ca="1" si="52"/>
        <v>1</v>
      </c>
      <c r="J70" s="96">
        <f t="shared" ca="1" si="52"/>
        <v>1</v>
      </c>
      <c r="K70" s="96">
        <f t="shared" ca="1" si="52"/>
        <v>1</v>
      </c>
      <c r="L70" s="96">
        <f t="shared" ca="1" si="52"/>
        <v>1</v>
      </c>
      <c r="M70" s="96">
        <f t="shared" ca="1" si="52"/>
        <v>1</v>
      </c>
      <c r="N70" s="96">
        <f t="shared" ca="1" si="52"/>
        <v>1</v>
      </c>
      <c r="O70" s="251">
        <f t="shared" ca="1" si="52"/>
        <v>1</v>
      </c>
      <c r="P70" s="568"/>
      <c r="Q70" s="501">
        <v>8</v>
      </c>
      <c r="R70" s="501"/>
      <c r="S70" s="206">
        <f>IF(LEFT($G$3, 1) = "E", 210,260)</f>
        <v>260</v>
      </c>
      <c r="T70" s="354" t="s">
        <v>384</v>
      </c>
      <c r="U70" s="363">
        <f t="shared" ca="1" si="53"/>
        <v>89323.464449999679</v>
      </c>
      <c r="V70" s="26">
        <f t="shared" ca="1" si="54"/>
        <v>92444.652615552579</v>
      </c>
      <c r="W70" s="26">
        <f t="shared" ca="1" si="55"/>
        <v>94749.330084685062</v>
      </c>
      <c r="X70" s="26">
        <f t="shared" ca="1" si="56"/>
        <v>97111.614992960298</v>
      </c>
      <c r="Y70" s="26">
        <f t="shared" ca="1" si="57"/>
        <v>99791.567977248415</v>
      </c>
      <c r="Z70" s="26">
        <f t="shared" ca="1" si="58"/>
        <v>102433.94859645679</v>
      </c>
      <c r="AA70" s="364">
        <f t="shared" ca="1" si="59"/>
        <v>103190.58250529526</v>
      </c>
      <c r="AB70" s="355"/>
      <c r="AC70" s="139">
        <v>1</v>
      </c>
      <c r="AD70" s="4"/>
    </row>
    <row r="71" spans="1:30">
      <c r="A71" s="81"/>
      <c r="B71" s="212" t="s">
        <v>425</v>
      </c>
      <c r="C71" s="81" t="str">
        <f t="shared" si="49"/>
        <v>MS_AltEdTeenParent</v>
      </c>
      <c r="D71" s="81" t="s">
        <v>455</v>
      </c>
      <c r="E71" s="81"/>
      <c r="F71" s="82"/>
      <c r="G71" s="1225"/>
      <c r="H71" s="272" t="s">
        <v>456</v>
      </c>
      <c r="I71" s="281">
        <f t="shared" ca="1" si="52"/>
        <v>0</v>
      </c>
      <c r="J71" s="96">
        <f t="shared" ca="1" si="52"/>
        <v>0</v>
      </c>
      <c r="K71" s="96">
        <f t="shared" ca="1" si="52"/>
        <v>0</v>
      </c>
      <c r="L71" s="96">
        <f t="shared" ca="1" si="52"/>
        <v>0</v>
      </c>
      <c r="M71" s="96">
        <f t="shared" ca="1" si="52"/>
        <v>0</v>
      </c>
      <c r="N71" s="96">
        <f t="shared" ca="1" si="52"/>
        <v>0</v>
      </c>
      <c r="O71" s="251">
        <f t="shared" ca="1" si="52"/>
        <v>0</v>
      </c>
      <c r="P71" s="568"/>
      <c r="Q71" s="501">
        <v>8</v>
      </c>
      <c r="R71" s="501"/>
      <c r="S71" s="206">
        <v>220</v>
      </c>
      <c r="T71" s="354" t="s">
        <v>380</v>
      </c>
      <c r="U71" s="363">
        <f t="shared" ca="1" si="53"/>
        <v>0</v>
      </c>
      <c r="V71" s="26">
        <f t="shared" ca="1" si="54"/>
        <v>0</v>
      </c>
      <c r="W71" s="26">
        <f t="shared" ca="1" si="55"/>
        <v>0</v>
      </c>
      <c r="X71" s="26">
        <f t="shared" ca="1" si="56"/>
        <v>0</v>
      </c>
      <c r="Y71" s="26">
        <f t="shared" ca="1" si="57"/>
        <v>0</v>
      </c>
      <c r="Z71" s="26">
        <f t="shared" ca="1" si="58"/>
        <v>0</v>
      </c>
      <c r="AA71" s="364">
        <f t="shared" ca="1" si="59"/>
        <v>0</v>
      </c>
      <c r="AB71" s="355"/>
      <c r="AC71" s="139">
        <v>1</v>
      </c>
      <c r="AD71" s="4"/>
    </row>
    <row r="72" spans="1:30">
      <c r="A72" s="81"/>
      <c r="B72" s="81"/>
      <c r="C72" s="81" t="str">
        <f t="shared" si="49"/>
        <v>MS_CounsOffice</v>
      </c>
      <c r="D72" s="81" t="s">
        <v>457</v>
      </c>
      <c r="E72" s="81"/>
      <c r="F72" s="82"/>
      <c r="G72" s="1225"/>
      <c r="H72" s="272" t="s">
        <v>458</v>
      </c>
      <c r="I72" s="281">
        <f t="shared" ca="1" si="52"/>
        <v>0</v>
      </c>
      <c r="J72" s="96">
        <f t="shared" ca="1" si="52"/>
        <v>0</v>
      </c>
      <c r="K72" s="96">
        <f t="shared" ca="1" si="52"/>
        <v>0</v>
      </c>
      <c r="L72" s="96">
        <f t="shared" ca="1" si="52"/>
        <v>0</v>
      </c>
      <c r="M72" s="96">
        <f t="shared" ca="1" si="52"/>
        <v>0</v>
      </c>
      <c r="N72" s="96">
        <f t="shared" ca="1" si="52"/>
        <v>0</v>
      </c>
      <c r="O72" s="251">
        <f t="shared" ca="1" si="52"/>
        <v>0</v>
      </c>
      <c r="P72" s="568"/>
      <c r="Q72" s="501">
        <v>8</v>
      </c>
      <c r="R72" s="501"/>
      <c r="S72" s="206">
        <v>220</v>
      </c>
      <c r="T72" s="354" t="s">
        <v>380</v>
      </c>
      <c r="U72" s="363">
        <f t="shared" ca="1" si="53"/>
        <v>0</v>
      </c>
      <c r="V72" s="26">
        <f t="shared" ca="1" si="54"/>
        <v>0</v>
      </c>
      <c r="W72" s="26">
        <f t="shared" ca="1" si="55"/>
        <v>0</v>
      </c>
      <c r="X72" s="26">
        <f t="shared" ca="1" si="56"/>
        <v>0</v>
      </c>
      <c r="Y72" s="26">
        <f t="shared" ca="1" si="57"/>
        <v>0</v>
      </c>
      <c r="Z72" s="26">
        <f t="shared" ca="1" si="58"/>
        <v>0</v>
      </c>
      <c r="AA72" s="364">
        <f t="shared" ca="1" si="59"/>
        <v>0</v>
      </c>
      <c r="AB72" s="355"/>
      <c r="AC72" s="139">
        <v>1</v>
      </c>
      <c r="AD72" s="4"/>
    </row>
    <row r="73" spans="1:30">
      <c r="A73" s="81"/>
      <c r="B73" s="81" t="s">
        <v>434</v>
      </c>
      <c r="C73" s="81" t="str">
        <f t="shared" si="49"/>
        <v>MS_S2W_Coord</v>
      </c>
      <c r="D73" s="81" t="s">
        <v>459</v>
      </c>
      <c r="E73" s="81"/>
      <c r="F73" s="82"/>
      <c r="G73" s="1225"/>
      <c r="H73" s="272" t="s">
        <v>460</v>
      </c>
      <c r="I73" s="281">
        <f t="shared" ca="1" si="52"/>
        <v>0</v>
      </c>
      <c r="J73" s="96">
        <f t="shared" ca="1" si="52"/>
        <v>0</v>
      </c>
      <c r="K73" s="96">
        <f t="shared" ca="1" si="52"/>
        <v>0</v>
      </c>
      <c r="L73" s="96">
        <f t="shared" ca="1" si="52"/>
        <v>0</v>
      </c>
      <c r="M73" s="96">
        <f t="shared" ca="1" si="52"/>
        <v>0</v>
      </c>
      <c r="N73" s="96">
        <f t="shared" ca="1" si="52"/>
        <v>0</v>
      </c>
      <c r="O73" s="251">
        <f t="shared" ca="1" si="52"/>
        <v>0</v>
      </c>
      <c r="P73" s="568"/>
      <c r="Q73" s="501">
        <v>8</v>
      </c>
      <c r="R73" s="501"/>
      <c r="S73" s="206">
        <v>220</v>
      </c>
      <c r="T73" s="354" t="s">
        <v>380</v>
      </c>
      <c r="U73" s="363">
        <f t="shared" ca="1" si="53"/>
        <v>0</v>
      </c>
      <c r="V73" s="26">
        <f t="shared" ca="1" si="54"/>
        <v>0</v>
      </c>
      <c r="W73" s="26">
        <f t="shared" ca="1" si="55"/>
        <v>0</v>
      </c>
      <c r="X73" s="26">
        <f t="shared" ca="1" si="56"/>
        <v>0</v>
      </c>
      <c r="Y73" s="26">
        <f t="shared" ca="1" si="57"/>
        <v>0</v>
      </c>
      <c r="Z73" s="26">
        <f t="shared" ca="1" si="58"/>
        <v>0</v>
      </c>
      <c r="AA73" s="364">
        <f t="shared" ca="1" si="59"/>
        <v>0</v>
      </c>
      <c r="AB73" s="355"/>
      <c r="AC73" s="139">
        <v>1</v>
      </c>
      <c r="AD73" s="4"/>
    </row>
    <row r="74" spans="1:30">
      <c r="A74" s="81"/>
      <c r="B74" s="81" t="s">
        <v>461</v>
      </c>
      <c r="C74" s="81" t="str">
        <f t="shared" si="49"/>
        <v>MS_Registrar</v>
      </c>
      <c r="D74" s="81" t="s">
        <v>462</v>
      </c>
      <c r="E74" s="81"/>
      <c r="F74" s="82"/>
      <c r="G74" s="1225"/>
      <c r="H74" s="272" t="s">
        <v>463</v>
      </c>
      <c r="I74" s="281">
        <f t="shared" ca="1" si="52"/>
        <v>1</v>
      </c>
      <c r="J74" s="96">
        <f t="shared" ca="1" si="52"/>
        <v>1</v>
      </c>
      <c r="K74" s="96">
        <f t="shared" ca="1" si="52"/>
        <v>1</v>
      </c>
      <c r="L74" s="96">
        <f t="shared" ca="1" si="52"/>
        <v>1</v>
      </c>
      <c r="M74" s="96">
        <f t="shared" ca="1" si="52"/>
        <v>1</v>
      </c>
      <c r="N74" s="96">
        <f t="shared" ca="1" si="52"/>
        <v>1</v>
      </c>
      <c r="O74" s="251">
        <f t="shared" ca="1" si="52"/>
        <v>1</v>
      </c>
      <c r="P74" s="568"/>
      <c r="Q74" s="501">
        <v>8</v>
      </c>
      <c r="R74" s="501"/>
      <c r="S74" s="206">
        <v>260</v>
      </c>
      <c r="T74" s="354" t="s">
        <v>380</v>
      </c>
      <c r="U74" s="363">
        <f t="shared" ca="1" si="53"/>
        <v>85986.537571428256</v>
      </c>
      <c r="V74" s="26">
        <f t="shared" ca="1" si="54"/>
        <v>88989.581157669119</v>
      </c>
      <c r="W74" s="26">
        <f t="shared" ca="1" si="55"/>
        <v>91216.031945795286</v>
      </c>
      <c r="X74" s="26">
        <f t="shared" ca="1" si="56"/>
        <v>93498.418637091323</v>
      </c>
      <c r="Y74" s="26">
        <f t="shared" ca="1" si="57"/>
        <v>96084.454465540504</v>
      </c>
      <c r="Z74" s="26">
        <f t="shared" ca="1" si="58"/>
        <v>98635.852877351659</v>
      </c>
      <c r="AA74" s="364">
        <f t="shared" ca="1" si="59"/>
        <v>99392.486786190129</v>
      </c>
      <c r="AB74" s="355"/>
      <c r="AC74" s="139">
        <v>1</v>
      </c>
      <c r="AD74" s="4"/>
    </row>
    <row r="75" spans="1:30">
      <c r="A75" s="81"/>
      <c r="B75" s="81" t="s">
        <v>464</v>
      </c>
      <c r="C75" s="81" t="str">
        <f t="shared" si="49"/>
        <v>MS_Attendance</v>
      </c>
      <c r="D75" s="81" t="s">
        <v>465</v>
      </c>
      <c r="E75" s="81"/>
      <c r="F75" s="82"/>
      <c r="G75" s="1225"/>
      <c r="H75" s="272" t="s">
        <v>466</v>
      </c>
      <c r="I75" s="281">
        <f t="shared" ca="1" si="52"/>
        <v>1</v>
      </c>
      <c r="J75" s="96">
        <f t="shared" ca="1" si="52"/>
        <v>1</v>
      </c>
      <c r="K75" s="96">
        <f t="shared" ca="1" si="52"/>
        <v>1</v>
      </c>
      <c r="L75" s="96">
        <f t="shared" ca="1" si="52"/>
        <v>1</v>
      </c>
      <c r="M75" s="96">
        <f t="shared" ca="1" si="52"/>
        <v>1</v>
      </c>
      <c r="N75" s="96">
        <f t="shared" ca="1" si="52"/>
        <v>1</v>
      </c>
      <c r="O75" s="251">
        <f t="shared" ca="1" si="52"/>
        <v>1</v>
      </c>
      <c r="P75" s="568"/>
      <c r="Q75" s="501">
        <v>8</v>
      </c>
      <c r="R75" s="501"/>
      <c r="S75" s="206">
        <v>185</v>
      </c>
      <c r="T75" s="354" t="s">
        <v>380</v>
      </c>
      <c r="U75" s="363">
        <f t="shared" ca="1" si="53"/>
        <v>66735.036348900874</v>
      </c>
      <c r="V75" s="26">
        <f t="shared" ca="1" si="54"/>
        <v>69056.476592956868</v>
      </c>
      <c r="W75" s="26">
        <f t="shared" ca="1" si="55"/>
        <v>70831.619606046646</v>
      </c>
      <c r="X75" s="26">
        <f t="shared" ca="1" si="56"/>
        <v>72653.055045539601</v>
      </c>
      <c r="Y75" s="26">
        <f t="shared" ca="1" si="57"/>
        <v>74697.261128764076</v>
      </c>
      <c r="Z75" s="26">
        <f t="shared" ca="1" si="58"/>
        <v>76723.762190206719</v>
      </c>
      <c r="AA75" s="364">
        <f t="shared" ca="1" si="59"/>
        <v>77480.396099045189</v>
      </c>
      <c r="AB75" s="355"/>
      <c r="AC75" s="139">
        <v>1</v>
      </c>
      <c r="AD75" s="4"/>
    </row>
    <row r="76" spans="1:30">
      <c r="A76" s="81"/>
      <c r="B76" s="81" t="s">
        <v>443</v>
      </c>
      <c r="C76" s="81" t="str">
        <f t="shared" si="49"/>
        <v>MS_CommOutreach</v>
      </c>
      <c r="D76" s="81" t="s">
        <v>467</v>
      </c>
      <c r="E76" s="81"/>
      <c r="F76" s="82"/>
      <c r="G76" s="1225"/>
      <c r="H76" s="272" t="s">
        <v>468</v>
      </c>
      <c r="I76" s="281">
        <f t="shared" ca="1" si="52"/>
        <v>1</v>
      </c>
      <c r="J76" s="96">
        <f t="shared" ca="1" si="52"/>
        <v>1</v>
      </c>
      <c r="K76" s="96">
        <f t="shared" ca="1" si="52"/>
        <v>1</v>
      </c>
      <c r="L76" s="96">
        <f t="shared" ca="1" si="52"/>
        <v>1</v>
      </c>
      <c r="M76" s="96">
        <f t="shared" ca="1" si="52"/>
        <v>1</v>
      </c>
      <c r="N76" s="96">
        <f t="shared" ca="1" si="52"/>
        <v>1</v>
      </c>
      <c r="O76" s="251">
        <f t="shared" ca="1" si="52"/>
        <v>1</v>
      </c>
      <c r="P76" s="568"/>
      <c r="Q76" s="501">
        <v>8</v>
      </c>
      <c r="R76" s="501"/>
      <c r="S76" s="206">
        <v>185</v>
      </c>
      <c r="T76" s="354" t="s">
        <v>380</v>
      </c>
      <c r="U76" s="363">
        <f t="shared" ca="1" si="53"/>
        <v>66735.036348900874</v>
      </c>
      <c r="V76" s="26">
        <f t="shared" ca="1" si="54"/>
        <v>69056.476592956868</v>
      </c>
      <c r="W76" s="26">
        <f t="shared" ca="1" si="55"/>
        <v>70831.619606046646</v>
      </c>
      <c r="X76" s="26">
        <f t="shared" ca="1" si="56"/>
        <v>72653.055045539601</v>
      </c>
      <c r="Y76" s="26">
        <f t="shared" ca="1" si="57"/>
        <v>74697.261128764076</v>
      </c>
      <c r="Z76" s="26">
        <f t="shared" ca="1" si="58"/>
        <v>76723.762190206719</v>
      </c>
      <c r="AA76" s="364">
        <f t="shared" ca="1" si="59"/>
        <v>77480.396099045189</v>
      </c>
      <c r="AB76" s="355"/>
      <c r="AC76" s="139">
        <v>1</v>
      </c>
      <c r="AD76" s="4"/>
    </row>
    <row r="77" spans="1:30">
      <c r="A77" s="81"/>
      <c r="B77" s="81"/>
      <c r="C77" s="81" t="str">
        <f t="shared" si="49"/>
        <v>MS_FamResCenCoord</v>
      </c>
      <c r="D77" s="81" t="s">
        <v>469</v>
      </c>
      <c r="E77" s="81"/>
      <c r="F77" s="82"/>
      <c r="G77" s="1225"/>
      <c r="H77" s="272" t="s">
        <v>470</v>
      </c>
      <c r="I77" s="281">
        <f t="shared" ca="1" si="52"/>
        <v>1</v>
      </c>
      <c r="J77" s="96">
        <f t="shared" ca="1" si="52"/>
        <v>1</v>
      </c>
      <c r="K77" s="96">
        <f t="shared" ca="1" si="52"/>
        <v>1</v>
      </c>
      <c r="L77" s="96">
        <f t="shared" ca="1" si="52"/>
        <v>1</v>
      </c>
      <c r="M77" s="96">
        <f t="shared" ca="1" si="52"/>
        <v>1</v>
      </c>
      <c r="N77" s="96">
        <f t="shared" ca="1" si="52"/>
        <v>1</v>
      </c>
      <c r="O77" s="251">
        <f t="shared" ca="1" si="52"/>
        <v>1</v>
      </c>
      <c r="P77" s="568"/>
      <c r="Q77" s="501">
        <v>8</v>
      </c>
      <c r="R77" s="501"/>
      <c r="S77" s="206">
        <v>185</v>
      </c>
      <c r="T77" s="354" t="s">
        <v>380</v>
      </c>
      <c r="U77" s="363">
        <f t="shared" ca="1" si="53"/>
        <v>66735.036348900874</v>
      </c>
      <c r="V77" s="26">
        <f t="shared" ca="1" si="54"/>
        <v>69056.476592956868</v>
      </c>
      <c r="W77" s="26">
        <f t="shared" ca="1" si="55"/>
        <v>70831.619606046646</v>
      </c>
      <c r="X77" s="26">
        <f t="shared" ca="1" si="56"/>
        <v>72653.055045539601</v>
      </c>
      <c r="Y77" s="26">
        <f t="shared" ca="1" si="57"/>
        <v>74697.261128764076</v>
      </c>
      <c r="Z77" s="26">
        <f t="shared" ca="1" si="58"/>
        <v>76723.762190206719</v>
      </c>
      <c r="AA77" s="364">
        <f t="shared" ca="1" si="59"/>
        <v>77480.396099045189</v>
      </c>
      <c r="AB77" s="355"/>
      <c r="AC77" s="139">
        <v>1</v>
      </c>
      <c r="AD77" s="4"/>
    </row>
    <row r="78" spans="1:30">
      <c r="A78" s="81"/>
      <c r="B78" s="81"/>
      <c r="C78" s="81" t="str">
        <f t="shared" si="49"/>
        <v>MS_DeptSupport</v>
      </c>
      <c r="D78" s="81" t="s">
        <v>471</v>
      </c>
      <c r="E78" s="81"/>
      <c r="F78" s="82"/>
      <c r="G78" s="1225"/>
      <c r="H78" s="272" t="s">
        <v>472</v>
      </c>
      <c r="I78" s="281">
        <f t="shared" ca="1" si="52"/>
        <v>0</v>
      </c>
      <c r="J78" s="96">
        <f t="shared" ca="1" si="52"/>
        <v>0</v>
      </c>
      <c r="K78" s="96">
        <f t="shared" ca="1" si="52"/>
        <v>0</v>
      </c>
      <c r="L78" s="96">
        <f t="shared" ca="1" si="52"/>
        <v>0</v>
      </c>
      <c r="M78" s="96">
        <f t="shared" ca="1" si="52"/>
        <v>0</v>
      </c>
      <c r="N78" s="96">
        <f t="shared" ca="1" si="52"/>
        <v>0</v>
      </c>
      <c r="O78" s="251">
        <f t="shared" ca="1" si="52"/>
        <v>0</v>
      </c>
      <c r="P78" s="568"/>
      <c r="Q78" s="501">
        <v>8</v>
      </c>
      <c r="R78" s="501"/>
      <c r="S78" s="206">
        <v>185</v>
      </c>
      <c r="T78" s="354" t="s">
        <v>380</v>
      </c>
      <c r="U78" s="363">
        <f t="shared" ca="1" si="53"/>
        <v>0</v>
      </c>
      <c r="V78" s="26">
        <f t="shared" ca="1" si="54"/>
        <v>0</v>
      </c>
      <c r="W78" s="26">
        <f t="shared" ca="1" si="55"/>
        <v>0</v>
      </c>
      <c r="X78" s="26">
        <f t="shared" ca="1" si="56"/>
        <v>0</v>
      </c>
      <c r="Y78" s="26">
        <f t="shared" ca="1" si="57"/>
        <v>0</v>
      </c>
      <c r="Z78" s="26">
        <f t="shared" ca="1" si="58"/>
        <v>0</v>
      </c>
      <c r="AA78" s="364">
        <f t="shared" ca="1" si="59"/>
        <v>0</v>
      </c>
      <c r="AB78" s="355"/>
      <c r="AC78" s="139">
        <v>1</v>
      </c>
      <c r="AD78" s="4"/>
    </row>
    <row r="79" spans="1:30">
      <c r="A79" s="81"/>
      <c r="B79" s="81"/>
      <c r="C79" s="81" t="str">
        <f t="shared" si="49"/>
        <v>MS_Bookkeeper</v>
      </c>
      <c r="D79" s="81" t="s">
        <v>473</v>
      </c>
      <c r="E79" s="81"/>
      <c r="F79" s="82"/>
      <c r="G79" s="1225"/>
      <c r="H79" s="272" t="s">
        <v>474</v>
      </c>
      <c r="I79" s="281">
        <f t="shared" ref="I79:O86" ca="1" si="60">IFERROR(INDEX(INDIRECT($B$73 &amp; $B$74), MATCH($C79, INDIRECT($B$73 &amp; $B$75),0), MATCH(I$4, INDIRECT($B$73 &amp; $B$76), 0)),0)</f>
        <v>0</v>
      </c>
      <c r="J79" s="96">
        <f t="shared" ca="1" si="60"/>
        <v>0</v>
      </c>
      <c r="K79" s="96">
        <f t="shared" ca="1" si="60"/>
        <v>0</v>
      </c>
      <c r="L79" s="96">
        <f t="shared" ca="1" si="60"/>
        <v>0</v>
      </c>
      <c r="M79" s="96">
        <f t="shared" ca="1" si="60"/>
        <v>0</v>
      </c>
      <c r="N79" s="96">
        <f t="shared" ca="1" si="60"/>
        <v>0</v>
      </c>
      <c r="O79" s="251">
        <f t="shared" ca="1" si="60"/>
        <v>0</v>
      </c>
      <c r="P79" s="568"/>
      <c r="Q79" s="501">
        <v>8</v>
      </c>
      <c r="R79" s="501"/>
      <c r="S79" s="206">
        <v>260</v>
      </c>
      <c r="T79" s="354" t="s">
        <v>380</v>
      </c>
      <c r="U79" s="363">
        <f t="shared" ca="1" si="53"/>
        <v>0</v>
      </c>
      <c r="V79" s="26">
        <f t="shared" ca="1" si="54"/>
        <v>0</v>
      </c>
      <c r="W79" s="26">
        <f t="shared" ca="1" si="55"/>
        <v>0</v>
      </c>
      <c r="X79" s="26">
        <f t="shared" ca="1" si="56"/>
        <v>0</v>
      </c>
      <c r="Y79" s="26">
        <f t="shared" ca="1" si="57"/>
        <v>0</v>
      </c>
      <c r="Z79" s="26">
        <f t="shared" ca="1" si="58"/>
        <v>0</v>
      </c>
      <c r="AA79" s="364">
        <f t="shared" ca="1" si="59"/>
        <v>0</v>
      </c>
      <c r="AB79" s="355"/>
      <c r="AC79" s="139">
        <v>1</v>
      </c>
      <c r="AD79" s="4"/>
    </row>
    <row r="80" spans="1:30">
      <c r="A80" s="81"/>
      <c r="B80" s="81"/>
      <c r="C80" s="81" t="str">
        <f t="shared" si="49"/>
        <v>MS_Vol_Coord</v>
      </c>
      <c r="D80" s="81" t="s">
        <v>475</v>
      </c>
      <c r="E80" s="81"/>
      <c r="F80" s="82"/>
      <c r="G80" s="1225"/>
      <c r="H80" s="272" t="s">
        <v>476</v>
      </c>
      <c r="I80" s="281">
        <f t="shared" ca="1" si="60"/>
        <v>0</v>
      </c>
      <c r="J80" s="96">
        <f t="shared" ca="1" si="60"/>
        <v>0</v>
      </c>
      <c r="K80" s="96">
        <f t="shared" ca="1" si="60"/>
        <v>0</v>
      </c>
      <c r="L80" s="96">
        <f t="shared" ca="1" si="60"/>
        <v>0</v>
      </c>
      <c r="M80" s="96">
        <f t="shared" ca="1" si="60"/>
        <v>0</v>
      </c>
      <c r="N80" s="96">
        <f t="shared" ca="1" si="60"/>
        <v>0</v>
      </c>
      <c r="O80" s="251">
        <f t="shared" ca="1" si="60"/>
        <v>0</v>
      </c>
      <c r="P80" s="568"/>
      <c r="Q80" s="501">
        <v>8</v>
      </c>
      <c r="R80" s="501"/>
      <c r="S80" s="206">
        <v>220</v>
      </c>
      <c r="T80" s="354" t="s">
        <v>380</v>
      </c>
      <c r="U80" s="363">
        <f t="shared" ca="1" si="53"/>
        <v>0</v>
      </c>
      <c r="V80" s="26">
        <f t="shared" ca="1" si="54"/>
        <v>0</v>
      </c>
      <c r="W80" s="26">
        <f t="shared" ca="1" si="55"/>
        <v>0</v>
      </c>
      <c r="X80" s="26">
        <f t="shared" ca="1" si="56"/>
        <v>0</v>
      </c>
      <c r="Y80" s="26">
        <f t="shared" ca="1" si="57"/>
        <v>0</v>
      </c>
      <c r="Z80" s="26">
        <f t="shared" ca="1" si="58"/>
        <v>0</v>
      </c>
      <c r="AA80" s="364">
        <f t="shared" ca="1" si="59"/>
        <v>0</v>
      </c>
      <c r="AB80" s="355"/>
      <c r="AC80" s="139">
        <v>1</v>
      </c>
      <c r="AD80" s="4"/>
    </row>
    <row r="81" spans="1:30">
      <c r="A81" s="81"/>
      <c r="B81" s="81"/>
      <c r="C81" s="81" t="str">
        <f t="shared" si="49"/>
        <v>MS_HlthClrk</v>
      </c>
      <c r="D81" s="81" t="s">
        <v>477</v>
      </c>
      <c r="E81" s="81"/>
      <c r="F81" s="82"/>
      <c r="G81" s="1225"/>
      <c r="H81" s="272" t="s">
        <v>478</v>
      </c>
      <c r="I81" s="281">
        <f t="shared" ca="1" si="60"/>
        <v>0</v>
      </c>
      <c r="J81" s="96">
        <f t="shared" ca="1" si="60"/>
        <v>0</v>
      </c>
      <c r="K81" s="96">
        <f t="shared" ca="1" si="60"/>
        <v>0</v>
      </c>
      <c r="L81" s="96">
        <f t="shared" ca="1" si="60"/>
        <v>0</v>
      </c>
      <c r="M81" s="96">
        <f t="shared" ca="1" si="60"/>
        <v>0</v>
      </c>
      <c r="N81" s="96">
        <f t="shared" ca="1" si="60"/>
        <v>0</v>
      </c>
      <c r="O81" s="251">
        <f t="shared" ca="1" si="60"/>
        <v>0</v>
      </c>
      <c r="P81" s="568"/>
      <c r="Q81" s="501">
        <v>8</v>
      </c>
      <c r="R81" s="501"/>
      <c r="S81" s="206">
        <v>185</v>
      </c>
      <c r="T81" s="354" t="s">
        <v>380</v>
      </c>
      <c r="U81" s="363">
        <f t="shared" ca="1" si="53"/>
        <v>0</v>
      </c>
      <c r="V81" s="26">
        <f t="shared" ca="1" si="54"/>
        <v>0</v>
      </c>
      <c r="W81" s="26">
        <f t="shared" ca="1" si="55"/>
        <v>0</v>
      </c>
      <c r="X81" s="26">
        <f t="shared" ca="1" si="56"/>
        <v>0</v>
      </c>
      <c r="Y81" s="26">
        <f t="shared" ca="1" si="57"/>
        <v>0</v>
      </c>
      <c r="Z81" s="26">
        <f t="shared" ca="1" si="58"/>
        <v>0</v>
      </c>
      <c r="AA81" s="364">
        <f t="shared" ca="1" si="59"/>
        <v>0</v>
      </c>
      <c r="AB81" s="355"/>
      <c r="AC81" s="139">
        <v>1</v>
      </c>
      <c r="AD81" s="4"/>
    </row>
    <row r="82" spans="1:30">
      <c r="A82" s="81"/>
      <c r="B82" s="81"/>
      <c r="C82" s="81" t="str">
        <f t="shared" si="49"/>
        <v>MS_MediaCentAsst</v>
      </c>
      <c r="D82" s="81" t="s">
        <v>479</v>
      </c>
      <c r="E82" s="81"/>
      <c r="F82" s="82"/>
      <c r="G82" s="1225"/>
      <c r="H82" s="272" t="s">
        <v>480</v>
      </c>
      <c r="I82" s="281">
        <f t="shared" ca="1" si="60"/>
        <v>1</v>
      </c>
      <c r="J82" s="96">
        <f t="shared" ca="1" si="60"/>
        <v>1</v>
      </c>
      <c r="K82" s="96">
        <f t="shared" ca="1" si="60"/>
        <v>1</v>
      </c>
      <c r="L82" s="96">
        <f t="shared" ca="1" si="60"/>
        <v>1</v>
      </c>
      <c r="M82" s="96">
        <f t="shared" ca="1" si="60"/>
        <v>1</v>
      </c>
      <c r="N82" s="96">
        <f t="shared" ca="1" si="60"/>
        <v>1</v>
      </c>
      <c r="O82" s="251">
        <f t="shared" ca="1" si="60"/>
        <v>1</v>
      </c>
      <c r="P82" s="568"/>
      <c r="Q82" s="501">
        <v>8</v>
      </c>
      <c r="R82" s="501"/>
      <c r="S82" s="206">
        <v>220</v>
      </c>
      <c r="T82" s="354" t="s">
        <v>380</v>
      </c>
      <c r="U82" s="363">
        <f t="shared" ca="1" si="53"/>
        <v>75719.070252746984</v>
      </c>
      <c r="V82" s="26">
        <f t="shared" ca="1" si="54"/>
        <v>78358.592056489259</v>
      </c>
      <c r="W82" s="26">
        <f t="shared" ca="1" si="55"/>
        <v>80344.345364596025</v>
      </c>
      <c r="X82" s="26">
        <f t="shared" ca="1" si="56"/>
        <v>82380.891388263743</v>
      </c>
      <c r="Y82" s="26">
        <f t="shared" ca="1" si="57"/>
        <v>84677.951352593082</v>
      </c>
      <c r="Z82" s="26">
        <f t="shared" ca="1" si="58"/>
        <v>86949.404510874359</v>
      </c>
      <c r="AA82" s="364">
        <f t="shared" ca="1" si="59"/>
        <v>87706.03841971283</v>
      </c>
      <c r="AB82" s="355"/>
      <c r="AC82" s="139">
        <v>1</v>
      </c>
      <c r="AD82" s="4"/>
    </row>
    <row r="83" spans="1:30">
      <c r="A83" s="81"/>
      <c r="B83" s="81"/>
      <c r="C83" s="81" t="str">
        <f t="shared" si="49"/>
        <v>MS_Receptionist</v>
      </c>
      <c r="D83" s="81" t="s">
        <v>481</v>
      </c>
      <c r="E83" s="81"/>
      <c r="F83" s="82"/>
      <c r="G83" s="1225"/>
      <c r="H83" s="272" t="s">
        <v>482</v>
      </c>
      <c r="I83" s="281">
        <f t="shared" ca="1" si="60"/>
        <v>1</v>
      </c>
      <c r="J83" s="96">
        <f t="shared" ca="1" si="60"/>
        <v>1</v>
      </c>
      <c r="K83" s="96">
        <f t="shared" ca="1" si="60"/>
        <v>1</v>
      </c>
      <c r="L83" s="96">
        <f t="shared" ca="1" si="60"/>
        <v>1</v>
      </c>
      <c r="M83" s="96">
        <f t="shared" ca="1" si="60"/>
        <v>1</v>
      </c>
      <c r="N83" s="96">
        <f t="shared" ca="1" si="60"/>
        <v>1</v>
      </c>
      <c r="O83" s="251">
        <f t="shared" ca="1" si="60"/>
        <v>1</v>
      </c>
      <c r="P83" s="568"/>
      <c r="Q83" s="501">
        <v>8</v>
      </c>
      <c r="R83" s="501"/>
      <c r="S83" s="206">
        <v>185</v>
      </c>
      <c r="T83" s="354" t="s">
        <v>380</v>
      </c>
      <c r="U83" s="363">
        <f t="shared" ca="1" si="53"/>
        <v>66735.036348900874</v>
      </c>
      <c r="V83" s="26">
        <f t="shared" ca="1" si="54"/>
        <v>69056.476592956868</v>
      </c>
      <c r="W83" s="26">
        <f t="shared" ca="1" si="55"/>
        <v>70831.619606046646</v>
      </c>
      <c r="X83" s="26">
        <f t="shared" ca="1" si="56"/>
        <v>72653.055045539601</v>
      </c>
      <c r="Y83" s="26">
        <f t="shared" ca="1" si="57"/>
        <v>74697.261128764076</v>
      </c>
      <c r="Z83" s="26">
        <f t="shared" ca="1" si="58"/>
        <v>76723.762190206719</v>
      </c>
      <c r="AA83" s="364">
        <f t="shared" ca="1" si="59"/>
        <v>77480.396099045189</v>
      </c>
      <c r="AB83" s="355"/>
      <c r="AC83" s="139">
        <v>1</v>
      </c>
      <c r="AD83" s="4"/>
    </row>
    <row r="84" spans="1:30">
      <c r="A84" s="81"/>
      <c r="B84" s="81"/>
      <c r="C84" s="81" t="str">
        <f t="shared" si="49"/>
        <v>MS_AddlSupport</v>
      </c>
      <c r="D84" s="81" t="s">
        <v>483</v>
      </c>
      <c r="E84" s="81"/>
      <c r="F84" s="82"/>
      <c r="G84" s="1225"/>
      <c r="H84" s="272" t="s">
        <v>484</v>
      </c>
      <c r="I84" s="281">
        <f t="shared" ca="1" si="60"/>
        <v>1</v>
      </c>
      <c r="J84" s="96">
        <f t="shared" ca="1" si="60"/>
        <v>1</v>
      </c>
      <c r="K84" s="96">
        <f t="shared" ca="1" si="60"/>
        <v>1</v>
      </c>
      <c r="L84" s="96">
        <f t="shared" ca="1" si="60"/>
        <v>1</v>
      </c>
      <c r="M84" s="96">
        <f t="shared" ca="1" si="60"/>
        <v>1</v>
      </c>
      <c r="N84" s="96">
        <f t="shared" ca="1" si="60"/>
        <v>1</v>
      </c>
      <c r="O84" s="251">
        <f t="shared" ca="1" si="60"/>
        <v>1</v>
      </c>
      <c r="P84" s="568"/>
      <c r="Q84" s="501">
        <v>8</v>
      </c>
      <c r="R84" s="501"/>
      <c r="S84" s="206">
        <v>185</v>
      </c>
      <c r="T84" s="354" t="s">
        <v>380</v>
      </c>
      <c r="U84" s="363">
        <f t="shared" ca="1" si="53"/>
        <v>66735.036348900874</v>
      </c>
      <c r="V84" s="26">
        <f t="shared" ca="1" si="54"/>
        <v>69056.476592956868</v>
      </c>
      <c r="W84" s="26">
        <f t="shared" ca="1" si="55"/>
        <v>70831.619606046646</v>
      </c>
      <c r="X84" s="26">
        <f t="shared" ca="1" si="56"/>
        <v>72653.055045539601</v>
      </c>
      <c r="Y84" s="26">
        <f t="shared" ca="1" si="57"/>
        <v>74697.261128764076</v>
      </c>
      <c r="Z84" s="26">
        <f t="shared" ca="1" si="58"/>
        <v>76723.762190206719</v>
      </c>
      <c r="AA84" s="364">
        <f t="shared" ca="1" si="59"/>
        <v>77480.396099045189</v>
      </c>
      <c r="AB84" s="355"/>
      <c r="AC84" s="139">
        <v>1</v>
      </c>
      <c r="AD84" s="4"/>
    </row>
    <row r="85" spans="1:30">
      <c r="A85" s="81"/>
      <c r="B85" s="81"/>
      <c r="C85" s="81" t="str">
        <f t="shared" si="49"/>
        <v>MS_CampusMonitor</v>
      </c>
      <c r="D85" s="81" t="s">
        <v>485</v>
      </c>
      <c r="E85" s="81"/>
      <c r="F85" s="82"/>
      <c r="G85" s="1225"/>
      <c r="H85" s="272" t="s">
        <v>486</v>
      </c>
      <c r="I85" s="281">
        <f t="shared" ca="1" si="60"/>
        <v>2</v>
      </c>
      <c r="J85" s="96">
        <f t="shared" ca="1" si="60"/>
        <v>2</v>
      </c>
      <c r="K85" s="96">
        <f t="shared" ca="1" si="60"/>
        <v>2</v>
      </c>
      <c r="L85" s="96">
        <f t="shared" ca="1" si="60"/>
        <v>2</v>
      </c>
      <c r="M85" s="96">
        <f t="shared" ca="1" si="60"/>
        <v>2</v>
      </c>
      <c r="N85" s="96">
        <f t="shared" ca="1" si="60"/>
        <v>2</v>
      </c>
      <c r="O85" s="251">
        <f t="shared" ca="1" si="60"/>
        <v>2</v>
      </c>
      <c r="P85" s="568"/>
      <c r="Q85" s="501">
        <v>8</v>
      </c>
      <c r="R85" s="501"/>
      <c r="S85" s="206">
        <v>185</v>
      </c>
      <c r="T85" s="354" t="s">
        <v>380</v>
      </c>
      <c r="U85" s="363">
        <f t="shared" ca="1" si="53"/>
        <v>133470.07269780175</v>
      </c>
      <c r="V85" s="26">
        <f t="shared" ca="1" si="54"/>
        <v>138112.95318591374</v>
      </c>
      <c r="W85" s="26">
        <f t="shared" ca="1" si="55"/>
        <v>141663.23921209329</v>
      </c>
      <c r="X85" s="26">
        <f t="shared" ca="1" si="56"/>
        <v>145306.1100910792</v>
      </c>
      <c r="Y85" s="26">
        <f t="shared" ca="1" si="57"/>
        <v>149394.52225752815</v>
      </c>
      <c r="Z85" s="26">
        <f t="shared" ca="1" si="58"/>
        <v>153447.52438041344</v>
      </c>
      <c r="AA85" s="364">
        <f t="shared" ca="1" si="59"/>
        <v>154960.79219809038</v>
      </c>
      <c r="AB85" s="355"/>
      <c r="AC85" s="139">
        <v>1</v>
      </c>
      <c r="AD85" s="4"/>
    </row>
    <row r="86" spans="1:30" ht="15.75" thickBot="1">
      <c r="A86" s="81"/>
      <c r="B86" s="81"/>
      <c r="C86" s="81" t="str">
        <f t="shared" si="49"/>
        <v>MS_Nurse</v>
      </c>
      <c r="D86" s="81" t="s">
        <v>487</v>
      </c>
      <c r="E86" s="81"/>
      <c r="F86" s="82"/>
      <c r="G86" s="1226"/>
      <c r="H86" s="273" t="s">
        <v>488</v>
      </c>
      <c r="I86" s="282">
        <f t="shared" ca="1" si="60"/>
        <v>0.66666666666666663</v>
      </c>
      <c r="J86" s="221">
        <f t="shared" ca="1" si="60"/>
        <v>0.66666666666666663</v>
      </c>
      <c r="K86" s="221">
        <f t="shared" ca="1" si="60"/>
        <v>0.66666666666666663</v>
      </c>
      <c r="L86" s="221">
        <f t="shared" ca="1" si="60"/>
        <v>0.66666666666666663</v>
      </c>
      <c r="M86" s="221">
        <f t="shared" ca="1" si="60"/>
        <v>0.66666666666666663</v>
      </c>
      <c r="N86" s="221">
        <f t="shared" ca="1" si="60"/>
        <v>0.66666666666666663</v>
      </c>
      <c r="O86" s="283">
        <f t="shared" ca="1" si="60"/>
        <v>0.66666666666666663</v>
      </c>
      <c r="P86" s="569"/>
      <c r="Q86" s="501">
        <v>1</v>
      </c>
      <c r="R86" s="501"/>
      <c r="S86" s="206">
        <v>1</v>
      </c>
      <c r="T86" s="354" t="s">
        <v>366</v>
      </c>
      <c r="U86" s="365">
        <f t="shared" ca="1" si="53"/>
        <v>81649.417825497731</v>
      </c>
      <c r="V86" s="366">
        <f t="shared" ca="1" si="54"/>
        <v>84743.181694683852</v>
      </c>
      <c r="W86" s="366">
        <f t="shared" ca="1" si="55"/>
        <v>88828.395732089673</v>
      </c>
      <c r="X86" s="366">
        <f t="shared" ca="1" si="56"/>
        <v>91648.835072915608</v>
      </c>
      <c r="Y86" s="366">
        <f t="shared" ca="1" si="57"/>
        <v>94823.825971075654</v>
      </c>
      <c r="Z86" s="366">
        <f t="shared" ca="1" si="58"/>
        <v>98180.560758590756</v>
      </c>
      <c r="AA86" s="367">
        <f t="shared" ca="1" si="59"/>
        <v>98684.983364483065</v>
      </c>
      <c r="AB86" s="355"/>
      <c r="AC86" s="139">
        <v>1</v>
      </c>
      <c r="AD86" s="4"/>
    </row>
    <row r="87" spans="1:30" ht="15.75" thickBot="1">
      <c r="A87" s="203"/>
      <c r="B87" s="203"/>
      <c r="C87" s="81" t="str">
        <f t="shared" si="49"/>
        <v>MS_Clsfd</v>
      </c>
      <c r="D87" s="203" t="s">
        <v>448</v>
      </c>
      <c r="E87" s="203" t="s">
        <v>197</v>
      </c>
      <c r="F87" s="348">
        <f ca="1">INDEX(INDIRECT($B$68&amp;$B$69),MATCH($C87,INDIRECT($B$68&amp;$B$70),0),MATCH(E$87,INDIRECT($B$68&amp;$B$71),0))</f>
        <v>10</v>
      </c>
      <c r="G87" s="352"/>
      <c r="H87" s="353" t="s">
        <v>489</v>
      </c>
      <c r="I87" s="332">
        <f t="shared" ref="I87:O87" ca="1" si="61">IFERROR(INDEX(INDIRECT($B$68&amp;$B$69),MATCH($C87,INDIRECT($B$68&amp;$B$70),0),MATCH(I$4,INDIRECT($B$68&amp;$B$71),0)),0)-$F87</f>
        <v>0</v>
      </c>
      <c r="J87" s="333">
        <f t="shared" ca="1" si="61"/>
        <v>0</v>
      </c>
      <c r="K87" s="333">
        <f t="shared" ca="1" si="61"/>
        <v>0</v>
      </c>
      <c r="L87" s="333">
        <f t="shared" ca="1" si="61"/>
        <v>0</v>
      </c>
      <c r="M87" s="333">
        <f t="shared" ca="1" si="61"/>
        <v>0</v>
      </c>
      <c r="N87" s="333">
        <f t="shared" ca="1" si="61"/>
        <v>0</v>
      </c>
      <c r="O87" s="334">
        <f t="shared" ca="1" si="61"/>
        <v>0</v>
      </c>
      <c r="P87" s="578"/>
      <c r="Q87" s="501">
        <v>8</v>
      </c>
      <c r="R87" s="501"/>
      <c r="S87" s="206">
        <v>185</v>
      </c>
      <c r="T87" s="354" t="s">
        <v>380</v>
      </c>
      <c r="U87" s="357">
        <f t="shared" ca="1" si="53"/>
        <v>0</v>
      </c>
      <c r="V87" s="358">
        <f t="shared" ca="1" si="54"/>
        <v>0</v>
      </c>
      <c r="W87" s="358">
        <f t="shared" ca="1" si="55"/>
        <v>0</v>
      </c>
      <c r="X87" s="358">
        <f t="shared" ca="1" si="56"/>
        <v>0</v>
      </c>
      <c r="Y87" s="358">
        <f t="shared" ca="1" si="57"/>
        <v>0</v>
      </c>
      <c r="Z87" s="358">
        <f t="shared" ca="1" si="58"/>
        <v>0</v>
      </c>
      <c r="AA87" s="359">
        <f t="shared" ca="1" si="59"/>
        <v>0</v>
      </c>
      <c r="AB87" s="355"/>
      <c r="AC87" s="139">
        <v>1</v>
      </c>
      <c r="AD87" s="4"/>
    </row>
    <row r="88" spans="1:30" ht="15" hidden="1" customHeight="1" outlineLevel="1">
      <c r="A88" s="203"/>
      <c r="B88" s="203"/>
      <c r="C88" s="81"/>
      <c r="D88" s="203"/>
      <c r="E88" s="203"/>
      <c r="F88" s="203"/>
      <c r="G88" s="210"/>
      <c r="H88" s="349"/>
      <c r="I88" s="350"/>
      <c r="J88" s="350"/>
      <c r="K88" s="350"/>
      <c r="L88" s="350"/>
      <c r="M88" s="350"/>
      <c r="N88" s="350"/>
      <c r="O88" s="220"/>
      <c r="P88" s="350"/>
      <c r="Q88" s="428"/>
      <c r="R88" s="428"/>
      <c r="S88" s="206"/>
      <c r="T88" s="97"/>
      <c r="U88" s="356"/>
      <c r="V88" s="356"/>
      <c r="W88" s="356"/>
      <c r="X88" s="356"/>
      <c r="Y88" s="356"/>
      <c r="Z88" s="356"/>
      <c r="AA88" s="865"/>
      <c r="AB88" s="355"/>
      <c r="AC88" s="139">
        <v>0</v>
      </c>
      <c r="AD88" s="4"/>
    </row>
    <row r="89" spans="1:30" ht="15.95" hidden="1" customHeight="1" outlineLevel="1" thickBot="1">
      <c r="A89" s="213"/>
      <c r="B89" s="213"/>
      <c r="C89" s="75"/>
      <c r="D89" s="213"/>
      <c r="E89" s="213"/>
      <c r="F89" s="213"/>
      <c r="G89" s="214"/>
      <c r="H89" s="382"/>
      <c r="I89" s="383"/>
      <c r="J89" s="383"/>
      <c r="K89" s="383"/>
      <c r="L89" s="383"/>
      <c r="M89" s="383"/>
      <c r="N89" s="383"/>
      <c r="O89" s="475"/>
      <c r="P89" s="383"/>
      <c r="Q89" s="422"/>
      <c r="R89" s="422"/>
      <c r="S89" s="101"/>
      <c r="T89" s="215"/>
      <c r="U89" s="431"/>
      <c r="V89" s="431"/>
      <c r="W89" s="431"/>
      <c r="X89" s="431"/>
      <c r="Y89" s="431"/>
      <c r="Z89" s="431"/>
      <c r="AA89" s="866"/>
      <c r="AB89" s="372"/>
      <c r="AC89" s="139">
        <v>0</v>
      </c>
      <c r="AD89" s="4"/>
    </row>
    <row r="90" spans="1:30" collapsed="1">
      <c r="A90" s="75"/>
      <c r="B90" s="75" t="s">
        <v>434</v>
      </c>
      <c r="C90" s="75" t="str">
        <f>LEFT($G$3,1) &amp; "S" &amp; D90</f>
        <v>MS_Prin</v>
      </c>
      <c r="D90" s="75" t="s">
        <v>490</v>
      </c>
      <c r="E90" s="75"/>
      <c r="F90" s="76"/>
      <c r="G90" s="1227" t="s">
        <v>491</v>
      </c>
      <c r="H90" s="271" t="s">
        <v>492</v>
      </c>
      <c r="I90" s="278">
        <f ca="1">IFERROR(INDEX(INDIRECT($B$90 &amp; $B$91), MATCH($C90, INDIRECT($B$73 &amp; $B$92),0), MATCH(I$4, INDIRECT($B$73 &amp; $B$93), 0)),0)</f>
        <v>1</v>
      </c>
      <c r="J90" s="279">
        <f t="shared" ref="J90:O92" ca="1" si="62">IFERROR(INDEX(INDIRECT($B$73 &amp; $B$74), MATCH($C90, INDIRECT($B$73 &amp; $B$75),0), MATCH(J$4, INDIRECT($B$73 &amp; $B$76), 0)),0)</f>
        <v>1</v>
      </c>
      <c r="K90" s="279">
        <f t="shared" ca="1" si="62"/>
        <v>1</v>
      </c>
      <c r="L90" s="279">
        <f t="shared" ca="1" si="62"/>
        <v>1</v>
      </c>
      <c r="M90" s="279">
        <f t="shared" ca="1" si="62"/>
        <v>1</v>
      </c>
      <c r="N90" s="279">
        <f t="shared" ca="1" si="62"/>
        <v>1</v>
      </c>
      <c r="O90" s="280">
        <f t="shared" ca="1" si="62"/>
        <v>1</v>
      </c>
      <c r="P90" s="567"/>
      <c r="Q90" s="502">
        <v>1</v>
      </c>
      <c r="R90" s="502"/>
      <c r="S90" s="101">
        <v>1</v>
      </c>
      <c r="T90" s="368" t="s">
        <v>370</v>
      </c>
      <c r="U90" s="360">
        <f ca="1">(VLOOKUP($T90, $T$7:$AA$13, MATCH(U$4, $S$4:$AA$4,0),0)*$Q90*$S90*(1+$U$18-$U$22)+$U$17+$U$19)*I90</f>
        <v>196897.65609063557</v>
      </c>
      <c r="V90" s="361">
        <f t="shared" ref="V90:Z91" ca="1" si="63">(VLOOKUP($T90, $T$7:$AA$13, MATCH(V$4, $S$4:$AA$4,0),0)*$Q90*$S90*(1+V$18-V$22)+V$17+V$19)*J90</f>
        <v>203937.32289730411</v>
      </c>
      <c r="W90" s="361">
        <f t="shared" ca="1" si="63"/>
        <v>213099.19396780455</v>
      </c>
      <c r="X90" s="361">
        <f t="shared" ca="1" si="63"/>
        <v>218901.2726819797</v>
      </c>
      <c r="Y90" s="361">
        <f t="shared" ca="1" si="63"/>
        <v>225361.06872547168</v>
      </c>
      <c r="Z90" s="361">
        <f t="shared" ca="1" si="63"/>
        <v>232012.31252811707</v>
      </c>
      <c r="AA90" s="362">
        <f ca="1">(VLOOKUP($T90, $T$7:$AA$13, MATCH(AA$4, $T$4:$AA$4,0),0)*$Q90*$S90*(1+AA$18-AA$22)+AA$17+AA$19)*O90</f>
        <v>232768.94643695554</v>
      </c>
      <c r="AB90" s="372"/>
      <c r="AC90" s="139">
        <v>1</v>
      </c>
      <c r="AD90" s="4"/>
    </row>
    <row r="91" spans="1:30">
      <c r="A91" s="75"/>
      <c r="B91" s="75" t="s">
        <v>461</v>
      </c>
      <c r="C91" s="75" t="str">
        <f>LEFT($G$3,1) &amp; "S" &amp; D91</f>
        <v>MS_AsstPrin</v>
      </c>
      <c r="D91" s="75" t="s">
        <v>493</v>
      </c>
      <c r="E91" s="75"/>
      <c r="F91" s="76"/>
      <c r="G91" s="1228"/>
      <c r="H91" s="272" t="s">
        <v>494</v>
      </c>
      <c r="I91" s="281">
        <f ca="1">IFERROR(INDEX(INDIRECT($B$73 &amp; $B$74), MATCH($C91, INDIRECT($B$73 &amp; $B$75),0), MATCH(I$4, INDIRECT($B$73 &amp; $B$76), 0)),0)</f>
        <v>1</v>
      </c>
      <c r="J91" s="96">
        <f t="shared" ca="1" si="62"/>
        <v>1</v>
      </c>
      <c r="K91" s="96">
        <f t="shared" ca="1" si="62"/>
        <v>1</v>
      </c>
      <c r="L91" s="96">
        <f t="shared" ca="1" si="62"/>
        <v>1</v>
      </c>
      <c r="M91" s="96">
        <f t="shared" ca="1" si="62"/>
        <v>1</v>
      </c>
      <c r="N91" s="96">
        <f t="shared" ca="1" si="62"/>
        <v>1</v>
      </c>
      <c r="O91" s="251">
        <f t="shared" ca="1" si="62"/>
        <v>1</v>
      </c>
      <c r="P91" s="568"/>
      <c r="Q91" s="502">
        <v>1</v>
      </c>
      <c r="R91" s="502"/>
      <c r="S91" s="101">
        <v>1</v>
      </c>
      <c r="T91" s="368" t="s">
        <v>374</v>
      </c>
      <c r="U91" s="363">
        <f ca="1">(VLOOKUP($T91, $T$7:$AA$13, MATCH(U$4, $S$4:$AA$4,0),0)*$Q91*$S91*(1+$U$18-$U$22)+$U$17+$U$19)*I91</f>
        <v>183064.49174006411</v>
      </c>
      <c r="V91" s="26">
        <f t="shared" ca="1" si="63"/>
        <v>189177.05499672567</v>
      </c>
      <c r="W91" s="26">
        <f t="shared" ca="1" si="63"/>
        <v>197713.74174319865</v>
      </c>
      <c r="X91" s="26">
        <f t="shared" ca="1" si="63"/>
        <v>202647.40215867545</v>
      </c>
      <c r="Y91" s="26">
        <f t="shared" ca="1" si="63"/>
        <v>208162.53700227811</v>
      </c>
      <c r="Z91" s="26">
        <f t="shared" ca="1" si="63"/>
        <v>213829.13061457325</v>
      </c>
      <c r="AA91" s="364">
        <f ca="1">(VLOOKUP($T91, $T$7:$AA$13, MATCH(AA$4, $T$4:$AA$4,0),0)*$Q91*$S91*(1+AA$18-AA$22)+AA$17+AA$19)*O91</f>
        <v>214585.76452341175</v>
      </c>
      <c r="AB91" s="372"/>
      <c r="AC91" s="139">
        <v>1</v>
      </c>
      <c r="AD91" s="4"/>
    </row>
    <row r="92" spans="1:30">
      <c r="A92" s="215"/>
      <c r="B92" s="75" t="s">
        <v>464</v>
      </c>
      <c r="C92" s="75" t="str">
        <f>LEFT($G$3,1) &amp; "S" &amp; D92</f>
        <v>MS_TchrLeadership</v>
      </c>
      <c r="D92" s="75" t="s">
        <v>495</v>
      </c>
      <c r="E92" s="75"/>
      <c r="F92" s="76"/>
      <c r="G92" s="1228"/>
      <c r="H92" s="237" t="s">
        <v>496</v>
      </c>
      <c r="I92" s="67">
        <f ca="1">IFERROR(INDEX(INDIRECT($B$73 &amp; $B$74), MATCH($C92, INDIRECT($B$73 &amp; $B$75),0), MATCH(I$4, INDIRECT($B$73 &amp; $B$76), 0)),0)</f>
        <v>42</v>
      </c>
      <c r="J92" s="23">
        <f t="shared" ca="1" si="62"/>
        <v>42</v>
      </c>
      <c r="K92" s="23">
        <f t="shared" ca="1" si="62"/>
        <v>42</v>
      </c>
      <c r="L92" s="23">
        <f t="shared" ca="1" si="62"/>
        <v>42</v>
      </c>
      <c r="M92" s="23">
        <f t="shared" ca="1" si="62"/>
        <v>42</v>
      </c>
      <c r="N92" s="23">
        <f t="shared" ca="1" si="62"/>
        <v>42</v>
      </c>
      <c r="O92" s="24">
        <f t="shared" ca="1" si="62"/>
        <v>42</v>
      </c>
      <c r="P92" s="579"/>
      <c r="Q92" s="503"/>
      <c r="R92" s="503"/>
      <c r="S92" s="213"/>
      <c r="T92" s="421"/>
      <c r="U92" s="363">
        <f t="shared" ref="U92:Z92" ca="1" si="64">I92*$H$2</f>
        <v>21000</v>
      </c>
      <c r="V92" s="26">
        <f t="shared" ca="1" si="64"/>
        <v>21000</v>
      </c>
      <c r="W92" s="26">
        <f t="shared" ca="1" si="64"/>
        <v>21000</v>
      </c>
      <c r="X92" s="26">
        <f t="shared" ca="1" si="64"/>
        <v>21000</v>
      </c>
      <c r="Y92" s="26">
        <f t="shared" ca="1" si="64"/>
        <v>21000</v>
      </c>
      <c r="Z92" s="26">
        <f t="shared" ca="1" si="64"/>
        <v>21000</v>
      </c>
      <c r="AA92" s="364">
        <f ca="1">O92*$H$2</f>
        <v>21000</v>
      </c>
      <c r="AB92" s="372"/>
      <c r="AC92" s="139">
        <v>1</v>
      </c>
      <c r="AD92" s="4"/>
    </row>
    <row r="93" spans="1:30" ht="15" hidden="1" customHeight="1" outlineLevel="1">
      <c r="A93" s="215"/>
      <c r="B93" s="75" t="s">
        <v>443</v>
      </c>
      <c r="C93" s="215"/>
      <c r="D93" s="215"/>
      <c r="E93" s="215"/>
      <c r="F93" s="368"/>
      <c r="G93" s="1228"/>
      <c r="H93" s="389"/>
      <c r="I93" s="553"/>
      <c r="J93" s="554"/>
      <c r="K93" s="554"/>
      <c r="L93" s="554"/>
      <c r="M93" s="554"/>
      <c r="N93" s="554"/>
      <c r="O93" s="555"/>
      <c r="P93" s="580"/>
      <c r="Q93" s="504"/>
      <c r="R93" s="504"/>
      <c r="S93" s="215"/>
      <c r="T93" s="368"/>
      <c r="U93" s="385"/>
      <c r="V93" s="215"/>
      <c r="W93" s="215"/>
      <c r="X93" s="215"/>
      <c r="Y93" s="215"/>
      <c r="Z93" s="215"/>
      <c r="AA93" s="392"/>
      <c r="AB93" s="372"/>
      <c r="AC93" s="139">
        <v>0</v>
      </c>
    </row>
    <row r="94" spans="1:30" ht="15" hidden="1" customHeight="1" outlineLevel="1">
      <c r="A94" s="75"/>
      <c r="B94" s="155" t="s">
        <v>398</v>
      </c>
      <c r="C94" s="75"/>
      <c r="D94" s="75"/>
      <c r="E94" s="156"/>
      <c r="F94" s="369"/>
      <c r="G94" s="1228"/>
      <c r="H94" s="390"/>
      <c r="I94" s="556"/>
      <c r="J94" s="557"/>
      <c r="K94" s="557"/>
      <c r="L94" s="557"/>
      <c r="M94" s="557"/>
      <c r="N94" s="557"/>
      <c r="O94" s="558"/>
      <c r="P94" s="581"/>
      <c r="Q94" s="505"/>
      <c r="R94" s="505"/>
      <c r="S94" s="118"/>
      <c r="T94" s="422"/>
      <c r="U94" s="432"/>
      <c r="V94" s="216"/>
      <c r="W94" s="216"/>
      <c r="X94" s="216"/>
      <c r="Y94" s="216"/>
      <c r="Z94" s="216"/>
      <c r="AA94" s="433"/>
      <c r="AB94" s="430"/>
      <c r="AC94" s="139">
        <v>0</v>
      </c>
    </row>
    <row r="95" spans="1:30" ht="15" hidden="1" customHeight="1" outlineLevel="1">
      <c r="A95" s="75"/>
      <c r="B95" s="156" t="s">
        <v>423</v>
      </c>
      <c r="C95" s="75"/>
      <c r="D95" s="75"/>
      <c r="E95" s="156"/>
      <c r="F95" s="369"/>
      <c r="G95" s="1228"/>
      <c r="H95" s="390"/>
      <c r="I95" s="556"/>
      <c r="J95" s="557"/>
      <c r="K95" s="557"/>
      <c r="L95" s="557"/>
      <c r="M95" s="557"/>
      <c r="N95" s="557"/>
      <c r="O95" s="558"/>
      <c r="P95" s="581"/>
      <c r="Q95" s="505"/>
      <c r="R95" s="505"/>
      <c r="S95" s="118"/>
      <c r="T95" s="422"/>
      <c r="U95" s="432"/>
      <c r="V95" s="216"/>
      <c r="W95" s="216"/>
      <c r="X95" s="216"/>
      <c r="Y95" s="216"/>
      <c r="Z95" s="216"/>
      <c r="AA95" s="433"/>
      <c r="AB95" s="430"/>
      <c r="AC95" s="139">
        <v>0</v>
      </c>
    </row>
    <row r="96" spans="1:30" ht="15" hidden="1" customHeight="1" outlineLevel="1">
      <c r="A96" s="75"/>
      <c r="B96" s="156" t="s">
        <v>424</v>
      </c>
      <c r="C96" s="75"/>
      <c r="D96" s="75"/>
      <c r="E96" s="156"/>
      <c r="F96" s="369"/>
      <c r="G96" s="1228"/>
      <c r="H96" s="390"/>
      <c r="I96" s="556"/>
      <c r="J96" s="557"/>
      <c r="K96" s="557"/>
      <c r="L96" s="557"/>
      <c r="M96" s="557"/>
      <c r="N96" s="557"/>
      <c r="O96" s="558"/>
      <c r="P96" s="581"/>
      <c r="Q96" s="505"/>
      <c r="R96" s="505"/>
      <c r="S96" s="118"/>
      <c r="T96" s="423" t="s">
        <v>433</v>
      </c>
      <c r="U96" s="434">
        <f t="shared" ref="U96:Z96" ca="1" si="65">VLOOKUP($T96, $T$41:$AA$49, MATCH(U$4, $S$4:$AA$4,0),0)</f>
        <v>3.6285147071598134E-2</v>
      </c>
      <c r="V96" s="117">
        <f t="shared" ca="1" si="65"/>
        <v>5.6826863793245863E-2</v>
      </c>
      <c r="W96" s="117">
        <f t="shared" ca="1" si="65"/>
        <v>7.9744735487233376E-2</v>
      </c>
      <c r="X96" s="117">
        <f t="shared" ca="1" si="65"/>
        <v>0.10382197588462216</v>
      </c>
      <c r="Y96" s="117">
        <f t="shared" ca="1" si="65"/>
        <v>0.12900137929281041</v>
      </c>
      <c r="Z96" s="117">
        <f t="shared" ca="1" si="65"/>
        <v>0.15510094686014897</v>
      </c>
      <c r="AA96" s="435">
        <f ca="1">VLOOKUP($T96, $T$41:$AA$49, MATCH(AA$4, $T$4:$AA$4,0),0)</f>
        <v>0.15510094686014897</v>
      </c>
      <c r="AB96" s="430"/>
      <c r="AC96" s="139">
        <v>0</v>
      </c>
    </row>
    <row r="97" spans="1:29" collapsed="1">
      <c r="A97" s="75"/>
      <c r="B97" s="156" t="s">
        <v>497</v>
      </c>
      <c r="C97" s="75" t="str">
        <f>LEFT($G$3,1) &amp; "S" &amp; D97</f>
        <v>MS_ParComOutreach</v>
      </c>
      <c r="D97" s="75" t="s">
        <v>498</v>
      </c>
      <c r="E97" s="75"/>
      <c r="F97" s="76"/>
      <c r="G97" s="1228"/>
      <c r="H97" s="272" t="s">
        <v>499</v>
      </c>
      <c r="I97" s="67">
        <f t="shared" ref="I97:O97" ca="1" si="66">IFERROR(INDEX(INDIRECT($B$94 &amp; $B$95), MATCH($C97, INDIRECT($B$94 &amp; $B$96),0), MATCH(I$4, INDIRECT($B$94 &amp; $B$97), 0)),0)</f>
        <v>27.83</v>
      </c>
      <c r="J97" s="23">
        <f t="shared" ca="1" si="66"/>
        <v>28.839815643002574</v>
      </c>
      <c r="K97" s="23">
        <f t="shared" ca="1" si="66"/>
        <v>28.839815643002574</v>
      </c>
      <c r="L97" s="23">
        <f t="shared" ca="1" si="66"/>
        <v>30</v>
      </c>
      <c r="M97" s="23">
        <f t="shared" ca="1" si="66"/>
        <v>30</v>
      </c>
      <c r="N97" s="23">
        <f t="shared" ca="1" si="66"/>
        <v>28.839815643002574</v>
      </c>
      <c r="O97" s="24">
        <f t="shared" ca="1" si="66"/>
        <v>28.839815643002574</v>
      </c>
      <c r="P97" s="581"/>
      <c r="Q97" s="505"/>
      <c r="R97" s="505"/>
      <c r="S97" s="118"/>
      <c r="T97" s="422"/>
      <c r="U97" s="311">
        <f ca="1">I97*$H$2</f>
        <v>13915</v>
      </c>
      <c r="V97" s="25">
        <f t="shared" ref="V97:AA97" ca="1" si="67">J97*$H$2*(1+V96)</f>
        <v>15239.3459591849</v>
      </c>
      <c r="W97" s="25">
        <f t="shared" ca="1" si="67"/>
        <v>15569.819556477194</v>
      </c>
      <c r="X97" s="25">
        <f t="shared" ca="1" si="67"/>
        <v>16557.329638269333</v>
      </c>
      <c r="Y97" s="25">
        <f t="shared" ca="1" si="67"/>
        <v>16935.020689392157</v>
      </c>
      <c r="Z97" s="25">
        <f t="shared" ca="1" si="67"/>
        <v>16656.449178252205</v>
      </c>
      <c r="AA97" s="28">
        <f t="shared" ca="1" si="67"/>
        <v>16656.449178252205</v>
      </c>
      <c r="AB97" s="430"/>
      <c r="AC97" s="139">
        <v>1</v>
      </c>
    </row>
    <row r="98" spans="1:29" ht="15" hidden="1" customHeight="1" outlineLevel="1">
      <c r="A98" s="213"/>
      <c r="B98" s="217" t="s">
        <v>411</v>
      </c>
      <c r="C98" s="213"/>
      <c r="D98" s="213"/>
      <c r="E98" s="217"/>
      <c r="F98" s="370"/>
      <c r="G98" s="1228"/>
      <c r="H98" s="391"/>
      <c r="I98" s="556"/>
      <c r="J98" s="557"/>
      <c r="K98" s="557"/>
      <c r="L98" s="557"/>
      <c r="M98" s="557"/>
      <c r="N98" s="557"/>
      <c r="O98" s="558"/>
      <c r="P98" s="581"/>
      <c r="Q98" s="505"/>
      <c r="R98" s="505"/>
      <c r="S98" s="118"/>
      <c r="T98" s="424"/>
      <c r="U98" s="393"/>
      <c r="V98" s="118"/>
      <c r="W98" s="118"/>
      <c r="X98" s="118"/>
      <c r="Y98" s="118"/>
      <c r="Z98" s="118"/>
      <c r="AA98" s="394"/>
      <c r="AB98" s="381"/>
      <c r="AC98" s="139">
        <v>0</v>
      </c>
    </row>
    <row r="99" spans="1:29" ht="15" hidden="1" customHeight="1" outlineLevel="1">
      <c r="A99" s="213"/>
      <c r="B99" s="218" t="s">
        <v>413</v>
      </c>
      <c r="C99" s="213"/>
      <c r="D99" s="213"/>
      <c r="E99" s="218"/>
      <c r="F99" s="371"/>
      <c r="G99" s="1228"/>
      <c r="H99" s="391"/>
      <c r="I99" s="556"/>
      <c r="J99" s="557"/>
      <c r="K99" s="557"/>
      <c r="L99" s="557"/>
      <c r="M99" s="557"/>
      <c r="N99" s="557"/>
      <c r="O99" s="558"/>
      <c r="P99" s="581"/>
      <c r="Q99" s="505"/>
      <c r="R99" s="505"/>
      <c r="S99" s="118"/>
      <c r="T99" s="424"/>
      <c r="U99" s="393"/>
      <c r="V99" s="118"/>
      <c r="W99" s="118"/>
      <c r="X99" s="118"/>
      <c r="Y99" s="118"/>
      <c r="Z99" s="118"/>
      <c r="AA99" s="394"/>
      <c r="AB99" s="381"/>
      <c r="AC99" s="139">
        <v>0</v>
      </c>
    </row>
    <row r="100" spans="1:29" ht="15" hidden="1" customHeight="1" outlineLevel="1">
      <c r="A100" s="213"/>
      <c r="B100" s="218" t="s">
        <v>415</v>
      </c>
      <c r="C100" s="213"/>
      <c r="D100" s="213"/>
      <c r="E100" s="218"/>
      <c r="F100" s="371"/>
      <c r="G100" s="1228"/>
      <c r="H100" s="391"/>
      <c r="I100" s="556"/>
      <c r="J100" s="557"/>
      <c r="K100" s="557"/>
      <c r="L100" s="557"/>
      <c r="M100" s="557"/>
      <c r="N100" s="557"/>
      <c r="O100" s="558"/>
      <c r="P100" s="581"/>
      <c r="Q100" s="505"/>
      <c r="R100" s="505"/>
      <c r="S100" s="118"/>
      <c r="T100" s="424"/>
      <c r="U100" s="393"/>
      <c r="V100" s="118"/>
      <c r="W100" s="118"/>
      <c r="X100" s="118"/>
      <c r="Y100" s="118"/>
      <c r="Z100" s="118"/>
      <c r="AA100" s="394"/>
      <c r="AB100" s="381"/>
      <c r="AC100" s="139">
        <v>0</v>
      </c>
    </row>
    <row r="101" spans="1:29" ht="15" hidden="1" customHeight="1" outlineLevel="1">
      <c r="A101" s="213"/>
      <c r="B101" s="218" t="s">
        <v>418</v>
      </c>
      <c r="C101" s="213"/>
      <c r="D101" s="213"/>
      <c r="E101" s="218"/>
      <c r="F101" s="371"/>
      <c r="G101" s="1228"/>
      <c r="H101" s="391"/>
      <c r="I101" s="556"/>
      <c r="J101" s="557"/>
      <c r="K101" s="557"/>
      <c r="L101" s="557"/>
      <c r="M101" s="557"/>
      <c r="N101" s="557"/>
      <c r="O101" s="558"/>
      <c r="P101" s="581"/>
      <c r="Q101" s="505"/>
      <c r="R101" s="505"/>
      <c r="S101" s="118"/>
      <c r="T101" s="424" t="s">
        <v>433</v>
      </c>
      <c r="U101" s="434">
        <f t="shared" ref="U101:Z101" ca="1" si="68">VLOOKUP($T101, $T$41:$AA$49, MATCH(U$4, $S$4:$AA$4,0),0)</f>
        <v>3.6285147071598134E-2</v>
      </c>
      <c r="V101" s="117">
        <f t="shared" ca="1" si="68"/>
        <v>5.6826863793245863E-2</v>
      </c>
      <c r="W101" s="117">
        <f t="shared" ca="1" si="68"/>
        <v>7.9744735487233376E-2</v>
      </c>
      <c r="X101" s="117">
        <f t="shared" ca="1" si="68"/>
        <v>0.10382197588462216</v>
      </c>
      <c r="Y101" s="117">
        <f t="shared" ca="1" si="68"/>
        <v>0.12900137929281041</v>
      </c>
      <c r="Z101" s="117">
        <f t="shared" ca="1" si="68"/>
        <v>0.15510094686014897</v>
      </c>
      <c r="AA101" s="435">
        <f ca="1">VLOOKUP($T101, $T$41:$AA$49, MATCH(AA$4, $T$4:$AA$4,0),0)</f>
        <v>0.15510094686014897</v>
      </c>
      <c r="AB101" s="381"/>
      <c r="AC101" s="139">
        <v>0</v>
      </c>
    </row>
    <row r="102" spans="1:29" ht="15.75" collapsed="1" thickBot="1">
      <c r="A102" s="213"/>
      <c r="B102" s="219" t="s">
        <v>500</v>
      </c>
      <c r="C102" s="213"/>
      <c r="D102" s="218"/>
      <c r="E102" s="218"/>
      <c r="F102" s="371"/>
      <c r="G102" s="1229"/>
      <c r="H102" s="275" t="s">
        <v>501</v>
      </c>
      <c r="I102" s="252">
        <f t="shared" ref="I102:O102" ca="1" si="69">INDEX(INDIRECT($B$98 &amp; $B$99), MATCH($B102, INDIRECT($B$98 &amp; $B$100),0), MATCH($G$3, INDIRECT($B$98 &amp; $B$101), 0))</f>
        <v>39.095132116839721</v>
      </c>
      <c r="J102" s="65">
        <f t="shared" ca="1" si="69"/>
        <v>39.095132116839721</v>
      </c>
      <c r="K102" s="65">
        <f t="shared" ca="1" si="69"/>
        <v>39.095132116839721</v>
      </c>
      <c r="L102" s="65">
        <f t="shared" ca="1" si="69"/>
        <v>39.095132116839721</v>
      </c>
      <c r="M102" s="65">
        <f t="shared" ca="1" si="69"/>
        <v>39.095132116839721</v>
      </c>
      <c r="N102" s="65">
        <f t="shared" ca="1" si="69"/>
        <v>39.095132116839721</v>
      </c>
      <c r="O102" s="68">
        <f t="shared" ca="1" si="69"/>
        <v>39.095132116839721</v>
      </c>
      <c r="P102" s="582"/>
      <c r="Q102" s="505"/>
      <c r="R102" s="505"/>
      <c r="S102" s="118"/>
      <c r="T102" s="424"/>
      <c r="U102" s="445">
        <f ca="1">I102*$H$2</f>
        <v>19547.566058419859</v>
      </c>
      <c r="V102" s="29">
        <f t="shared" ref="V102:AA102" ca="1" si="70">J102*$H$2*(1+V101)</f>
        <v>20658.392932311162</v>
      </c>
      <c r="W102" s="29">
        <f t="shared" ca="1" si="70"/>
        <v>21106.381543167772</v>
      </c>
      <c r="X102" s="29">
        <f t="shared" ca="1" si="70"/>
        <v>21577.032990340183</v>
      </c>
      <c r="Y102" s="29">
        <f t="shared" ca="1" si="70"/>
        <v>22069.229041773346</v>
      </c>
      <c r="Z102" s="29">
        <f t="shared" ca="1" si="70"/>
        <v>22579.41206289209</v>
      </c>
      <c r="AA102" s="30">
        <f t="shared" ca="1" si="70"/>
        <v>22579.41206289209</v>
      </c>
      <c r="AB102" s="381"/>
      <c r="AC102" s="139">
        <v>1</v>
      </c>
    </row>
    <row r="103" spans="1:29" ht="15" hidden="1" customHeight="1" outlineLevel="1">
      <c r="A103" s="213"/>
      <c r="B103" s="219"/>
      <c r="C103" s="213"/>
      <c r="D103" s="218"/>
      <c r="E103" s="218"/>
      <c r="F103" s="218"/>
      <c r="G103" s="373"/>
      <c r="H103" s="373"/>
      <c r="I103" s="373"/>
      <c r="J103" s="373"/>
      <c r="K103" s="373"/>
      <c r="L103" s="373"/>
      <c r="M103" s="373"/>
      <c r="N103" s="373"/>
      <c r="O103" s="373"/>
      <c r="P103" s="373"/>
      <c r="Q103" s="506"/>
      <c r="R103" s="506"/>
      <c r="S103" s="218"/>
      <c r="T103" s="218"/>
      <c r="U103" s="373"/>
      <c r="V103" s="373"/>
      <c r="W103" s="373"/>
      <c r="X103" s="373"/>
      <c r="Y103" s="373"/>
      <c r="Z103" s="373"/>
      <c r="AA103" s="373"/>
      <c r="AB103" s="395"/>
      <c r="AC103" s="139">
        <v>0</v>
      </c>
    </row>
    <row r="104" spans="1:29" ht="15" hidden="1" customHeight="1" outlineLevel="1">
      <c r="A104" s="156"/>
      <c r="B104" s="156" t="s">
        <v>398</v>
      </c>
      <c r="C104" s="156"/>
      <c r="D104" s="217" t="s">
        <v>502</v>
      </c>
      <c r="E104" s="156"/>
      <c r="F104" s="156"/>
      <c r="G104" s="83"/>
      <c r="H104" s="83"/>
      <c r="I104" s="142"/>
      <c r="J104" s="142"/>
      <c r="K104" s="142"/>
      <c r="L104" s="142"/>
      <c r="M104" s="142"/>
      <c r="N104" s="142"/>
      <c r="O104" s="142"/>
      <c r="P104" s="118"/>
      <c r="Q104" s="507" t="s">
        <v>502</v>
      </c>
      <c r="R104" s="507"/>
      <c r="S104" s="118" t="s">
        <v>426</v>
      </c>
      <c r="T104" s="118"/>
      <c r="U104" s="118"/>
      <c r="V104" s="118"/>
      <c r="W104" s="118"/>
      <c r="X104" s="118"/>
      <c r="Y104" s="118"/>
      <c r="Z104" s="118"/>
      <c r="AA104" s="118"/>
      <c r="AB104" s="381"/>
      <c r="AC104" s="139">
        <v>0</v>
      </c>
    </row>
    <row r="105" spans="1:29" ht="15" hidden="1" customHeight="1" outlineLevel="1">
      <c r="A105" s="150"/>
      <c r="B105" s="150" t="s">
        <v>423</v>
      </c>
      <c r="C105" s="150"/>
      <c r="D105" s="94" t="s">
        <v>503</v>
      </c>
      <c r="E105" s="150"/>
      <c r="F105" s="150"/>
      <c r="G105" s="112"/>
      <c r="H105" s="112"/>
      <c r="I105" s="208"/>
      <c r="J105" s="208"/>
      <c r="K105" s="208"/>
      <c r="L105" s="208"/>
      <c r="M105" s="208"/>
      <c r="N105" s="208"/>
      <c r="O105" s="208"/>
      <c r="P105" s="106"/>
      <c r="Q105" s="508" t="s">
        <v>503</v>
      </c>
      <c r="R105" s="508"/>
      <c r="S105" s="106" t="s">
        <v>428</v>
      </c>
      <c r="T105" s="106"/>
      <c r="U105" s="106"/>
      <c r="V105" s="106"/>
      <c r="W105" s="106"/>
      <c r="X105" s="106"/>
      <c r="Y105" s="106"/>
      <c r="Z105" s="106"/>
      <c r="AA105" s="106"/>
      <c r="AB105" s="411"/>
      <c r="AC105" s="139">
        <v>0</v>
      </c>
    </row>
    <row r="106" spans="1:29" ht="15" hidden="1" customHeight="1" outlineLevel="1">
      <c r="A106" s="150"/>
      <c r="B106" s="150" t="s">
        <v>424</v>
      </c>
      <c r="C106" s="150"/>
      <c r="D106" s="94" t="s">
        <v>504</v>
      </c>
      <c r="E106" s="150"/>
      <c r="F106" s="150"/>
      <c r="G106" s="112"/>
      <c r="H106" s="112"/>
      <c r="I106" s="208"/>
      <c r="J106" s="208"/>
      <c r="K106" s="208"/>
      <c r="L106" s="208"/>
      <c r="M106" s="208"/>
      <c r="N106" s="208"/>
      <c r="O106" s="208"/>
      <c r="P106" s="106"/>
      <c r="Q106" s="508" t="s">
        <v>504</v>
      </c>
      <c r="R106" s="508"/>
      <c r="S106" s="106" t="s">
        <v>429</v>
      </c>
      <c r="T106" s="106"/>
      <c r="U106" s="106"/>
      <c r="V106" s="106"/>
      <c r="W106" s="106"/>
      <c r="X106" s="106"/>
      <c r="Y106" s="106"/>
      <c r="Z106" s="106"/>
      <c r="AA106" s="106"/>
      <c r="AB106" s="411"/>
      <c r="AC106" s="139">
        <v>0</v>
      </c>
    </row>
    <row r="107" spans="1:29" ht="15.95" hidden="1" customHeight="1" outlineLevel="1" thickBot="1">
      <c r="A107" s="150"/>
      <c r="B107" s="150" t="s">
        <v>425</v>
      </c>
      <c r="C107" s="150"/>
      <c r="D107" s="94" t="s">
        <v>505</v>
      </c>
      <c r="E107" s="150"/>
      <c r="F107" s="150"/>
      <c r="G107" s="375"/>
      <c r="H107" s="375"/>
      <c r="I107" s="401"/>
      <c r="J107" s="401"/>
      <c r="K107" s="401"/>
      <c r="L107" s="401"/>
      <c r="M107" s="401"/>
      <c r="N107" s="401"/>
      <c r="O107" s="401"/>
      <c r="P107" s="402"/>
      <c r="Q107" s="508" t="s">
        <v>505</v>
      </c>
      <c r="R107" s="508"/>
      <c r="S107" s="106" t="s">
        <v>431</v>
      </c>
      <c r="T107" s="106" t="s">
        <v>506</v>
      </c>
      <c r="U107" s="441">
        <f t="shared" ref="U107:AA107" ca="1" si="71">INDEX(INDIRECT($S$104 &amp; $S$105), MATCH($T$107, INDIRECT($S$104 &amp; $S$106), 0), MATCH(U$4,INDIRECT($S$104 &amp; $S$107),0))</f>
        <v>-4.726171504101262E-2</v>
      </c>
      <c r="V107" s="441">
        <f t="shared" ca="1" si="71"/>
        <v>-8.2409975195860796E-2</v>
      </c>
      <c r="W107" s="441">
        <f t="shared" ca="1" si="71"/>
        <v>-0.1162615516638914</v>
      </c>
      <c r="X107" s="441">
        <f t="shared" ca="1" si="71"/>
        <v>-0.14886428148102737</v>
      </c>
      <c r="Y107" s="441">
        <f t="shared" ca="1" si="71"/>
        <v>-0.18026423688732895</v>
      </c>
      <c r="Z107" s="441">
        <f t="shared" ca="1" si="71"/>
        <v>-0.21050579043354489</v>
      </c>
      <c r="AA107" s="441">
        <f t="shared" ca="1" si="71"/>
        <v>-0.23963167768576388</v>
      </c>
      <c r="AB107" s="411"/>
      <c r="AC107" s="139">
        <v>0</v>
      </c>
    </row>
    <row r="108" spans="1:29" collapsed="1">
      <c r="A108" s="150"/>
      <c r="B108" s="150" t="str">
        <f>LEFT($G$3,1) &amp; "S" &amp; C108</f>
        <v>MS_CompHardware</v>
      </c>
      <c r="C108" s="150" t="s">
        <v>507</v>
      </c>
      <c r="D108" s="209" t="s">
        <v>508</v>
      </c>
      <c r="E108" s="150"/>
      <c r="F108" s="374">
        <f ca="1">INDEX(INDIRECT($D$104 &amp; $D$105), MATCH($F$3, INDIRECT($D$104 &amp; $D$106),0), MATCH($D108, INDIRECT($D$104 &amp; $D$107),0))</f>
        <v>554</v>
      </c>
      <c r="G108" s="1227" t="s">
        <v>509</v>
      </c>
      <c r="H108" s="271" t="s">
        <v>510</v>
      </c>
      <c r="I108" s="412">
        <f t="shared" ref="I108:O109" ca="1" si="72">INDEX(INDIRECT($B$104 &amp; $B$105), MATCH($B108, INDIRECT($B$104 &amp; $B$106),0), MATCH(I$4, INDIRECT($B$104 &amp; $B$107), 0))</f>
        <v>0.2</v>
      </c>
      <c r="J108" s="403">
        <f t="shared" ca="1" si="72"/>
        <v>0.2</v>
      </c>
      <c r="K108" s="403">
        <f t="shared" ca="1" si="72"/>
        <v>0.2</v>
      </c>
      <c r="L108" s="403">
        <f t="shared" ca="1" si="72"/>
        <v>0.25</v>
      </c>
      <c r="M108" s="403">
        <f t="shared" ca="1" si="72"/>
        <v>0.25</v>
      </c>
      <c r="N108" s="403">
        <f t="shared" ca="1" si="72"/>
        <v>0.2</v>
      </c>
      <c r="O108" s="413">
        <f t="shared" ca="1" si="72"/>
        <v>0.2</v>
      </c>
      <c r="P108" s="405">
        <f ca="1">INDEX(INDIRECT($Q$104 &amp; $Q$105), MATCH($Q108, INDIRECT($Q$104 &amp; $Q$106),0), MATCH($D108, INDIRECT($Q$104 &amp; $Q$107),0))</f>
        <v>501.85260551765964</v>
      </c>
      <c r="Q108" s="509" t="s">
        <v>511</v>
      </c>
      <c r="R108" s="509"/>
      <c r="S108" s="106"/>
      <c r="T108" s="425"/>
      <c r="U108" s="442">
        <f t="shared" ref="U108:AA109" ca="1" si="73">$F108*$P108*I108*(1+U$107)</f>
        <v>52977.268327686856</v>
      </c>
      <c r="V108" s="443">
        <f t="shared" ca="1" si="73"/>
        <v>51022.839877742816</v>
      </c>
      <c r="W108" s="443">
        <f t="shared" ca="1" si="73"/>
        <v>49140.513872611962</v>
      </c>
      <c r="X108" s="443">
        <f t="shared" ca="1" si="73"/>
        <v>59159.537901323012</v>
      </c>
      <c r="Y108" s="443">
        <f t="shared" ca="1" si="73"/>
        <v>56977.034204742988</v>
      </c>
      <c r="Z108" s="443">
        <f t="shared" ca="1" si="73"/>
        <v>43900.03765321301</v>
      </c>
      <c r="AA108" s="444">
        <f t="shared" ca="1" si="73"/>
        <v>42280.48486667921</v>
      </c>
      <c r="AB108" s="411"/>
      <c r="AC108" s="139">
        <v>1</v>
      </c>
    </row>
    <row r="109" spans="1:29" ht="15.75" thickBot="1">
      <c r="A109" s="150"/>
      <c r="B109" s="150" t="str">
        <f>LEFT($G$3,1) &amp; "S" &amp; C109</f>
        <v>MS_CompSoftware</v>
      </c>
      <c r="C109" s="150" t="s">
        <v>512</v>
      </c>
      <c r="D109" s="209" t="s">
        <v>508</v>
      </c>
      <c r="E109" s="150"/>
      <c r="F109" s="374">
        <f ca="1">INDEX(INDIRECT($D$104 &amp; $D$105), MATCH($F$3, INDIRECT($D$104 &amp; $D$106),0), MATCH($D109, INDIRECT($D$104 &amp; $D$107),0))</f>
        <v>554</v>
      </c>
      <c r="G109" s="1229"/>
      <c r="H109" s="275" t="s">
        <v>513</v>
      </c>
      <c r="I109" s="414">
        <f t="shared" ca="1" si="72"/>
        <v>0.25</v>
      </c>
      <c r="J109" s="406">
        <f t="shared" ca="1" si="72"/>
        <v>0.25</v>
      </c>
      <c r="K109" s="406">
        <f t="shared" ca="1" si="72"/>
        <v>0.25</v>
      </c>
      <c r="L109" s="406">
        <f t="shared" ca="1" si="72"/>
        <v>0.5</v>
      </c>
      <c r="M109" s="406">
        <f t="shared" ca="1" si="72"/>
        <v>0.5</v>
      </c>
      <c r="N109" s="406">
        <f t="shared" ca="1" si="72"/>
        <v>0.25</v>
      </c>
      <c r="O109" s="415">
        <f t="shared" ca="1" si="72"/>
        <v>0.25</v>
      </c>
      <c r="P109" s="407">
        <f ca="1">INDEX(INDIRECT($Q$104 &amp; $Q$105), MATCH($Q109, INDIRECT($Q$104 &amp; $Q$106),0), MATCH($D109, INDIRECT($Q$104 &amp; $Q$107),0))</f>
        <v>500</v>
      </c>
      <c r="Q109" s="509" t="s">
        <v>514</v>
      </c>
      <c r="R109" s="509"/>
      <c r="S109" s="106"/>
      <c r="T109" s="425"/>
      <c r="U109" s="445">
        <f t="shared" ca="1" si="73"/>
        <v>65977.126233409872</v>
      </c>
      <c r="V109" s="29">
        <f t="shared" ca="1" si="73"/>
        <v>63543.109217686637</v>
      </c>
      <c r="W109" s="29">
        <f t="shared" ca="1" si="73"/>
        <v>61198.887547275517</v>
      </c>
      <c r="X109" s="29">
        <f t="shared" ca="1" si="73"/>
        <v>117882.29701487771</v>
      </c>
      <c r="Y109" s="29">
        <f t="shared" ca="1" si="73"/>
        <v>113533.40319110494</v>
      </c>
      <c r="Z109" s="29">
        <f t="shared" ca="1" si="73"/>
        <v>54672.474012477018</v>
      </c>
      <c r="AA109" s="30">
        <f t="shared" ca="1" si="73"/>
        <v>52655.506320260851</v>
      </c>
      <c r="AB109" s="411"/>
      <c r="AC109" s="139">
        <v>1</v>
      </c>
    </row>
    <row r="110" spans="1:29" ht="15" hidden="1" customHeight="1" outlineLevel="1">
      <c r="A110" s="150"/>
      <c r="B110" s="150"/>
      <c r="C110" s="150"/>
      <c r="D110" s="150"/>
      <c r="E110" s="150"/>
      <c r="F110" s="150"/>
      <c r="G110" s="376"/>
      <c r="H110" s="376"/>
      <c r="I110" s="376"/>
      <c r="J110" s="376"/>
      <c r="K110" s="376"/>
      <c r="L110" s="376"/>
      <c r="M110" s="376"/>
      <c r="N110" s="376"/>
      <c r="O110" s="376"/>
      <c r="P110" s="376"/>
      <c r="Q110" s="510"/>
      <c r="R110" s="510"/>
      <c r="S110" s="150"/>
      <c r="T110" s="150"/>
      <c r="U110" s="376"/>
      <c r="V110" s="376"/>
      <c r="W110" s="376"/>
      <c r="X110" s="376"/>
      <c r="Y110" s="376"/>
      <c r="Z110" s="376"/>
      <c r="AA110" s="376"/>
      <c r="AB110" s="256"/>
      <c r="AC110" s="139">
        <v>0</v>
      </c>
    </row>
    <row r="111" spans="1:29" ht="15.95" hidden="1" customHeight="1" outlineLevel="1" thickBot="1">
      <c r="A111" s="157"/>
      <c r="B111" s="157"/>
      <c r="C111" s="157"/>
      <c r="D111" s="157"/>
      <c r="E111" s="158"/>
      <c r="F111" s="158"/>
      <c r="G111" s="377"/>
      <c r="H111" s="377"/>
      <c r="I111" s="377"/>
      <c r="J111" s="377"/>
      <c r="K111" s="377"/>
      <c r="L111" s="377"/>
      <c r="M111" s="377"/>
      <c r="N111" s="377"/>
      <c r="O111" s="377"/>
      <c r="P111" s="377"/>
      <c r="Q111" s="511"/>
      <c r="R111" s="511"/>
      <c r="S111" s="116" t="s">
        <v>426</v>
      </c>
      <c r="T111" s="116" t="s">
        <v>515</v>
      </c>
      <c r="U111" s="446">
        <f ca="1">INDEX(INDIRECT($S$111 &amp; $S$112), MATCH($T$111, INDIRECT($S$111 &amp; $S$113), 0), MATCH(U$4,INDIRECT($S$111 &amp; $S$114),0))</f>
        <v>2.4143495093307266E-2</v>
      </c>
      <c r="V111" s="446">
        <f t="shared" ref="V111:AA111" ca="1" si="74">INDEX(INDIRECT($S$111 &amp; $S$112), MATCH($T$111, INDIRECT($S$111 &amp; $S$113), 0), MATCH(V$4,INDIRECT($S$111 &amp; $S$114),0))</f>
        <v>-4.4357521600177918E-3</v>
      </c>
      <c r="W111" s="446">
        <f t="shared" ca="1" si="74"/>
        <v>-3.2217480923521946E-2</v>
      </c>
      <c r="X111" s="446">
        <f t="shared" ca="1" si="74"/>
        <v>-5.9223946357950696E-2</v>
      </c>
      <c r="Y111" s="446">
        <f t="shared" ca="1" si="74"/>
        <v>-8.5476782582423305E-2</v>
      </c>
      <c r="Z111" s="446">
        <f t="shared" ca="1" si="74"/>
        <v>-0.11099702000491651</v>
      </c>
      <c r="AA111" s="446">
        <f t="shared" ca="1" si="74"/>
        <v>-0.13580510216913266</v>
      </c>
      <c r="AB111" s="446"/>
      <c r="AC111" s="139">
        <v>0</v>
      </c>
    </row>
    <row r="112" spans="1:29" collapsed="1">
      <c r="A112" s="157"/>
      <c r="B112" s="158" t="s">
        <v>398</v>
      </c>
      <c r="C112" s="91" t="str">
        <f>LEFT($G$3,1) &amp; "S" &amp; D112</f>
        <v>MS_TextsConsumables</v>
      </c>
      <c r="D112" s="158" t="s">
        <v>516</v>
      </c>
      <c r="E112" s="114"/>
      <c r="F112" s="130"/>
      <c r="G112" s="1227" t="s">
        <v>517</v>
      </c>
      <c r="H112" s="271" t="s">
        <v>518</v>
      </c>
      <c r="I112" s="259">
        <f t="shared" ref="I112:O112" ca="1" si="75">INDEX(INDIRECT($B$112 &amp; $B$113), MATCH($C112, INDIRECT($B$112 &amp; $B$114),0), MATCH(I$4, INDIRECT($B$112 &amp; $B$115), 0))</f>
        <v>121.88</v>
      </c>
      <c r="J112" s="260">
        <f t="shared" ca="1" si="75"/>
        <v>126.30243372508637</v>
      </c>
      <c r="K112" s="260">
        <f t="shared" ca="1" si="75"/>
        <v>126.30243372508637</v>
      </c>
      <c r="L112" s="260">
        <f t="shared" ca="1" si="75"/>
        <v>126.30243372508637</v>
      </c>
      <c r="M112" s="260">
        <f t="shared" ca="1" si="75"/>
        <v>126.30243372508637</v>
      </c>
      <c r="N112" s="260">
        <f t="shared" ca="1" si="75"/>
        <v>126.30243372508637</v>
      </c>
      <c r="O112" s="261">
        <f t="shared" ca="1" si="75"/>
        <v>126.30243372508637</v>
      </c>
      <c r="P112" s="583"/>
      <c r="Q112" s="511"/>
      <c r="R112" s="511"/>
      <c r="S112" s="116" t="s">
        <v>428</v>
      </c>
      <c r="T112" s="426"/>
      <c r="U112" s="442">
        <f t="shared" ref="U112:Z112" ca="1" si="76">I112*$H$2*(1+U$111)</f>
        <v>62411.304590986147</v>
      </c>
      <c r="V112" s="443">
        <f t="shared" ca="1" si="76"/>
        <v>62871.093715937408</v>
      </c>
      <c r="W112" s="443">
        <f t="shared" ca="1" si="76"/>
        <v>61116.643737977007</v>
      </c>
      <c r="X112" s="443">
        <f t="shared" ca="1" si="76"/>
        <v>59411.15258263662</v>
      </c>
      <c r="Y112" s="443">
        <f t="shared" ca="1" si="76"/>
        <v>57753.25402896812</v>
      </c>
      <c r="Z112" s="443">
        <f t="shared" ca="1" si="76"/>
        <v>56141.619981116659</v>
      </c>
      <c r="AA112" s="444">
        <f ca="1">O112*$H$2*(1+AA$111)</f>
        <v>54574.959404420457</v>
      </c>
      <c r="AB112" s="396"/>
      <c r="AC112" s="139">
        <v>1</v>
      </c>
    </row>
    <row r="113" spans="1:30" ht="15" hidden="1" customHeight="1" outlineLevel="1">
      <c r="A113" s="157"/>
      <c r="B113" s="158" t="s">
        <v>423</v>
      </c>
      <c r="C113" s="91"/>
      <c r="D113" s="158"/>
      <c r="E113" s="114"/>
      <c r="F113" s="130"/>
      <c r="G113" s="1228"/>
      <c r="H113" s="410"/>
      <c r="I113" s="550"/>
      <c r="J113" s="551"/>
      <c r="K113" s="551"/>
      <c r="L113" s="551"/>
      <c r="M113" s="551"/>
      <c r="N113" s="551"/>
      <c r="O113" s="552"/>
      <c r="P113" s="410"/>
      <c r="Q113" s="512"/>
      <c r="R113" s="512"/>
      <c r="S113" s="116" t="s">
        <v>429</v>
      </c>
      <c r="T113" s="427" t="s">
        <v>433</v>
      </c>
      <c r="U113" s="436">
        <f t="shared" ref="U113:Z113" ca="1" si="77">VLOOKUP($T113, $T$41:$AA$49, MATCH(U$4, $S$4:$AA$4,0),0)</f>
        <v>3.6285147071598134E-2</v>
      </c>
      <c r="V113" s="115">
        <f t="shared" ca="1" si="77"/>
        <v>5.6826863793245863E-2</v>
      </c>
      <c r="W113" s="115">
        <f t="shared" ca="1" si="77"/>
        <v>7.9744735487233376E-2</v>
      </c>
      <c r="X113" s="115">
        <f t="shared" ca="1" si="77"/>
        <v>0.10382197588462216</v>
      </c>
      <c r="Y113" s="115">
        <f t="shared" ca="1" si="77"/>
        <v>0.12900137929281041</v>
      </c>
      <c r="Z113" s="115">
        <f t="shared" ca="1" si="77"/>
        <v>0.15510094686014897</v>
      </c>
      <c r="AA113" s="437">
        <f ca="1">VLOOKUP($T113, $T$41:$AA$49, MATCH(AA$4, $T$4:$AA$4,0),0)</f>
        <v>0.15510094686014897</v>
      </c>
      <c r="AB113" s="396"/>
      <c r="AC113" s="139">
        <v>0</v>
      </c>
    </row>
    <row r="114" spans="1:30" collapsed="1">
      <c r="A114" s="157"/>
      <c r="B114" s="158" t="s">
        <v>424</v>
      </c>
      <c r="C114" s="91" t="str">
        <f>LEFT($G$3,1) &amp; "S" &amp; D114</f>
        <v>MS_CME</v>
      </c>
      <c r="D114" s="158" t="s">
        <v>519</v>
      </c>
      <c r="E114" s="114"/>
      <c r="F114" s="130"/>
      <c r="G114" s="1228"/>
      <c r="H114" s="272" t="s">
        <v>520</v>
      </c>
      <c r="I114" s="67">
        <f t="shared" ref="I114:O116" ca="1" si="78">INDEX(INDIRECT($B$112 &amp; $B$113), MATCH($C114, INDIRECT($B$112 &amp; $B$114),0), MATCH(I$4, INDIRECT($B$112 &amp; $B$115), 0))</f>
        <v>175</v>
      </c>
      <c r="J114" s="23">
        <f t="shared" ca="1" si="78"/>
        <v>181.34990073752968</v>
      </c>
      <c r="K114" s="23">
        <f t="shared" ca="1" si="78"/>
        <v>181.34990073752968</v>
      </c>
      <c r="L114" s="23">
        <f t="shared" ca="1" si="78"/>
        <v>181.34990073752968</v>
      </c>
      <c r="M114" s="23">
        <f t="shared" ca="1" si="78"/>
        <v>181.34990073752968</v>
      </c>
      <c r="N114" s="23">
        <f t="shared" ca="1" si="78"/>
        <v>181.34990073752968</v>
      </c>
      <c r="O114" s="24">
        <f t="shared" ca="1" si="78"/>
        <v>181.34990073752968</v>
      </c>
      <c r="P114" s="581"/>
      <c r="Q114" s="511"/>
      <c r="R114" s="511"/>
      <c r="S114" s="116" t="s">
        <v>431</v>
      </c>
      <c r="T114" s="427"/>
      <c r="U114" s="311">
        <f t="shared" ref="U114:Z116" ca="1" si="79">I114*$H$2*(1+U$113)</f>
        <v>90674.950368764839</v>
      </c>
      <c r="V114" s="25">
        <f t="shared" ca="1" si="79"/>
        <v>95827.723422829964</v>
      </c>
      <c r="W114" s="25">
        <f t="shared" ca="1" si="79"/>
        <v>97905.80030124</v>
      </c>
      <c r="X114" s="25">
        <f t="shared" ca="1" si="79"/>
        <v>100089.00287929006</v>
      </c>
      <c r="Y114" s="25">
        <f t="shared" ca="1" si="79"/>
        <v>102372.14403364263</v>
      </c>
      <c r="Z114" s="25">
        <f t="shared" ca="1" si="79"/>
        <v>104738.72102745729</v>
      </c>
      <c r="AA114" s="28">
        <f ca="1">O114*$H$2*(1+AA$113)</f>
        <v>104738.72102745729</v>
      </c>
      <c r="AB114" s="396"/>
      <c r="AC114" s="139">
        <v>1</v>
      </c>
    </row>
    <row r="115" spans="1:30">
      <c r="A115" s="157"/>
      <c r="B115" s="158" t="s">
        <v>425</v>
      </c>
      <c r="C115" s="91" t="str">
        <f>LEFT($G$3,1) &amp; "S" &amp; D115</f>
        <v>MS_MediaMaterials</v>
      </c>
      <c r="D115" s="158" t="s">
        <v>521</v>
      </c>
      <c r="E115" s="91"/>
      <c r="F115" s="92"/>
      <c r="G115" s="1228"/>
      <c r="H115" s="237" t="s">
        <v>522</v>
      </c>
      <c r="I115" s="67">
        <f t="shared" ca="1" si="78"/>
        <v>17.63</v>
      </c>
      <c r="J115" s="23">
        <f t="shared" ca="1" si="78"/>
        <v>18.269707142872274</v>
      </c>
      <c r="K115" s="23">
        <f t="shared" ca="1" si="78"/>
        <v>18.269707142872274</v>
      </c>
      <c r="L115" s="23">
        <f t="shared" ca="1" si="78"/>
        <v>34</v>
      </c>
      <c r="M115" s="23">
        <f t="shared" ca="1" si="78"/>
        <v>34</v>
      </c>
      <c r="N115" s="23">
        <f t="shared" ca="1" si="78"/>
        <v>18.269707142872274</v>
      </c>
      <c r="O115" s="24">
        <f t="shared" ca="1" si="78"/>
        <v>18.269707142872274</v>
      </c>
      <c r="P115" s="581"/>
      <c r="Q115" s="511"/>
      <c r="R115" s="511"/>
      <c r="S115" s="111"/>
      <c r="T115" s="427"/>
      <c r="U115" s="311">
        <f t="shared" ca="1" si="79"/>
        <v>9134.8535714361369</v>
      </c>
      <c r="V115" s="25">
        <f t="shared" ca="1" si="79"/>
        <v>9653.958651111383</v>
      </c>
      <c r="W115" s="25">
        <f t="shared" ca="1" si="79"/>
        <v>9863.3100532049211</v>
      </c>
      <c r="X115" s="25">
        <f t="shared" ca="1" si="79"/>
        <v>18764.973590038579</v>
      </c>
      <c r="Y115" s="25">
        <f t="shared" ca="1" si="79"/>
        <v>19193.023447977776</v>
      </c>
      <c r="Z115" s="25">
        <f t="shared" ca="1" si="79"/>
        <v>10551.678009794696</v>
      </c>
      <c r="AA115" s="28">
        <f ca="1">O115*$H$2*(1+AA$113)</f>
        <v>10551.678009794696</v>
      </c>
      <c r="AB115" s="396"/>
      <c r="AC115" s="139">
        <v>1</v>
      </c>
    </row>
    <row r="116" spans="1:30" ht="15.75" thickBot="1">
      <c r="A116" s="157"/>
      <c r="B116" s="157"/>
      <c r="C116" s="91" t="str">
        <f>LEFT($G$3,1) &amp; "S" &amp; D116</f>
        <v>MS_TeacherReimbExp</v>
      </c>
      <c r="D116" s="158" t="s">
        <v>523</v>
      </c>
      <c r="E116" s="91"/>
      <c r="F116" s="92"/>
      <c r="G116" s="1229"/>
      <c r="H116" s="275" t="s">
        <v>524</v>
      </c>
      <c r="I116" s="252">
        <f t="shared" ca="1" si="78"/>
        <v>0</v>
      </c>
      <c r="J116" s="65">
        <f t="shared" ca="1" si="78"/>
        <v>0</v>
      </c>
      <c r="K116" s="65">
        <f t="shared" ca="1" si="78"/>
        <v>0</v>
      </c>
      <c r="L116" s="65">
        <f t="shared" ca="1" si="78"/>
        <v>23.721428571428572</v>
      </c>
      <c r="M116" s="65">
        <f t="shared" ca="1" si="78"/>
        <v>23.721428571428572</v>
      </c>
      <c r="N116" s="65">
        <f t="shared" ca="1" si="78"/>
        <v>0</v>
      </c>
      <c r="O116" s="68">
        <f t="shared" ca="1" si="78"/>
        <v>0</v>
      </c>
      <c r="P116" s="582"/>
      <c r="Q116" s="511"/>
      <c r="R116" s="511"/>
      <c r="S116" s="111"/>
      <c r="T116" s="427"/>
      <c r="U116" s="445">
        <f t="shared" ca="1" si="79"/>
        <v>0</v>
      </c>
      <c r="V116" s="29">
        <f t="shared" ca="1" si="79"/>
        <v>0</v>
      </c>
      <c r="W116" s="29">
        <f t="shared" ca="1" si="79"/>
        <v>0</v>
      </c>
      <c r="X116" s="29">
        <f t="shared" ca="1" si="79"/>
        <v>13092.117078260109</v>
      </c>
      <c r="Y116" s="29">
        <f t="shared" ca="1" si="79"/>
        <v>13390.76278796937</v>
      </c>
      <c r="Z116" s="29">
        <f t="shared" ca="1" si="79"/>
        <v>0</v>
      </c>
      <c r="AA116" s="30">
        <f ca="1">O116*$H$2*(1+AA$113)</f>
        <v>0</v>
      </c>
      <c r="AB116" s="396"/>
      <c r="AC116" s="139">
        <v>1</v>
      </c>
    </row>
    <row r="117" spans="1:30" ht="15" hidden="1" customHeight="1" outlineLevel="1">
      <c r="A117" s="157"/>
      <c r="B117" s="157"/>
      <c r="C117" s="157"/>
      <c r="D117" s="157"/>
      <c r="E117" s="157"/>
      <c r="F117" s="157"/>
      <c r="G117" s="378"/>
      <c r="H117" s="378"/>
      <c r="I117" s="378"/>
      <c r="J117" s="378"/>
      <c r="K117" s="378"/>
      <c r="L117" s="378"/>
      <c r="M117" s="378"/>
      <c r="N117" s="378"/>
      <c r="O117" s="378"/>
      <c r="P117" s="378"/>
      <c r="Q117" s="513"/>
      <c r="R117" s="513"/>
      <c r="S117" s="157"/>
      <c r="T117" s="157"/>
      <c r="U117" s="378"/>
      <c r="V117" s="378"/>
      <c r="W117" s="378"/>
      <c r="X117" s="378"/>
      <c r="Y117" s="378"/>
      <c r="Z117" s="378"/>
      <c r="AA117" s="378"/>
      <c r="AB117" s="396"/>
      <c r="AC117" s="139">
        <v>0</v>
      </c>
    </row>
    <row r="118" spans="1:30" ht="15" hidden="1" customHeight="1" outlineLevel="1">
      <c r="A118" s="199"/>
      <c r="B118" s="200"/>
      <c r="C118" s="200"/>
      <c r="D118" s="200"/>
      <c r="E118" s="200"/>
      <c r="F118" s="200"/>
      <c r="G118" s="200"/>
      <c r="H118" s="200"/>
      <c r="I118" s="200"/>
      <c r="J118" s="200"/>
      <c r="K118" s="200"/>
      <c r="L118" s="200"/>
      <c r="M118" s="200"/>
      <c r="N118" s="200"/>
      <c r="O118" s="200"/>
      <c r="P118" s="200"/>
      <c r="Q118" s="514"/>
      <c r="R118" s="514"/>
      <c r="S118" s="200"/>
      <c r="T118" s="201" t="s">
        <v>433</v>
      </c>
      <c r="U118" s="119">
        <f t="shared" ref="U118:AA119" si="80">VLOOKUP($T118, $T$41:$AA$49, MATCH(U$4, $T$4:$AA$4,0),0)</f>
        <v>0</v>
      </c>
      <c r="V118" s="119">
        <f t="shared" ca="1" si="80"/>
        <v>3.6285147071598134E-2</v>
      </c>
      <c r="W118" s="119">
        <f t="shared" ca="1" si="80"/>
        <v>5.6826863793245863E-2</v>
      </c>
      <c r="X118" s="119">
        <f t="shared" ca="1" si="80"/>
        <v>7.9744735487233376E-2</v>
      </c>
      <c r="Y118" s="119">
        <f t="shared" ca="1" si="80"/>
        <v>0.10382197588462216</v>
      </c>
      <c r="Z118" s="119">
        <f t="shared" ca="1" si="80"/>
        <v>0.12900137929281041</v>
      </c>
      <c r="AA118" s="119">
        <f t="shared" ca="1" si="80"/>
        <v>0.15510094686014897</v>
      </c>
      <c r="AB118" s="397"/>
      <c r="AC118" s="139">
        <v>0</v>
      </c>
    </row>
    <row r="119" spans="1:30" ht="15.95" hidden="1" customHeight="1" outlineLevel="1" thickBot="1">
      <c r="A119" s="199"/>
      <c r="B119" s="200"/>
      <c r="C119" s="200"/>
      <c r="D119" s="200"/>
      <c r="E119" s="200"/>
      <c r="F119" s="200"/>
      <c r="G119" s="379"/>
      <c r="H119" s="379"/>
      <c r="I119" s="379"/>
      <c r="J119" s="379"/>
      <c r="K119" s="379"/>
      <c r="L119" s="379"/>
      <c r="M119" s="379"/>
      <c r="N119" s="379"/>
      <c r="O119" s="379"/>
      <c r="P119" s="379"/>
      <c r="Q119" s="514"/>
      <c r="R119" s="514"/>
      <c r="S119" s="200"/>
      <c r="T119" s="201" t="s">
        <v>427</v>
      </c>
      <c r="U119" s="546">
        <f t="shared" si="80"/>
        <v>0</v>
      </c>
      <c r="V119" s="546">
        <f t="shared" ca="1" si="80"/>
        <v>5.2675379955796853E-2</v>
      </c>
      <c r="W119" s="546">
        <f t="shared" ca="1" si="80"/>
        <v>8.6164329717592247E-2</v>
      </c>
      <c r="X119" s="546">
        <f t="shared" ca="1" si="80"/>
        <v>0.141531828972141</v>
      </c>
      <c r="Y119" s="546">
        <f t="shared" ca="1" si="80"/>
        <v>0.18034598488362574</v>
      </c>
      <c r="Z119" s="546">
        <f t="shared" ca="1" si="80"/>
        <v>0.22152036890501803</v>
      </c>
      <c r="AA119" s="546">
        <f t="shared" ca="1" si="80"/>
        <v>0.26521869628093553</v>
      </c>
      <c r="AB119" s="397"/>
      <c r="AC119" s="139">
        <v>0</v>
      </c>
    </row>
    <row r="120" spans="1:30" collapsed="1">
      <c r="A120" s="89"/>
      <c r="B120" s="81" t="s">
        <v>434</v>
      </c>
      <c r="C120" s="81" t="str">
        <f>LEFT($G$3,1) &amp; "S" &amp; D120</f>
        <v>MS_ExCurrExp</v>
      </c>
      <c r="D120" s="202" t="s">
        <v>525</v>
      </c>
      <c r="E120" s="81"/>
      <c r="F120" s="82">
        <f>IF(LEFT($F$3,1)="H",0,1)</f>
        <v>1</v>
      </c>
      <c r="G120" s="1215" t="s">
        <v>526</v>
      </c>
      <c r="H120" s="271" t="s">
        <v>527</v>
      </c>
      <c r="I120" s="323">
        <f t="shared" ref="I120:O123" ca="1" si="81">IFERROR(INDEX(INDIRECT($B$120 &amp; $B$121), MATCH($C120, INDIRECT($B$120 &amp; $B$122),0), MATCH(I$4, INDIRECT($B$120 &amp; $B$123), 0)),0)</f>
        <v>150</v>
      </c>
      <c r="J120" s="408">
        <f t="shared" ca="1" si="81"/>
        <v>150</v>
      </c>
      <c r="K120" s="408">
        <f t="shared" ca="1" si="81"/>
        <v>150</v>
      </c>
      <c r="L120" s="408">
        <f t="shared" ca="1" si="81"/>
        <v>150</v>
      </c>
      <c r="M120" s="408">
        <f t="shared" ca="1" si="81"/>
        <v>150</v>
      </c>
      <c r="N120" s="408">
        <f t="shared" ca="1" si="81"/>
        <v>150</v>
      </c>
      <c r="O120" s="416">
        <f t="shared" ca="1" si="81"/>
        <v>150</v>
      </c>
      <c r="P120" s="583"/>
      <c r="Q120" s="515"/>
      <c r="R120" s="515"/>
      <c r="S120" s="120"/>
      <c r="T120" s="348"/>
      <c r="U120" s="547">
        <f t="shared" ref="U120:Z120" ca="1" si="82">I120*$H$2*(1+U118)*$F120</f>
        <v>75000</v>
      </c>
      <c r="V120" s="404">
        <f t="shared" ca="1" si="82"/>
        <v>77721.38603036986</v>
      </c>
      <c r="W120" s="404">
        <f t="shared" ca="1" si="82"/>
        <v>79262.01478449344</v>
      </c>
      <c r="X120" s="404">
        <f t="shared" ca="1" si="82"/>
        <v>80980.855161542509</v>
      </c>
      <c r="Y120" s="404">
        <f t="shared" ca="1" si="82"/>
        <v>82786.648191346656</v>
      </c>
      <c r="Z120" s="404">
        <f t="shared" ca="1" si="82"/>
        <v>84675.103446960784</v>
      </c>
      <c r="AA120" s="409">
        <f ca="1">O120*$H$2*(1+AA118)*$F120</f>
        <v>86632.571014511166</v>
      </c>
      <c r="AB120" s="398"/>
      <c r="AC120" s="139">
        <v>1</v>
      </c>
    </row>
    <row r="121" spans="1:30">
      <c r="A121" s="89"/>
      <c r="B121" s="81" t="s">
        <v>617</v>
      </c>
      <c r="C121" s="81" t="str">
        <f>LEFT($G$3,1) &amp; "S" &amp; D121</f>
        <v>MS_Coach</v>
      </c>
      <c r="D121" s="202" t="s">
        <v>528</v>
      </c>
      <c r="E121" s="81"/>
      <c r="F121" s="82">
        <f>IF(LEFT($F$3,1)="M",1,0)</f>
        <v>1</v>
      </c>
      <c r="G121" s="1216"/>
      <c r="H121" s="272" t="s">
        <v>529</v>
      </c>
      <c r="I121" s="417">
        <f ca="1">IFERROR(INDEX(INDIRECT($B$120 &amp; $B$121), MATCH($C121, INDIRECT($B$120 &amp; $B$122),0), MATCH(I$4, INDIRECT($B$120 &amp; $B$123), 0)),0)</f>
        <v>12</v>
      </c>
      <c r="J121" s="198">
        <f t="shared" ca="1" si="81"/>
        <v>12</v>
      </c>
      <c r="K121" s="198">
        <f t="shared" ca="1" si="81"/>
        <v>12</v>
      </c>
      <c r="L121" s="198">
        <f t="shared" ca="1" si="81"/>
        <v>12</v>
      </c>
      <c r="M121" s="198">
        <f t="shared" ca="1" si="81"/>
        <v>12</v>
      </c>
      <c r="N121" s="198">
        <f t="shared" ca="1" si="81"/>
        <v>12</v>
      </c>
      <c r="O121" s="418">
        <f t="shared" ca="1" si="81"/>
        <v>12</v>
      </c>
      <c r="P121" s="579">
        <f ca="1">IFERROR(INDEX(INDIRECT($B$120 &amp; $B$121), MATCH($C121, INDIRECT($B$120 &amp; $B$122),0), MATCH(P$4, INDIRECT($B$120 &amp; $B$123), 0)),0)</f>
        <v>1800</v>
      </c>
      <c r="Q121" s="516" t="s">
        <v>398</v>
      </c>
      <c r="R121" s="516"/>
      <c r="S121" s="206"/>
      <c r="T121" s="428"/>
      <c r="U121" s="548">
        <f ca="1">I121*$P121*$F121</f>
        <v>21600</v>
      </c>
      <c r="V121" s="27">
        <f t="shared" ref="V121:AA121" ca="1" si="83">J121*$P121*(1+V119)*$F121</f>
        <v>22737.788207045211</v>
      </c>
      <c r="W121" s="27">
        <f t="shared" ca="1" si="83"/>
        <v>23461.149521899992</v>
      </c>
      <c r="X121" s="27">
        <f t="shared" ca="1" si="83"/>
        <v>24657.087505798245</v>
      </c>
      <c r="Y121" s="27">
        <f t="shared" ca="1" si="83"/>
        <v>25495.473273486317</v>
      </c>
      <c r="Z121" s="27">
        <f t="shared" ca="1" si="83"/>
        <v>26384.839968348388</v>
      </c>
      <c r="AA121" s="386">
        <f t="shared" ca="1" si="83"/>
        <v>27328.723839668208</v>
      </c>
      <c r="AB121" s="398"/>
      <c r="AC121" s="139">
        <v>1</v>
      </c>
      <c r="AD121" s="4"/>
    </row>
    <row r="122" spans="1:30">
      <c r="A122" s="89"/>
      <c r="B122" s="81" t="s">
        <v>439</v>
      </c>
      <c r="C122" s="81" t="str">
        <f>LEFT($G$3,1) &amp; "S" &amp; D122</f>
        <v>MS_AthlEventExp</v>
      </c>
      <c r="D122" s="202" t="s">
        <v>530</v>
      </c>
      <c r="E122" s="81"/>
      <c r="F122" s="82">
        <f>IF(LEFT($F$3,1)="H",1,0)</f>
        <v>0</v>
      </c>
      <c r="G122" s="1216"/>
      <c r="H122" s="272" t="s">
        <v>531</v>
      </c>
      <c r="I122" s="312">
        <f t="shared" ca="1" si="81"/>
        <v>0</v>
      </c>
      <c r="J122" s="102">
        <f t="shared" ca="1" si="81"/>
        <v>0</v>
      </c>
      <c r="K122" s="102">
        <f t="shared" ca="1" si="81"/>
        <v>0</v>
      </c>
      <c r="L122" s="102">
        <f t="shared" ca="1" si="81"/>
        <v>0</v>
      </c>
      <c r="M122" s="102">
        <f t="shared" ca="1" si="81"/>
        <v>0</v>
      </c>
      <c r="N122" s="102">
        <f t="shared" ca="1" si="81"/>
        <v>0</v>
      </c>
      <c r="O122" s="313">
        <f t="shared" ca="1" si="81"/>
        <v>0</v>
      </c>
      <c r="P122" s="584"/>
      <c r="Q122" s="516" t="s">
        <v>423</v>
      </c>
      <c r="R122" s="516"/>
      <c r="S122" s="206"/>
      <c r="T122" s="428"/>
      <c r="U122" s="548">
        <f t="shared" ref="U122:Z122" ca="1" si="84">I122*$H$2*(1+U118)*$F122</f>
        <v>0</v>
      </c>
      <c r="V122" s="27">
        <f t="shared" ca="1" si="84"/>
        <v>0</v>
      </c>
      <c r="W122" s="27">
        <f t="shared" ca="1" si="84"/>
        <v>0</v>
      </c>
      <c r="X122" s="27">
        <f t="shared" ca="1" si="84"/>
        <v>0</v>
      </c>
      <c r="Y122" s="27">
        <f t="shared" ca="1" si="84"/>
        <v>0</v>
      </c>
      <c r="Z122" s="27">
        <f t="shared" ca="1" si="84"/>
        <v>0</v>
      </c>
      <c r="AA122" s="386">
        <f ca="1">O122*$H$2*(1+AA118)*$F122</f>
        <v>0</v>
      </c>
      <c r="AB122" s="398"/>
      <c r="AC122" s="139">
        <v>1</v>
      </c>
    </row>
    <row r="123" spans="1:30">
      <c r="A123" s="89"/>
      <c r="B123" s="81" t="s">
        <v>443</v>
      </c>
      <c r="C123" s="81" t="str">
        <f>LEFT($G$3,1) &amp; "S" &amp; D123</f>
        <v>MS_OtherExtCurExp</v>
      </c>
      <c r="D123" s="202" t="s">
        <v>532</v>
      </c>
      <c r="E123" s="81"/>
      <c r="F123" s="82">
        <f>IF(LEFT($F$3,1)="H",1,0)</f>
        <v>0</v>
      </c>
      <c r="G123" s="1216"/>
      <c r="H123" s="272" t="s">
        <v>533</v>
      </c>
      <c r="I123" s="312">
        <f t="shared" ca="1" si="81"/>
        <v>0</v>
      </c>
      <c r="J123" s="102">
        <f t="shared" ca="1" si="81"/>
        <v>0</v>
      </c>
      <c r="K123" s="102">
        <f t="shared" ca="1" si="81"/>
        <v>0</v>
      </c>
      <c r="L123" s="102">
        <f t="shared" ca="1" si="81"/>
        <v>0</v>
      </c>
      <c r="M123" s="102">
        <f t="shared" ca="1" si="81"/>
        <v>0</v>
      </c>
      <c r="N123" s="102">
        <f t="shared" ca="1" si="81"/>
        <v>0</v>
      </c>
      <c r="O123" s="313">
        <f t="shared" ca="1" si="81"/>
        <v>0</v>
      </c>
      <c r="P123" s="570"/>
      <c r="Q123" s="516" t="s">
        <v>424</v>
      </c>
      <c r="R123" s="516"/>
      <c r="S123" s="120"/>
      <c r="T123" s="429"/>
      <c r="U123" s="548">
        <f t="shared" ref="U123:Z123" ca="1" si="85">I123*$H$2*(1+U118)*$F123</f>
        <v>0</v>
      </c>
      <c r="V123" s="27">
        <f t="shared" ca="1" si="85"/>
        <v>0</v>
      </c>
      <c r="W123" s="27">
        <f t="shared" ca="1" si="85"/>
        <v>0</v>
      </c>
      <c r="X123" s="27">
        <f t="shared" ca="1" si="85"/>
        <v>0</v>
      </c>
      <c r="Y123" s="27">
        <f t="shared" ca="1" si="85"/>
        <v>0</v>
      </c>
      <c r="Z123" s="27">
        <f t="shared" ca="1" si="85"/>
        <v>0</v>
      </c>
      <c r="AA123" s="386">
        <f ca="1">O123*$H$2*(1+AA118)*$F123</f>
        <v>0</v>
      </c>
      <c r="AB123" s="398"/>
      <c r="AC123" s="139">
        <v>1</v>
      </c>
    </row>
    <row r="124" spans="1:30" ht="15.75" thickBot="1">
      <c r="A124" s="89"/>
      <c r="B124" s="203"/>
      <c r="C124" s="81" t="str">
        <f>LEFT($G$3,1) &amp; "S" &amp; D124</f>
        <v>MS_ExtraCurrSponsors</v>
      </c>
      <c r="D124" s="204" t="s">
        <v>534</v>
      </c>
      <c r="E124" s="81"/>
      <c r="F124" s="82">
        <f>IF(LEFT($F$3,1)="H",1,0)</f>
        <v>0</v>
      </c>
      <c r="G124" s="1217"/>
      <c r="H124" s="275" t="s">
        <v>535</v>
      </c>
      <c r="I124" s="419">
        <f t="shared" ref="I124:O124" ca="1" si="86">IFERROR(INDEX(INDIRECT($Q$121 &amp; $Q$122), MATCH($C124, INDIRECT($Q$121 &amp; $Q$123),0), MATCH(I$4, INDIRECT($Q$121 &amp; $Q$124), 0)),0)</f>
        <v>0</v>
      </c>
      <c r="J124" s="400">
        <f t="shared" ca="1" si="86"/>
        <v>0</v>
      </c>
      <c r="K124" s="400">
        <f t="shared" ca="1" si="86"/>
        <v>0</v>
      </c>
      <c r="L124" s="400">
        <f t="shared" ca="1" si="86"/>
        <v>0</v>
      </c>
      <c r="M124" s="400">
        <f t="shared" ca="1" si="86"/>
        <v>0</v>
      </c>
      <c r="N124" s="400">
        <f t="shared" ca="1" si="86"/>
        <v>0</v>
      </c>
      <c r="O124" s="420">
        <f t="shared" ca="1" si="86"/>
        <v>0</v>
      </c>
      <c r="P124" s="585">
        <f ca="1">IFERROR(INDEX(INDIRECT($B$120 &amp; $B$121), MATCH($C124, INDIRECT($B$120 &amp; $B$122),0), MATCH(P$4, INDIRECT($B$120 &amp; $B$123), 0)),0)</f>
        <v>0</v>
      </c>
      <c r="Q124" s="517" t="s">
        <v>425</v>
      </c>
      <c r="R124" s="517"/>
      <c r="S124" s="120"/>
      <c r="T124" s="429"/>
      <c r="U124" s="549">
        <f ca="1">I124*$P124+25*1000*$F124</f>
        <v>0</v>
      </c>
      <c r="V124" s="387">
        <f t="shared" ref="V124:AA124" ca="1" si="87">(J124*$P124+25*1000)*(1+V119)*$F124</f>
        <v>0</v>
      </c>
      <c r="W124" s="387">
        <f t="shared" ca="1" si="87"/>
        <v>0</v>
      </c>
      <c r="X124" s="387">
        <f t="shared" ca="1" si="87"/>
        <v>0</v>
      </c>
      <c r="Y124" s="387">
        <f t="shared" ca="1" si="87"/>
        <v>0</v>
      </c>
      <c r="Z124" s="387">
        <f t="shared" ca="1" si="87"/>
        <v>0</v>
      </c>
      <c r="AA124" s="388">
        <f t="shared" ca="1" si="87"/>
        <v>0</v>
      </c>
      <c r="AB124" s="398"/>
      <c r="AC124" s="139">
        <v>1</v>
      </c>
    </row>
    <row r="125" spans="1:30" ht="15" hidden="1" customHeight="1" outlineLevel="1">
      <c r="A125" s="89"/>
      <c r="B125" s="203"/>
      <c r="C125" s="202"/>
      <c r="D125" s="81"/>
      <c r="E125" s="81"/>
      <c r="F125" s="81"/>
      <c r="G125" s="205"/>
      <c r="H125" s="399"/>
      <c r="I125" s="350"/>
      <c r="J125" s="350"/>
      <c r="K125" s="350"/>
      <c r="L125" s="350"/>
      <c r="M125" s="350"/>
      <c r="N125" s="350"/>
      <c r="O125" s="350"/>
      <c r="P125" s="207"/>
      <c r="Q125" s="429"/>
      <c r="R125" s="429"/>
      <c r="S125" s="120"/>
      <c r="T125" s="120"/>
      <c r="U125" s="356"/>
      <c r="V125" s="207"/>
      <c r="W125" s="207"/>
      <c r="X125" s="207"/>
      <c r="Y125" s="207"/>
      <c r="Z125" s="207"/>
      <c r="AA125" s="207"/>
      <c r="AB125" s="398"/>
      <c r="AC125" s="139">
        <v>0</v>
      </c>
    </row>
    <row r="126" spans="1:30" ht="15" hidden="1" customHeight="1" outlineLevel="1">
      <c r="A126" s="589"/>
      <c r="B126" s="590"/>
      <c r="C126" s="591"/>
      <c r="D126" s="592"/>
      <c r="E126" s="592"/>
      <c r="F126" s="592"/>
      <c r="G126" s="593"/>
      <c r="H126" s="593"/>
      <c r="I126" s="593"/>
      <c r="J126" s="593"/>
      <c r="K126" s="593"/>
      <c r="L126" s="593"/>
      <c r="M126" s="593"/>
      <c r="N126" s="593"/>
      <c r="O126" s="593"/>
      <c r="P126" s="593"/>
      <c r="Q126" s="593"/>
      <c r="R126" s="593"/>
      <c r="S126" s="593"/>
      <c r="T126" s="593" t="s">
        <v>433</v>
      </c>
      <c r="U126" s="594">
        <f t="shared" ref="U126:AA126" si="88">VLOOKUP($T126, $T$41:$AA$49, MATCH(U$4, $T$4:$AA$4,0),0)</f>
        <v>0</v>
      </c>
      <c r="V126" s="594">
        <f t="shared" ca="1" si="88"/>
        <v>3.6285147071598134E-2</v>
      </c>
      <c r="W126" s="594">
        <f t="shared" ca="1" si="88"/>
        <v>5.6826863793245863E-2</v>
      </c>
      <c r="X126" s="594">
        <f t="shared" ca="1" si="88"/>
        <v>7.9744735487233376E-2</v>
      </c>
      <c r="Y126" s="594">
        <f t="shared" ca="1" si="88"/>
        <v>0.10382197588462216</v>
      </c>
      <c r="Z126" s="594">
        <f t="shared" ca="1" si="88"/>
        <v>0.12900137929281041</v>
      </c>
      <c r="AA126" s="594">
        <f t="shared" ca="1" si="88"/>
        <v>0.15510094686014897</v>
      </c>
      <c r="AB126" s="590"/>
      <c r="AC126" s="139">
        <v>0</v>
      </c>
    </row>
    <row r="127" spans="1:30" ht="15" hidden="1" customHeight="1" outlineLevel="1">
      <c r="A127" s="589"/>
      <c r="B127" s="590"/>
      <c r="C127" s="590" t="str">
        <f>LEFT($G$3,1) &amp; "S" &amp; D127</f>
        <v>MS_TeachProfDev</v>
      </c>
      <c r="D127" s="592" t="s">
        <v>536</v>
      </c>
      <c r="E127" s="592"/>
      <c r="F127" s="592"/>
      <c r="G127" s="593"/>
      <c r="H127" s="593"/>
      <c r="I127" s="593"/>
      <c r="J127" s="593"/>
      <c r="K127" s="593"/>
      <c r="L127" s="593"/>
      <c r="M127" s="593"/>
      <c r="N127" s="593"/>
      <c r="O127" s="593"/>
      <c r="P127" s="593"/>
      <c r="Q127" s="593"/>
      <c r="R127" s="593"/>
      <c r="S127" s="593"/>
      <c r="T127" s="593" t="str">
        <f>C127</f>
        <v>MS_TeachProfDev</v>
      </c>
      <c r="U127" s="595">
        <f t="shared" ref="U127:AA128" ca="1" si="89">INDEX(INDIRECT($B$129 &amp; $B$130), MATCH($C127, INDIRECT($B$129 &amp; $B$131),0), MATCH(U$4,INDIRECT($B$129 &amp; $B$132),0))</f>
        <v>5</v>
      </c>
      <c r="V127" s="595">
        <f t="shared" ca="1" si="89"/>
        <v>5</v>
      </c>
      <c r="W127" s="595">
        <f t="shared" ca="1" si="89"/>
        <v>5</v>
      </c>
      <c r="X127" s="595">
        <f t="shared" ca="1" si="89"/>
        <v>7</v>
      </c>
      <c r="Y127" s="595">
        <f t="shared" ca="1" si="89"/>
        <v>7</v>
      </c>
      <c r="Z127" s="595">
        <f t="shared" ca="1" si="89"/>
        <v>5</v>
      </c>
      <c r="AA127" s="595">
        <f t="shared" ca="1" si="89"/>
        <v>5</v>
      </c>
      <c r="AB127" s="590"/>
      <c r="AC127" s="139">
        <v>0</v>
      </c>
    </row>
    <row r="128" spans="1:30" ht="15.95" hidden="1" customHeight="1" outlineLevel="1" thickBot="1">
      <c r="A128" s="589"/>
      <c r="B128" s="590"/>
      <c r="C128" s="590" t="str">
        <f>LEFT($G$3,1) &amp; "S" &amp; D128</f>
        <v>MS_LeadershipDev</v>
      </c>
      <c r="D128" s="592" t="s">
        <v>537</v>
      </c>
      <c r="E128" s="592"/>
      <c r="F128" s="592"/>
      <c r="G128" s="601"/>
      <c r="H128" s="601"/>
      <c r="I128" s="601"/>
      <c r="J128" s="601"/>
      <c r="K128" s="601"/>
      <c r="L128" s="601"/>
      <c r="M128" s="601"/>
      <c r="N128" s="601"/>
      <c r="O128" s="601"/>
      <c r="P128" s="601"/>
      <c r="Q128" s="593"/>
      <c r="R128" s="593"/>
      <c r="S128" s="593"/>
      <c r="T128" s="593" t="str">
        <f>C128</f>
        <v>MS_LeadershipDev</v>
      </c>
      <c r="U128" s="627">
        <f t="shared" ca="1" si="89"/>
        <v>3</v>
      </c>
      <c r="V128" s="627">
        <f t="shared" ca="1" si="89"/>
        <v>3</v>
      </c>
      <c r="W128" s="627">
        <f t="shared" ca="1" si="89"/>
        <v>3</v>
      </c>
      <c r="X128" s="627">
        <f t="shared" ca="1" si="89"/>
        <v>4</v>
      </c>
      <c r="Y128" s="627">
        <f t="shared" ca="1" si="89"/>
        <v>4</v>
      </c>
      <c r="Z128" s="627">
        <f t="shared" ca="1" si="89"/>
        <v>3</v>
      </c>
      <c r="AA128" s="627">
        <f t="shared" ca="1" si="89"/>
        <v>3</v>
      </c>
      <c r="AB128" s="590"/>
      <c r="AC128" s="139">
        <v>0</v>
      </c>
    </row>
    <row r="129" spans="1:29" collapsed="1">
      <c r="A129" s="589"/>
      <c r="B129" s="592" t="s">
        <v>398</v>
      </c>
      <c r="C129" s="1212" t="s">
        <v>538</v>
      </c>
      <c r="D129" s="1213"/>
      <c r="E129" s="1213"/>
      <c r="F129" s="1214"/>
      <c r="G129" s="1227" t="s">
        <v>539</v>
      </c>
      <c r="H129" s="606" t="s">
        <v>540</v>
      </c>
      <c r="I129" s="611">
        <f ca="1">SUM(I23:I35)+I63</f>
        <v>32.5</v>
      </c>
      <c r="J129" s="559">
        <f t="shared" ref="J129:O129" ca="1" si="90">SUM(J23:J35)+J63</f>
        <v>32.5</v>
      </c>
      <c r="K129" s="559">
        <f t="shared" ca="1" si="90"/>
        <v>32.5</v>
      </c>
      <c r="L129" s="559">
        <f t="shared" ca="1" si="90"/>
        <v>36</v>
      </c>
      <c r="M129" s="559">
        <f t="shared" ca="1" si="90"/>
        <v>36</v>
      </c>
      <c r="N129" s="559">
        <f t="shared" ca="1" si="90"/>
        <v>32.5</v>
      </c>
      <c r="O129" s="612">
        <f t="shared" ca="1" si="90"/>
        <v>32.5</v>
      </c>
      <c r="P129" s="608">
        <f t="shared" ref="P129:P135" ca="1" si="91">IFERROR(INDEX(INDIRECT($B$120 &amp; $B$121), MATCH($Q129, INDIRECT($B$120 &amp; $B$122),0), MATCH(P$4, INDIRECT($B$120 &amp; $B$123), 0)),0)</f>
        <v>333</v>
      </c>
      <c r="Q129" s="600" t="str">
        <f>LEFT($G$3,1) &amp; "S_TchrProfDev"</f>
        <v>MS_TchrProfDev</v>
      </c>
      <c r="R129" s="600"/>
      <c r="S129" s="590"/>
      <c r="T129" s="624"/>
      <c r="U129" s="360">
        <f t="shared" ref="U129:AA129" ca="1" si="92">I129*$P129*U127*(1+U126)</f>
        <v>54112.5</v>
      </c>
      <c r="V129" s="361">
        <f t="shared" ca="1" si="92"/>
        <v>56075.980020911855</v>
      </c>
      <c r="W129" s="361">
        <f t="shared" ca="1" si="92"/>
        <v>57187.543667012018</v>
      </c>
      <c r="X129" s="361">
        <f t="shared" ca="1" si="92"/>
        <v>90607.859223146676</v>
      </c>
      <c r="Y129" s="361">
        <f t="shared" ca="1" si="92"/>
        <v>92628.324928333954</v>
      </c>
      <c r="Z129" s="361">
        <f t="shared" ca="1" si="92"/>
        <v>61093.087136982205</v>
      </c>
      <c r="AA129" s="362">
        <f t="shared" ca="1" si="92"/>
        <v>62505.399986969809</v>
      </c>
      <c r="AB129" s="600"/>
      <c r="AC129" s="139">
        <v>1</v>
      </c>
    </row>
    <row r="130" spans="1:29">
      <c r="A130" s="589"/>
      <c r="B130" s="592" t="s">
        <v>423</v>
      </c>
      <c r="C130" s="590" t="str">
        <f t="shared" ref="C130:C135" si="93">LEFT($G$3,1) &amp; "S" &amp; D130</f>
        <v>MS_TeacherCollab</v>
      </c>
      <c r="D130" s="592" t="s">
        <v>541</v>
      </c>
      <c r="E130" s="592"/>
      <c r="F130" s="599"/>
      <c r="G130" s="1228"/>
      <c r="H130" s="607" t="s">
        <v>542</v>
      </c>
      <c r="I130" s="613">
        <f t="shared" ref="I130:O130" ca="1" si="94">INDEX(INDIRECT($B$129 &amp; $B$130), MATCH($C130, INDIRECT($B$129 &amp; $B$131),0), MATCH(I$4, INDIRECT($B$129 &amp; $B$132), 0))</f>
        <v>1</v>
      </c>
      <c r="J130" s="103">
        <f t="shared" ca="1" si="94"/>
        <v>1</v>
      </c>
      <c r="K130" s="103">
        <f t="shared" ca="1" si="94"/>
        <v>1</v>
      </c>
      <c r="L130" s="103">
        <f t="shared" ca="1" si="94"/>
        <v>2</v>
      </c>
      <c r="M130" s="103">
        <f t="shared" ca="1" si="94"/>
        <v>2</v>
      </c>
      <c r="N130" s="103">
        <f t="shared" ca="1" si="94"/>
        <v>1</v>
      </c>
      <c r="O130" s="614">
        <f t="shared" ca="1" si="94"/>
        <v>1</v>
      </c>
      <c r="P130" s="609">
        <f t="shared" ca="1" si="91"/>
        <v>0</v>
      </c>
      <c r="Q130" s="600" t="str">
        <f>LEFT($G$3,1) &amp; "S_TeacherCollab"</f>
        <v>MS_TeacherCollab</v>
      </c>
      <c r="R130" s="600"/>
      <c r="S130" s="592">
        <v>1800</v>
      </c>
      <c r="T130" s="625"/>
      <c r="U130" s="548">
        <f t="shared" ref="U130:AA130" ca="1" si="95">U7*(1+U18)/$S130*I129*I130*36</f>
        <v>63996.764000000003</v>
      </c>
      <c r="V130" s="27">
        <f t="shared" ca="1" si="95"/>
        <v>67879.395988117001</v>
      </c>
      <c r="W130" s="27">
        <f t="shared" ca="1" si="95"/>
        <v>70038.855328946767</v>
      </c>
      <c r="X130" s="27">
        <f t="shared" ca="1" si="95"/>
        <v>162674.85537251219</v>
      </c>
      <c r="Y130" s="27">
        <f t="shared" ca="1" si="95"/>
        <v>168206.09597312892</v>
      </c>
      <c r="Z130" s="27">
        <f t="shared" ca="1" si="95"/>
        <v>78574.926202045099</v>
      </c>
      <c r="AA130" s="386">
        <f t="shared" ca="1" si="95"/>
        <v>81385.843593290425</v>
      </c>
      <c r="AB130" s="600"/>
      <c r="AC130" s="139">
        <v>1</v>
      </c>
    </row>
    <row r="131" spans="1:29">
      <c r="A131" s="589"/>
      <c r="B131" s="592" t="s">
        <v>424</v>
      </c>
      <c r="C131" s="590" t="str">
        <f t="shared" si="93"/>
        <v>MS_STEM_Stipend</v>
      </c>
      <c r="D131" s="592" t="s">
        <v>618</v>
      </c>
      <c r="E131" s="592"/>
      <c r="F131" s="599"/>
      <c r="G131" s="1228"/>
      <c r="H131" s="607" t="s">
        <v>544</v>
      </c>
      <c r="I131" s="613">
        <f ca="1">IF(LEFT($F$3,1)="E",0,I129*INDEX(INDIRECT($B$129 &amp; $B$130), MATCH($C131, INDIRECT($B$129 &amp; $B$131),0), MATCH(I$4, INDIRECT($B$129 &amp; $B$132), 0)))</f>
        <v>0</v>
      </c>
      <c r="J131" s="103">
        <f t="shared" ref="J131:O131" ca="1" si="96">IF(LEFT($F$3,1)="E",0,J129*INDEX(INDIRECT($B$129 &amp; $B$130), MATCH($C131, INDIRECT($B$129 &amp; $B$131),0), MATCH(J$4, INDIRECT($B$129 &amp; $B$132), 0)))</f>
        <v>0</v>
      </c>
      <c r="K131" s="103">
        <f t="shared" ca="1" si="96"/>
        <v>0</v>
      </c>
      <c r="L131" s="103">
        <f t="shared" ca="1" si="96"/>
        <v>1.8</v>
      </c>
      <c r="M131" s="103">
        <f t="shared" ca="1" si="96"/>
        <v>1.8</v>
      </c>
      <c r="N131" s="103">
        <f t="shared" ca="1" si="96"/>
        <v>0</v>
      </c>
      <c r="O131" s="614">
        <f t="shared" ca="1" si="96"/>
        <v>0</v>
      </c>
      <c r="P131" s="609">
        <f t="shared" ca="1" si="91"/>
        <v>5250</v>
      </c>
      <c r="Q131" s="600" t="str">
        <f>LEFT($G$3,1) &amp; "S_STEM_Stipend"</f>
        <v>MS_STEM_Stipend</v>
      </c>
      <c r="R131" s="600"/>
      <c r="S131" s="592"/>
      <c r="T131" s="624"/>
      <c r="U131" s="548">
        <f ca="1">I131*$P131*(1+U126)</f>
        <v>0</v>
      </c>
      <c r="V131" s="27">
        <f t="shared" ref="V131:AA131" ca="1" si="97">J131*$P131*(1+V126)</f>
        <v>0</v>
      </c>
      <c r="W131" s="27">
        <f t="shared" ca="1" si="97"/>
        <v>0</v>
      </c>
      <c r="X131" s="27">
        <f t="shared" ca="1" si="97"/>
        <v>10203.587750354356</v>
      </c>
      <c r="Y131" s="27">
        <f t="shared" ca="1" si="97"/>
        <v>10431.11767210968</v>
      </c>
      <c r="Z131" s="27">
        <f t="shared" ca="1" si="97"/>
        <v>0</v>
      </c>
      <c r="AA131" s="386">
        <f t="shared" ca="1" si="97"/>
        <v>0</v>
      </c>
      <c r="AB131" s="600"/>
      <c r="AC131" s="139">
        <v>1</v>
      </c>
    </row>
    <row r="132" spans="1:29">
      <c r="A132" s="589"/>
      <c r="B132" s="592" t="s">
        <v>425</v>
      </c>
      <c r="C132" s="590" t="str">
        <f t="shared" si="93"/>
        <v>MS_ConsStaffDev</v>
      </c>
      <c r="D132" s="592" t="s">
        <v>545</v>
      </c>
      <c r="E132" s="592"/>
      <c r="F132" s="599"/>
      <c r="G132" s="1228"/>
      <c r="H132" s="272" t="s">
        <v>546</v>
      </c>
      <c r="I132" s="67">
        <f t="shared" ref="I132:O132" ca="1" si="98">INDEX(INDIRECT($B$129 &amp; $B$130), MATCH($C132, INDIRECT($B$129 &amp; $B$131),0), MATCH(I$4, INDIRECT($B$129 &amp; $B$132), 0))</f>
        <v>3250</v>
      </c>
      <c r="J132" s="23">
        <f t="shared" ca="1" si="98"/>
        <v>3250</v>
      </c>
      <c r="K132" s="23">
        <f t="shared" ca="1" si="98"/>
        <v>3250</v>
      </c>
      <c r="L132" s="23">
        <f t="shared" ca="1" si="98"/>
        <v>10000</v>
      </c>
      <c r="M132" s="23">
        <f t="shared" ca="1" si="98"/>
        <v>10000</v>
      </c>
      <c r="N132" s="23">
        <f t="shared" ca="1" si="98"/>
        <v>3250</v>
      </c>
      <c r="O132" s="24">
        <f t="shared" ca="1" si="98"/>
        <v>3250</v>
      </c>
      <c r="P132" s="609">
        <f t="shared" ca="1" si="91"/>
        <v>0</v>
      </c>
      <c r="Q132" s="600" t="str">
        <f>LEFT($G$3,1) &amp; "S_ConsStaffDev"</f>
        <v>MS_ConsStaffDev</v>
      </c>
      <c r="R132" s="600"/>
      <c r="S132" s="592"/>
      <c r="T132" s="624"/>
      <c r="U132" s="548">
        <f t="shared" ref="U132:Z132" ca="1" si="99">I132*(1+U126)</f>
        <v>3250</v>
      </c>
      <c r="V132" s="27">
        <f t="shared" ca="1" si="99"/>
        <v>3367.926727982694</v>
      </c>
      <c r="W132" s="27">
        <f t="shared" ca="1" si="99"/>
        <v>3434.687307328049</v>
      </c>
      <c r="X132" s="27">
        <f t="shared" ca="1" si="99"/>
        <v>10797.447354872334</v>
      </c>
      <c r="Y132" s="27">
        <f t="shared" ca="1" si="99"/>
        <v>11038.219758846222</v>
      </c>
      <c r="Z132" s="27">
        <f t="shared" ca="1" si="99"/>
        <v>3669.2544827016341</v>
      </c>
      <c r="AA132" s="386">
        <f ca="1">O132*(1+AA126)</f>
        <v>3754.078077295484</v>
      </c>
      <c r="AB132" s="600"/>
      <c r="AC132" s="139">
        <v>1</v>
      </c>
    </row>
    <row r="133" spans="1:29">
      <c r="A133" s="589"/>
      <c r="B133" s="592"/>
      <c r="C133" s="590" t="str">
        <f t="shared" si="93"/>
        <v>MS_TeachProfDev</v>
      </c>
      <c r="D133" s="592" t="s">
        <v>536</v>
      </c>
      <c r="E133" s="592"/>
      <c r="F133" s="599"/>
      <c r="G133" s="1228"/>
      <c r="H133" s="272" t="s">
        <v>547</v>
      </c>
      <c r="I133" s="613">
        <f ca="1">I69+I71</f>
        <v>5</v>
      </c>
      <c r="J133" s="103">
        <f t="shared" ref="J133:O133" ca="1" si="100">J69+J71</f>
        <v>5</v>
      </c>
      <c r="K133" s="103">
        <f t="shared" ca="1" si="100"/>
        <v>5</v>
      </c>
      <c r="L133" s="103">
        <f t="shared" ca="1" si="100"/>
        <v>5</v>
      </c>
      <c r="M133" s="103">
        <f t="shared" ca="1" si="100"/>
        <v>5</v>
      </c>
      <c r="N133" s="103">
        <f t="shared" ca="1" si="100"/>
        <v>5</v>
      </c>
      <c r="O133" s="614">
        <f t="shared" ca="1" si="100"/>
        <v>5</v>
      </c>
      <c r="P133" s="609">
        <f t="shared" ca="1" si="91"/>
        <v>117</v>
      </c>
      <c r="Q133" s="600" t="str">
        <f>LEFT($G$3,1) &amp; "S_SpEdSupport"</f>
        <v>MS_SpEdSupport</v>
      </c>
      <c r="R133" s="600"/>
      <c r="S133" s="592"/>
      <c r="T133" s="626"/>
      <c r="U133" s="548">
        <f t="shared" ref="U133:AA133" ca="1" si="101">I133*$P133*U127*(1+U126)</f>
        <v>2925</v>
      </c>
      <c r="V133" s="27">
        <f t="shared" ca="1" si="101"/>
        <v>3031.1340551844246</v>
      </c>
      <c r="W133" s="27">
        <f t="shared" ca="1" si="101"/>
        <v>3091.218576595244</v>
      </c>
      <c r="X133" s="27">
        <f t="shared" ca="1" si="101"/>
        <v>4421.5546918202208</v>
      </c>
      <c r="Y133" s="27">
        <f t="shared" ca="1" si="101"/>
        <v>4520.1509912475276</v>
      </c>
      <c r="Z133" s="27">
        <f t="shared" ca="1" si="101"/>
        <v>3302.3290344314705</v>
      </c>
      <c r="AA133" s="386">
        <f t="shared" ca="1" si="101"/>
        <v>3378.6702695659355</v>
      </c>
      <c r="AB133" s="600"/>
      <c r="AC133" s="139">
        <v>1</v>
      </c>
    </row>
    <row r="134" spans="1:29" ht="15.75" thickBot="1">
      <c r="A134" s="589"/>
      <c r="B134" s="592"/>
      <c r="C134" s="590" t="str">
        <f t="shared" si="93"/>
        <v>MS_LeadershipDev</v>
      </c>
      <c r="D134" s="592" t="s">
        <v>537</v>
      </c>
      <c r="E134" s="592"/>
      <c r="F134" s="599"/>
      <c r="G134" s="1228"/>
      <c r="H134" s="454" t="s">
        <v>548</v>
      </c>
      <c r="I134" s="615">
        <f ca="1">SUM(I90:I91)</f>
        <v>2</v>
      </c>
      <c r="J134" s="616">
        <f t="shared" ref="J134:O134" ca="1" si="102">SUM(J90:J91)</f>
        <v>2</v>
      </c>
      <c r="K134" s="616">
        <f t="shared" ca="1" si="102"/>
        <v>2</v>
      </c>
      <c r="L134" s="616">
        <f t="shared" ca="1" si="102"/>
        <v>2</v>
      </c>
      <c r="M134" s="616">
        <f t="shared" ca="1" si="102"/>
        <v>2</v>
      </c>
      <c r="N134" s="616">
        <f t="shared" ca="1" si="102"/>
        <v>2</v>
      </c>
      <c r="O134" s="617">
        <f t="shared" ca="1" si="102"/>
        <v>2</v>
      </c>
      <c r="P134" s="618">
        <f t="shared" ca="1" si="91"/>
        <v>350</v>
      </c>
      <c r="Q134" s="600" t="str">
        <f>LEFT($G$3,1) &amp; "S_PrinLeadership"</f>
        <v>MS_PrinLeadership</v>
      </c>
      <c r="R134" s="600"/>
      <c r="S134" s="592"/>
      <c r="T134" s="624"/>
      <c r="U134" s="549">
        <f t="shared" ref="U134:AA134" ca="1" si="103">I134*$P134*U128*(1+U126)</f>
        <v>2100</v>
      </c>
      <c r="V134" s="387">
        <f t="shared" ca="1" si="103"/>
        <v>2176.1988088503563</v>
      </c>
      <c r="W134" s="387">
        <f t="shared" ca="1" si="103"/>
        <v>2219.3364139658165</v>
      </c>
      <c r="X134" s="387">
        <f t="shared" ca="1" si="103"/>
        <v>3023.2852593642533</v>
      </c>
      <c r="Y134" s="387">
        <f t="shared" ca="1" si="103"/>
        <v>3090.7015324769422</v>
      </c>
      <c r="Z134" s="387">
        <f t="shared" ca="1" si="103"/>
        <v>2370.9028965149018</v>
      </c>
      <c r="AA134" s="388">
        <f t="shared" ca="1" si="103"/>
        <v>2425.7119884063127</v>
      </c>
      <c r="AB134" s="600"/>
      <c r="AC134" s="139">
        <v>1</v>
      </c>
    </row>
    <row r="135" spans="1:29" ht="15.75" thickBot="1">
      <c r="A135" s="589"/>
      <c r="B135" s="592"/>
      <c r="C135" s="590" t="str">
        <f t="shared" si="93"/>
        <v>MS_MaterTrav</v>
      </c>
      <c r="D135" s="592" t="s">
        <v>549</v>
      </c>
      <c r="E135" s="592"/>
      <c r="F135" s="599"/>
      <c r="G135" s="1229"/>
      <c r="H135" s="619" t="s">
        <v>550</v>
      </c>
      <c r="I135" s="620"/>
      <c r="J135" s="621"/>
      <c r="K135" s="621"/>
      <c r="L135" s="621"/>
      <c r="M135" s="621"/>
      <c r="N135" s="621"/>
      <c r="O135" s="622"/>
      <c r="P135" s="623">
        <f t="shared" ca="1" si="91"/>
        <v>288</v>
      </c>
      <c r="Q135" s="600" t="str">
        <f>LEFT($G$3,1) &amp; "S_MaterTrav"</f>
        <v>MS_MaterTrav</v>
      </c>
      <c r="R135" s="600"/>
      <c r="S135" s="592"/>
      <c r="T135" s="624"/>
      <c r="U135" s="438">
        <f t="shared" ref="U135:AA135" ca="1" si="104">I129*$P135*(1+U126)</f>
        <v>9360</v>
      </c>
      <c r="V135" s="439">
        <f t="shared" ca="1" si="104"/>
        <v>9699.6289765901583</v>
      </c>
      <c r="W135" s="439">
        <f t="shared" ca="1" si="104"/>
        <v>9891.899445104782</v>
      </c>
      <c r="X135" s="439">
        <f t="shared" ca="1" si="104"/>
        <v>11194.793417531635</v>
      </c>
      <c r="Y135" s="439">
        <f t="shared" ca="1" si="104"/>
        <v>11444.426245971763</v>
      </c>
      <c r="Z135" s="439">
        <f t="shared" ca="1" si="104"/>
        <v>10567.452910180706</v>
      </c>
      <c r="AA135" s="440">
        <f t="shared" ca="1" si="104"/>
        <v>10811.744862610994</v>
      </c>
      <c r="AB135" s="600"/>
      <c r="AC135" s="139">
        <v>1</v>
      </c>
    </row>
    <row r="136" spans="1:29" ht="15" hidden="1" customHeight="1" outlineLevel="1">
      <c r="A136" s="589"/>
      <c r="B136" s="592"/>
      <c r="C136" s="590"/>
      <c r="D136" s="592"/>
      <c r="E136" s="592"/>
      <c r="F136" s="592"/>
      <c r="G136" s="602"/>
      <c r="H136" s="603"/>
      <c r="I136" s="604"/>
      <c r="J136" s="604"/>
      <c r="K136" s="604"/>
      <c r="L136" s="604"/>
      <c r="M136" s="604"/>
      <c r="N136" s="604"/>
      <c r="O136" s="604"/>
      <c r="P136" s="605"/>
      <c r="Q136" s="590"/>
      <c r="R136" s="590"/>
      <c r="S136" s="592"/>
      <c r="T136" s="596"/>
      <c r="U136" s="628"/>
      <c r="V136" s="629"/>
      <c r="W136" s="629"/>
      <c r="X136" s="629"/>
      <c r="Y136" s="629"/>
      <c r="Z136" s="629"/>
      <c r="AA136" s="629"/>
      <c r="AB136" s="590"/>
      <c r="AC136" s="139">
        <v>0</v>
      </c>
    </row>
    <row r="137" spans="1:29" ht="15" hidden="1" customHeight="1" outlineLevel="1">
      <c r="A137" s="90"/>
      <c r="B137" s="75"/>
      <c r="C137" s="213"/>
      <c r="D137" s="75"/>
      <c r="E137" s="75"/>
      <c r="F137" s="75"/>
      <c r="G137" s="639"/>
      <c r="H137" s="640"/>
      <c r="I137" s="641"/>
      <c r="J137" s="641"/>
      <c r="K137" s="641"/>
      <c r="L137" s="641"/>
      <c r="M137" s="641"/>
      <c r="N137" s="641"/>
      <c r="O137" s="641"/>
      <c r="P137" s="642"/>
      <c r="Q137" s="643" t="s">
        <v>551</v>
      </c>
      <c r="R137" s="384"/>
      <c r="S137" s="75"/>
      <c r="T137" s="644" t="s">
        <v>552</v>
      </c>
      <c r="U137" s="645">
        <f t="shared" ref="U137:AA137" ca="1" si="105">INDEX(INDIRECT($S$138 &amp; $S$139), MATCH($T$137, INDIRECT($S$138 &amp; $S$140), 0), MATCH(U$4,INDIRECT($S$138 &amp; $S$141),0))</f>
        <v>3.6680755717442282E-2</v>
      </c>
      <c r="V137" s="645">
        <f t="shared" ca="1" si="105"/>
        <v>7.4706989274887059E-2</v>
      </c>
      <c r="W137" s="645">
        <f t="shared" ca="1" si="105"/>
        <v>0.11412805381630697</v>
      </c>
      <c r="X137" s="645">
        <f t="shared" ca="1" si="105"/>
        <v>0.1549951127962923</v>
      </c>
      <c r="Y137" s="645">
        <f t="shared" ca="1" si="105"/>
        <v>0.19736120638361276</v>
      </c>
      <c r="Z137" s="645">
        <f t="shared" ca="1" si="105"/>
        <v>0.24128132030051197</v>
      </c>
      <c r="AA137" s="645">
        <f t="shared" ca="1" si="105"/>
        <v>0.28681245718707915</v>
      </c>
      <c r="AB137" s="213"/>
      <c r="AC137" s="139">
        <v>0</v>
      </c>
    </row>
    <row r="138" spans="1:29" ht="15" hidden="1" customHeight="1" outlineLevel="1">
      <c r="A138" s="90"/>
      <c r="B138" s="75"/>
      <c r="C138" s="213"/>
      <c r="D138" s="75"/>
      <c r="E138" s="75"/>
      <c r="F138" s="75"/>
      <c r="G138" s="639"/>
      <c r="H138" s="640"/>
      <c r="I138" s="641"/>
      <c r="J138" s="641"/>
      <c r="K138" s="641"/>
      <c r="L138" s="641"/>
      <c r="M138" s="641"/>
      <c r="N138" s="641"/>
      <c r="O138" s="641"/>
      <c r="P138" s="642"/>
      <c r="Q138" s="384" t="s">
        <v>553</v>
      </c>
      <c r="R138" s="384"/>
      <c r="S138" s="75" t="s">
        <v>426</v>
      </c>
      <c r="T138" s="646" t="s">
        <v>554</v>
      </c>
      <c r="U138" s="645">
        <f t="shared" ref="U138:AA138" ca="1" si="106">INDEX(INDIRECT($S$138 &amp; $S$139), MATCH($T$138, INDIRECT($S$138 &amp; $S$140), 0), MATCH(U$4,INDIRECT($S$138 &amp; $S$141),0))</f>
        <v>5.0972785334547827E-2</v>
      </c>
      <c r="V138" s="645">
        <f t="shared" ca="1" si="106"/>
        <v>0.10454379551385751</v>
      </c>
      <c r="W138" s="645">
        <f t="shared" ca="1" si="106"/>
        <v>0.16084546929519217</v>
      </c>
      <c r="X138" s="645">
        <f t="shared" ca="1" si="106"/>
        <v>0.2200169962081584</v>
      </c>
      <c r="Y138" s="645">
        <f t="shared" ca="1" si="106"/>
        <v>0.28220466066037675</v>
      </c>
      <c r="Z138" s="645">
        <f t="shared" ca="1" si="106"/>
        <v>0.34756220358317491</v>
      </c>
      <c r="AA138" s="645">
        <f t="shared" ca="1" si="106"/>
        <v>0.41625120251137027</v>
      </c>
      <c r="AB138" s="213"/>
      <c r="AC138" s="139">
        <v>0</v>
      </c>
    </row>
    <row r="139" spans="1:29" ht="15.95" hidden="1" customHeight="1" outlineLevel="1" thickBot="1">
      <c r="A139" s="90"/>
      <c r="B139" s="75" t="s">
        <v>411</v>
      </c>
      <c r="C139" s="213"/>
      <c r="D139" s="75"/>
      <c r="E139" s="75"/>
      <c r="F139" s="75"/>
      <c r="G139" s="647"/>
      <c r="H139" s="648"/>
      <c r="I139" s="649"/>
      <c r="J139" s="649"/>
      <c r="K139" s="649"/>
      <c r="L139" s="649"/>
      <c r="M139" s="649"/>
      <c r="N139" s="649"/>
      <c r="O139" s="649"/>
      <c r="P139" s="383"/>
      <c r="Q139" s="384" t="s">
        <v>555</v>
      </c>
      <c r="R139" s="384" t="s">
        <v>556</v>
      </c>
      <c r="S139" s="650" t="s">
        <v>428</v>
      </c>
      <c r="T139" s="118" t="s">
        <v>433</v>
      </c>
      <c r="U139" s="651">
        <f t="shared" ref="U139:AA139" si="107">VLOOKUP($T139, $T$41:$AA$49, MATCH(U$4, $T$4:$AA$4,0),0)</f>
        <v>0</v>
      </c>
      <c r="V139" s="651">
        <f t="shared" ca="1" si="107"/>
        <v>3.6285147071598134E-2</v>
      </c>
      <c r="W139" s="651">
        <f t="shared" ca="1" si="107"/>
        <v>5.6826863793245863E-2</v>
      </c>
      <c r="X139" s="651">
        <f t="shared" ca="1" si="107"/>
        <v>7.9744735487233376E-2</v>
      </c>
      <c r="Y139" s="651">
        <f t="shared" ca="1" si="107"/>
        <v>0.10382197588462216</v>
      </c>
      <c r="Z139" s="651">
        <f t="shared" ca="1" si="107"/>
        <v>0.12900137929281041</v>
      </c>
      <c r="AA139" s="651">
        <f t="shared" ca="1" si="107"/>
        <v>0.15510094686014897</v>
      </c>
      <c r="AB139" s="213"/>
      <c r="AC139" s="139">
        <v>0</v>
      </c>
    </row>
    <row r="140" spans="1:29" collapsed="1">
      <c r="A140" s="90"/>
      <c r="B140" s="75" t="s">
        <v>413</v>
      </c>
      <c r="C140" s="652" t="s">
        <v>557</v>
      </c>
      <c r="D140" s="218"/>
      <c r="E140" s="218"/>
      <c r="F140" s="371"/>
      <c r="G140" s="1215" t="s">
        <v>558</v>
      </c>
      <c r="H140" s="632" t="s">
        <v>559</v>
      </c>
      <c r="I140" s="259">
        <f t="shared" ref="I140:O140" ca="1" si="108">IFERROR(INDEX(INDIRECT($B$139 &amp; $B$140), MATCH($C140, INDIRECT($B$139 &amp; $B$142),0), MATCH($G$3, INDIRECT($B$139 &amp; $B$143), 0)),0)</f>
        <v>530.09384857311557</v>
      </c>
      <c r="J140" s="260">
        <f t="shared" ca="1" si="108"/>
        <v>530.09384857311557</v>
      </c>
      <c r="K140" s="260">
        <f t="shared" ca="1" si="108"/>
        <v>530.09384857311557</v>
      </c>
      <c r="L140" s="260">
        <f t="shared" ca="1" si="108"/>
        <v>530.09384857311557</v>
      </c>
      <c r="M140" s="260">
        <f t="shared" ca="1" si="108"/>
        <v>530.09384857311557</v>
      </c>
      <c r="N140" s="260">
        <f t="shared" ca="1" si="108"/>
        <v>530.09384857311557</v>
      </c>
      <c r="O140" s="260">
        <f t="shared" ca="1" si="108"/>
        <v>530.09384857311557</v>
      </c>
      <c r="P140" s="653"/>
      <c r="Q140" s="654" t="s">
        <v>560</v>
      </c>
      <c r="R140" s="655">
        <v>1</v>
      </c>
      <c r="S140" s="656" t="s">
        <v>429</v>
      </c>
      <c r="T140" s="657" t="s">
        <v>552</v>
      </c>
      <c r="U140" s="547">
        <f t="shared" ref="U140:AA140" ca="1" si="109">I140*$H$2*(1+VLOOKUP($T140, $T$137:$AA$139, MATCH(U$4, $T$4:$AA$4,0),0)*$R140)</f>
        <v>274769.04576997238</v>
      </c>
      <c r="V140" s="404">
        <f t="shared" ca="1" si="109"/>
        <v>284847.78201657545</v>
      </c>
      <c r="W140" s="404">
        <f t="shared" ca="1" si="109"/>
        <v>295296.21392538067</v>
      </c>
      <c r="X140" s="404">
        <f t="shared" ca="1" si="109"/>
        <v>306127.90221266315</v>
      </c>
      <c r="Y140" s="404">
        <f t="shared" ca="1" si="109"/>
        <v>317356.90501201886</v>
      </c>
      <c r="Z140" s="404">
        <f t="shared" ca="1" si="109"/>
        <v>328997.79612000828</v>
      </c>
      <c r="AA140" s="409">
        <f t="shared" ca="1" si="109"/>
        <v>341065.68391106313</v>
      </c>
      <c r="AB140" s="381"/>
      <c r="AC140" s="139">
        <v>1</v>
      </c>
    </row>
    <row r="141" spans="1:29" ht="15" hidden="1" customHeight="1" outlineLevel="1">
      <c r="A141" s="90"/>
      <c r="B141" s="75"/>
      <c r="C141" s="652"/>
      <c r="D141" s="218"/>
      <c r="E141" s="218"/>
      <c r="F141" s="371"/>
      <c r="G141" s="1216"/>
      <c r="H141" s="637"/>
      <c r="I141" s="67"/>
      <c r="J141" s="23"/>
      <c r="K141" s="23"/>
      <c r="L141" s="23"/>
      <c r="M141" s="23"/>
      <c r="N141" s="23"/>
      <c r="O141" s="23"/>
      <c r="P141" s="658"/>
      <c r="Q141" s="654"/>
      <c r="R141" s="655"/>
      <c r="S141" s="656" t="s">
        <v>431</v>
      </c>
      <c r="T141" s="657" t="s">
        <v>561</v>
      </c>
      <c r="U141" s="249">
        <f ca="1">INDEX(INDIRECT($S$146 &amp; $S$147), MATCH($T141, INDIRECT($S$146 &amp; $S$148),0), MATCH(U$4, INDIRECT($S$146 &amp; $S$149),0))</f>
        <v>0</v>
      </c>
      <c r="V141" s="105">
        <f t="shared" ref="V141:AA141" ca="1" si="110">INDEX(INDIRECT($S$146 &amp; $S$147), MATCH($T141, INDIRECT($S$146 &amp; $S$148),0), MATCH(V$4, INDIRECT($S$146 &amp; $S$149),0))</f>
        <v>3.4443168771526977E-2</v>
      </c>
      <c r="W141" s="105">
        <f t="shared" ca="1" si="110"/>
        <v>0</v>
      </c>
      <c r="X141" s="105">
        <f t="shared" ca="1" si="110"/>
        <v>-1.2208657047724669E-2</v>
      </c>
      <c r="Y141" s="105">
        <f t="shared" ca="1" si="110"/>
        <v>0</v>
      </c>
      <c r="Z141" s="105">
        <f t="shared" ca="1" si="110"/>
        <v>0</v>
      </c>
      <c r="AA141" s="250">
        <f t="shared" ca="1" si="110"/>
        <v>0</v>
      </c>
      <c r="AB141" s="381"/>
      <c r="AC141" s="139">
        <v>0</v>
      </c>
    </row>
    <row r="142" spans="1:29" collapsed="1">
      <c r="A142" s="90"/>
      <c r="B142" s="75" t="s">
        <v>415</v>
      </c>
      <c r="C142" s="652" t="s">
        <v>562</v>
      </c>
      <c r="D142" s="218"/>
      <c r="E142" s="218"/>
      <c r="F142" s="371"/>
      <c r="G142" s="1216"/>
      <c r="H142" s="633" t="s">
        <v>563</v>
      </c>
      <c r="I142" s="67">
        <f t="shared" ref="I142:O142" ca="1" si="111">IFERROR(INDEX(INDIRECT($B$139 &amp; $B$140), MATCH($C142, INDIRECT($B$139 &amp; $B$142),0), MATCH($G$3, INDIRECT($B$139 &amp; $B$143), 0)),0)</f>
        <v>821.87326036767683</v>
      </c>
      <c r="J142" s="23">
        <f t="shared" ca="1" si="111"/>
        <v>821.87326036767683</v>
      </c>
      <c r="K142" s="23">
        <f t="shared" ca="1" si="111"/>
        <v>821.87326036767683</v>
      </c>
      <c r="L142" s="23">
        <f t="shared" ca="1" si="111"/>
        <v>821.87326036767683</v>
      </c>
      <c r="M142" s="23">
        <f t="shared" ca="1" si="111"/>
        <v>821.87326036767683</v>
      </c>
      <c r="N142" s="23">
        <f t="shared" ca="1" si="111"/>
        <v>821.87326036767683</v>
      </c>
      <c r="O142" s="23">
        <f t="shared" ca="1" si="111"/>
        <v>821.87326036767683</v>
      </c>
      <c r="P142" s="659"/>
      <c r="Q142" s="660" t="s">
        <v>564</v>
      </c>
      <c r="R142" s="655">
        <f ca="1">INDEX(INDIRECT($Q$137 &amp; $Q$138), MATCH($Q142, INDIRECT($Q$137 &amp; $Q$139),0), MATCH($R$139, INDIRECT($Q$137 &amp; $Q$140),0))</f>
        <v>0.26100755370709905</v>
      </c>
      <c r="S142" s="90"/>
      <c r="T142" s="424" t="s">
        <v>433</v>
      </c>
      <c r="U142" s="548">
        <f t="shared" ref="U142:AA146" ca="1" si="112">I142*$H$2*(1+VLOOKUP($T142,$T$137:$AA$139,MATCH(U$4,$T$4:$AA$4,0),0))*(1+U$141*$R142)</f>
        <v>410936.63018383842</v>
      </c>
      <c r="V142" s="27">
        <f t="shared" ca="1" si="112"/>
        <v>429675.86451621272</v>
      </c>
      <c r="W142" s="27">
        <f t="shared" ca="1" si="112"/>
        <v>434288.87009495083</v>
      </c>
      <c r="X142" s="27">
        <f t="shared" ca="1" si="112"/>
        <v>442292.76883391832</v>
      </c>
      <c r="Y142" s="27">
        <f t="shared" ca="1" si="112"/>
        <v>453600.88309289282</v>
      </c>
      <c r="Z142" s="27">
        <f t="shared" ca="1" si="112"/>
        <v>463948.0222794931</v>
      </c>
      <c r="AA142" s="386">
        <f t="shared" ca="1" si="112"/>
        <v>474673.29062487063</v>
      </c>
      <c r="AB142" s="381"/>
      <c r="AC142" s="139">
        <v>1</v>
      </c>
    </row>
    <row r="143" spans="1:29">
      <c r="A143" s="90"/>
      <c r="B143" s="75" t="s">
        <v>418</v>
      </c>
      <c r="C143" s="213" t="str">
        <f t="shared" ref="C143:C148" si="113">LEFT($G$3,1) &amp; "S" &amp; D143</f>
        <v>MS_TechServices</v>
      </c>
      <c r="D143" s="652" t="s">
        <v>565</v>
      </c>
      <c r="E143" s="75"/>
      <c r="F143" s="76"/>
      <c r="G143" s="1216"/>
      <c r="H143" s="634" t="s">
        <v>566</v>
      </c>
      <c r="I143" s="67">
        <f ca="1">IFERROR(INDEX(INDIRECT($B$144 &amp; $B$145), MATCH($C143, INDIRECT($B$144 &amp; $B$146),0), MATCH(I$4, INDIRECT($B$144 &amp; $B$147), 0)),0)</f>
        <v>382.48</v>
      </c>
      <c r="J143" s="23">
        <f t="shared" ref="J143:O144" ca="1" si="114">IFERROR(INDEX(INDIRECT($B$144 &amp; $B$145), MATCH($C143, INDIRECT($B$144 &amp; $B$146),0), MATCH(J$4, INDIRECT($B$144 &amp; $B$147), 0)),0)</f>
        <v>396.35834305194487</v>
      </c>
      <c r="K143" s="23">
        <f t="shared" ca="1" si="114"/>
        <v>396.35834305194487</v>
      </c>
      <c r="L143" s="23">
        <f t="shared" ca="1" si="114"/>
        <v>396.35834305194487</v>
      </c>
      <c r="M143" s="23">
        <f t="shared" ca="1" si="114"/>
        <v>396.35834305194487</v>
      </c>
      <c r="N143" s="23">
        <f t="shared" ca="1" si="114"/>
        <v>396.35834305194487</v>
      </c>
      <c r="O143" s="23">
        <f t="shared" ca="1" si="114"/>
        <v>396.35834305194487</v>
      </c>
      <c r="P143" s="659"/>
      <c r="Q143" s="660" t="s">
        <v>567</v>
      </c>
      <c r="R143" s="655">
        <f ca="1">INDEX(INDIRECT($Q$137 &amp; $Q$138), MATCH($Q143, INDIRECT($Q$137 &amp; $Q$139),0), MATCH($R$139, INDIRECT($Q$137 &amp; $Q$140),0))</f>
        <v>0.32173688539196554</v>
      </c>
      <c r="S143" s="588"/>
      <c r="T143" s="424" t="s">
        <v>433</v>
      </c>
      <c r="U143" s="548">
        <f t="shared" ca="1" si="112"/>
        <v>191240</v>
      </c>
      <c r="V143" s="27">
        <f t="shared" ca="1" si="112"/>
        <v>207645.96933704952</v>
      </c>
      <c r="W143" s="27">
        <f t="shared" ca="1" si="112"/>
        <v>209441.07231293718</v>
      </c>
      <c r="X143" s="27">
        <f t="shared" ca="1" si="112"/>
        <v>213142.39752667083</v>
      </c>
      <c r="Y143" s="27">
        <f t="shared" ca="1" si="112"/>
        <v>218754.52469297635</v>
      </c>
      <c r="Z143" s="27">
        <f t="shared" ca="1" si="112"/>
        <v>223744.55799992933</v>
      </c>
      <c r="AA143" s="386">
        <f t="shared" ca="1" si="112"/>
        <v>228916.94867761064</v>
      </c>
      <c r="AB143" s="381"/>
      <c r="AC143" s="139">
        <v>1</v>
      </c>
    </row>
    <row r="144" spans="1:29">
      <c r="A144" s="90"/>
      <c r="B144" s="75" t="s">
        <v>398</v>
      </c>
      <c r="C144" s="213" t="str">
        <f t="shared" si="113"/>
        <v>MS_O&amp;M</v>
      </c>
      <c r="D144" s="652" t="s">
        <v>568</v>
      </c>
      <c r="E144" s="75"/>
      <c r="F144" s="76"/>
      <c r="G144" s="1216"/>
      <c r="H144" s="634" t="s">
        <v>569</v>
      </c>
      <c r="I144" s="67">
        <f ca="1">IFERROR(INDEX(INDIRECT($B$144 &amp; $B$145), MATCH($C144, INDIRECT($B$144 &amp; $B$146),0), MATCH(I$4, INDIRECT($B$144 &amp; $B$147), 0)),0)</f>
        <v>1480.7</v>
      </c>
      <c r="J144" s="23">
        <f t="shared" ca="1" si="114"/>
        <v>1496.5264756129247</v>
      </c>
      <c r="K144" s="23">
        <f t="shared" ca="1" si="114"/>
        <v>1496.5264756129247</v>
      </c>
      <c r="L144" s="23">
        <f t="shared" ca="1" si="114"/>
        <v>1496.5264756129247</v>
      </c>
      <c r="M144" s="23">
        <f t="shared" ca="1" si="114"/>
        <v>1496.5264756129247</v>
      </c>
      <c r="N144" s="23">
        <f t="shared" ca="1" si="114"/>
        <v>1496.5264756129247</v>
      </c>
      <c r="O144" s="23">
        <f t="shared" ca="1" si="114"/>
        <v>1496.5264756129247</v>
      </c>
      <c r="P144" s="659"/>
      <c r="Q144" s="660" t="s">
        <v>570</v>
      </c>
      <c r="R144" s="655">
        <f ca="1">INDEX(INDIRECT($Q$137 &amp; $Q$138), MATCH($Q144, INDIRECT($Q$137 &amp; $Q$139),0), MATCH($R$139, INDIRECT($Q$137 &amp; $Q$140),0))</f>
        <v>0.30611628145856251</v>
      </c>
      <c r="S144" s="90"/>
      <c r="T144" s="424" t="s">
        <v>433</v>
      </c>
      <c r="U144" s="548">
        <f t="shared" ca="1" si="112"/>
        <v>740350</v>
      </c>
      <c r="V144" s="27">
        <f t="shared" ca="1" si="112"/>
        <v>783589.74676075601</v>
      </c>
      <c r="W144" s="27">
        <f t="shared" ca="1" si="112"/>
        <v>790784.6909027833</v>
      </c>
      <c r="X144" s="27">
        <f t="shared" ca="1" si="112"/>
        <v>804913.82797948294</v>
      </c>
      <c r="Y144" s="27">
        <f t="shared" ca="1" si="112"/>
        <v>825949.40563735412</v>
      </c>
      <c r="Z144" s="27">
        <f t="shared" ca="1" si="112"/>
        <v>844790.22755760013</v>
      </c>
      <c r="AA144" s="386">
        <f t="shared" ca="1" si="112"/>
        <v>864319.57449088548</v>
      </c>
      <c r="AB144" s="381"/>
      <c r="AC144" s="139">
        <v>1</v>
      </c>
    </row>
    <row r="145" spans="1:29">
      <c r="A145" s="213"/>
      <c r="B145" s="75" t="s">
        <v>423</v>
      </c>
      <c r="C145" s="213" t="str">
        <f t="shared" si="113"/>
        <v>MS_OtherSuppServ</v>
      </c>
      <c r="D145" s="652" t="s">
        <v>571</v>
      </c>
      <c r="E145" s="75"/>
      <c r="F145" s="76"/>
      <c r="G145" s="1216"/>
      <c r="H145" s="634" t="s">
        <v>572</v>
      </c>
      <c r="I145" s="638">
        <f ca="1">IFERROR(INDEX(INDIRECT($B$120 &amp; $B$121), MATCH($C145, INDIRECT($B$120 &amp; $B$122),0), MATCH(I$4, INDIRECT($B$120 &amp; $B$123), 0)),0)</f>
        <v>320</v>
      </c>
      <c r="J145" s="23">
        <f t="shared" ref="J145:O146" ca="1" si="115">IFERROR(INDEX(INDIRECT($B$120 &amp; $B$121), MATCH($C145, INDIRECT($B$120 &amp; $B$122),0), MATCH(J$4, INDIRECT($B$120 &amp; $B$123), 0)),0)</f>
        <v>320</v>
      </c>
      <c r="K145" s="23">
        <f t="shared" ca="1" si="115"/>
        <v>320</v>
      </c>
      <c r="L145" s="23">
        <f t="shared" ca="1" si="115"/>
        <v>320</v>
      </c>
      <c r="M145" s="23">
        <f t="shared" ca="1" si="115"/>
        <v>320</v>
      </c>
      <c r="N145" s="23">
        <f t="shared" ca="1" si="115"/>
        <v>320</v>
      </c>
      <c r="O145" s="864">
        <f t="shared" ca="1" si="115"/>
        <v>320</v>
      </c>
      <c r="P145" s="659"/>
      <c r="Q145" s="660" t="s">
        <v>573</v>
      </c>
      <c r="R145" s="655">
        <f ca="1">INDEX(INDIRECT($Q$137 &amp; $Q$138), MATCH($Q145, INDIRECT($Q$137 &amp; $Q$139),0), MATCH($R$139, INDIRECT($Q$137 &amp; $Q$140),0))</f>
        <v>0.47025107893712281</v>
      </c>
      <c r="S145" s="588"/>
      <c r="T145" s="424" t="s">
        <v>433</v>
      </c>
      <c r="U145" s="548">
        <f t="shared" ca="1" si="112"/>
        <v>160000</v>
      </c>
      <c r="V145" s="27">
        <f t="shared" ca="1" si="112"/>
        <v>168491.16681593939</v>
      </c>
      <c r="W145" s="27">
        <f t="shared" ca="1" si="112"/>
        <v>169092.29820691934</v>
      </c>
      <c r="X145" s="27">
        <f t="shared" ca="1" si="112"/>
        <v>171767.32417824859</v>
      </c>
      <c r="Y145" s="27">
        <f t="shared" ca="1" si="112"/>
        <v>176611.51614153956</v>
      </c>
      <c r="Z145" s="27">
        <f t="shared" ca="1" si="112"/>
        <v>180640.22068684967</v>
      </c>
      <c r="AA145" s="386">
        <f t="shared" ca="1" si="112"/>
        <v>184816.15149762382</v>
      </c>
      <c r="AB145" s="381"/>
      <c r="AC145" s="139">
        <v>1</v>
      </c>
    </row>
    <row r="146" spans="1:29">
      <c r="A146" s="213"/>
      <c r="B146" s="75" t="s">
        <v>424</v>
      </c>
      <c r="C146" s="213" t="str">
        <f t="shared" si="113"/>
        <v>MS_CentSpEd</v>
      </c>
      <c r="D146" s="652" t="s">
        <v>574</v>
      </c>
      <c r="E146" s="75"/>
      <c r="F146" s="76"/>
      <c r="G146" s="1216"/>
      <c r="H146" s="634" t="s">
        <v>619</v>
      </c>
      <c r="I146" s="638">
        <f ca="1">IFERROR(INDEX(INDIRECT($B$120 &amp; $B$121), MATCH($C146, INDIRECT($B$120 &amp; $B$122),0), MATCH(I$4, INDIRECT($B$120 &amp; $B$123), 0)),0)</f>
        <v>203.23</v>
      </c>
      <c r="J146" s="23">
        <f t="shared" ca="1" si="115"/>
        <v>203.23</v>
      </c>
      <c r="K146" s="23">
        <f t="shared" ca="1" si="115"/>
        <v>203.23</v>
      </c>
      <c r="L146" s="23">
        <f t="shared" ca="1" si="115"/>
        <v>203.23</v>
      </c>
      <c r="M146" s="23">
        <f t="shared" ca="1" si="115"/>
        <v>203.23</v>
      </c>
      <c r="N146" s="23">
        <f t="shared" ca="1" si="115"/>
        <v>203.23</v>
      </c>
      <c r="O146" s="864">
        <f t="shared" ca="1" si="115"/>
        <v>203.23</v>
      </c>
      <c r="P146" s="659"/>
      <c r="Q146" s="660" t="s">
        <v>575</v>
      </c>
      <c r="R146" s="655">
        <f ca="1">INDEX(INDIRECT($Q$137 &amp; $Q$138), MATCH($Q146, INDIRECT($Q$137 &amp; $Q$139),0), MATCH($R$139, INDIRECT($Q$137 &amp; $Q$140),0))</f>
        <v>0.55648051681771649</v>
      </c>
      <c r="S146" s="384" t="s">
        <v>385</v>
      </c>
      <c r="T146" s="661" t="s">
        <v>554</v>
      </c>
      <c r="U146" s="548">
        <f t="shared" ca="1" si="112"/>
        <v>106794.59958177008</v>
      </c>
      <c r="V146" s="27">
        <f t="shared" ca="1" si="112"/>
        <v>114389.48235419052</v>
      </c>
      <c r="W146" s="27">
        <f t="shared" ca="1" si="112"/>
        <v>117959.31236243095</v>
      </c>
      <c r="X146" s="27">
        <f t="shared" ca="1" si="112"/>
        <v>123129.77602125528</v>
      </c>
      <c r="Y146" s="27">
        <f t="shared" ca="1" si="112"/>
        <v>130291.22659300419</v>
      </c>
      <c r="Z146" s="27">
        <f t="shared" ca="1" si="112"/>
        <v>136932.53331710433</v>
      </c>
      <c r="AA146" s="386">
        <f t="shared" ca="1" si="112"/>
        <v>143912.36594319288</v>
      </c>
      <c r="AB146" s="381"/>
      <c r="AC146" s="139">
        <v>1</v>
      </c>
    </row>
    <row r="147" spans="1:29" ht="15.95" hidden="1" customHeight="1" outlineLevel="1" thickBot="1">
      <c r="A147" s="90"/>
      <c r="B147" s="75" t="s">
        <v>425</v>
      </c>
      <c r="C147" s="213" t="str">
        <f t="shared" si="113"/>
        <v>MS_AssessCurDev</v>
      </c>
      <c r="D147" s="75" t="s">
        <v>576</v>
      </c>
      <c r="E147" s="75"/>
      <c r="F147" s="76"/>
      <c r="G147" s="1216"/>
      <c r="H147" s="635"/>
      <c r="I147" s="67">
        <f t="shared" ref="I147:O148" ca="1" si="116">IFERROR(INDEX(INDIRECT($B$144 &amp; $B$145), MATCH($C147, INDIRECT($B$144 &amp; $B$146),0), MATCH(I$4, INDIRECT($B$144 &amp; $B$147), 0)),0)</f>
        <v>300.86</v>
      </c>
      <c r="J147" s="23">
        <f t="shared" ca="1" si="116"/>
        <v>311.77674934796102</v>
      </c>
      <c r="K147" s="23">
        <f t="shared" ca="1" si="116"/>
        <v>311.77674934796102</v>
      </c>
      <c r="L147" s="23">
        <f t="shared" ca="1" si="116"/>
        <v>311.77674934796102</v>
      </c>
      <c r="M147" s="23">
        <f t="shared" ca="1" si="116"/>
        <v>311.77674934796102</v>
      </c>
      <c r="N147" s="23">
        <f t="shared" ca="1" si="116"/>
        <v>311.77674934796102</v>
      </c>
      <c r="O147" s="23">
        <f t="shared" ca="1" si="116"/>
        <v>311.77674934796102</v>
      </c>
      <c r="P147" s="662"/>
      <c r="Q147" s="90"/>
      <c r="R147" s="663"/>
      <c r="S147" s="384" t="s">
        <v>390</v>
      </c>
      <c r="T147" s="424"/>
      <c r="U147" s="548"/>
      <c r="V147" s="27"/>
      <c r="W147" s="27"/>
      <c r="X147" s="27"/>
      <c r="Y147" s="27"/>
      <c r="Z147" s="27"/>
      <c r="AA147" s="386"/>
      <c r="AB147" s="381"/>
      <c r="AC147" s="139">
        <v>0</v>
      </c>
    </row>
    <row r="148" spans="1:29" ht="15" hidden="1" customHeight="1" outlineLevel="1">
      <c r="A148" s="90"/>
      <c r="B148" s="213"/>
      <c r="C148" s="213" t="str">
        <f t="shared" si="113"/>
        <v>MS_FormAssess</v>
      </c>
      <c r="D148" s="75" t="s">
        <v>577</v>
      </c>
      <c r="E148" s="75"/>
      <c r="F148" s="76"/>
      <c r="G148" s="1216"/>
      <c r="H148" s="635"/>
      <c r="I148" s="67">
        <f t="shared" ca="1" si="116"/>
        <v>99</v>
      </c>
      <c r="J148" s="23">
        <f t="shared" ca="1" si="116"/>
        <v>99</v>
      </c>
      <c r="K148" s="23">
        <f t="shared" ca="1" si="116"/>
        <v>99</v>
      </c>
      <c r="L148" s="23">
        <f t="shared" ca="1" si="116"/>
        <v>99</v>
      </c>
      <c r="M148" s="23">
        <f t="shared" ca="1" si="116"/>
        <v>99</v>
      </c>
      <c r="N148" s="23">
        <f t="shared" ca="1" si="116"/>
        <v>99</v>
      </c>
      <c r="O148" s="23">
        <f t="shared" ca="1" si="116"/>
        <v>99</v>
      </c>
      <c r="P148" s="664"/>
      <c r="Q148" s="665"/>
      <c r="R148" s="663"/>
      <c r="S148" s="384" t="s">
        <v>578</v>
      </c>
      <c r="T148" s="424"/>
      <c r="U148" s="548"/>
      <c r="V148" s="27"/>
      <c r="W148" s="27"/>
      <c r="X148" s="27"/>
      <c r="Y148" s="27"/>
      <c r="Z148" s="27"/>
      <c r="AA148" s="386"/>
      <c r="AB148" s="380"/>
      <c r="AC148" s="139">
        <v>0</v>
      </c>
    </row>
    <row r="149" spans="1:29" ht="15.75" collapsed="1" thickBot="1">
      <c r="A149" s="90"/>
      <c r="B149" s="75"/>
      <c r="C149" s="156"/>
      <c r="D149" s="75"/>
      <c r="E149" s="75"/>
      <c r="F149" s="667"/>
      <c r="G149" s="1217"/>
      <c r="H149" s="631" t="s">
        <v>579</v>
      </c>
      <c r="I149" s="252">
        <f ca="1">I147+I148</f>
        <v>399.86</v>
      </c>
      <c r="J149" s="65">
        <f t="shared" ref="J149:P149" ca="1" si="117">J147+J148</f>
        <v>410.77674934796102</v>
      </c>
      <c r="K149" s="65">
        <f t="shared" ca="1" si="117"/>
        <v>410.77674934796102</v>
      </c>
      <c r="L149" s="65">
        <f t="shared" ca="1" si="117"/>
        <v>410.77674934796102</v>
      </c>
      <c r="M149" s="65">
        <f t="shared" ca="1" si="117"/>
        <v>410.77674934796102</v>
      </c>
      <c r="N149" s="65">
        <f t="shared" ca="1" si="117"/>
        <v>410.77674934796102</v>
      </c>
      <c r="O149" s="65">
        <f t="shared" ca="1" si="117"/>
        <v>410.77674934796102</v>
      </c>
      <c r="P149" s="666">
        <f t="shared" si="117"/>
        <v>0</v>
      </c>
      <c r="Q149" s="668" t="s">
        <v>580</v>
      </c>
      <c r="R149" s="669">
        <f ca="1">INDEX(INDIRECT($Q$137 &amp; $Q$138), MATCH($Q149, INDIRECT($Q$137 &amp; $Q$139),0), MATCH($R$139, INDIRECT($Q$137 &amp; $Q$140),0))</f>
        <v>0.50988907892040225</v>
      </c>
      <c r="S149" s="669" t="s">
        <v>395</v>
      </c>
      <c r="T149" s="670" t="s">
        <v>433</v>
      </c>
      <c r="U149" s="549">
        <f t="shared" ref="U149:AA149" ca="1" si="118">I149*$H$2*(1+VLOOKUP($T149,$T$137:$AA$139,MATCH(U$4,$T$4:$AA$4,0),0))*(1+U$141*$R149)</f>
        <v>199930</v>
      </c>
      <c r="V149" s="387">
        <f t="shared" ca="1" si="118"/>
        <v>216578.87596065406</v>
      </c>
      <c r="W149" s="387">
        <f t="shared" ca="1" si="118"/>
        <v>217059.95186629496</v>
      </c>
      <c r="X149" s="387">
        <f t="shared" ca="1" si="118"/>
        <v>220386.50310321068</v>
      </c>
      <c r="Y149" s="387">
        <f t="shared" ca="1" si="118"/>
        <v>226712.20155636428</v>
      </c>
      <c r="Z149" s="387">
        <f t="shared" ca="1" si="118"/>
        <v>231883.75829763254</v>
      </c>
      <c r="AA149" s="388">
        <f t="shared" ca="1" si="118"/>
        <v>237244.30605998193</v>
      </c>
      <c r="AB149" s="671"/>
      <c r="AC149" s="672">
        <v>1</v>
      </c>
    </row>
    <row r="150" spans="1:29" ht="15" hidden="1" customHeight="1" outlineLevel="1">
      <c r="A150" s="90"/>
      <c r="B150" s="75"/>
      <c r="C150" s="156"/>
      <c r="D150" s="75"/>
      <c r="E150" s="75"/>
      <c r="F150" s="75"/>
      <c r="G150" s="674"/>
      <c r="H150" s="675"/>
      <c r="I150" s="676"/>
      <c r="J150" s="676"/>
      <c r="K150" s="676"/>
      <c r="L150" s="676"/>
      <c r="M150" s="676"/>
      <c r="N150" s="676"/>
      <c r="O150" s="676"/>
      <c r="P150" s="646"/>
      <c r="Q150" s="673"/>
      <c r="R150" s="655"/>
      <c r="S150" s="655"/>
      <c r="T150" s="118"/>
      <c r="U150" s="646"/>
      <c r="V150" s="646"/>
      <c r="W150" s="646"/>
      <c r="X150" s="646"/>
      <c r="Y150" s="646"/>
      <c r="Z150" s="646"/>
      <c r="AA150" s="646"/>
      <c r="AB150" s="118"/>
      <c r="AC150" s="139">
        <v>1</v>
      </c>
    </row>
    <row r="151" spans="1:29" ht="15.95" hidden="1" customHeight="1" outlineLevel="1" thickBot="1">
      <c r="A151" s="698"/>
      <c r="B151" s="197"/>
      <c r="C151" s="690"/>
      <c r="D151" s="197"/>
      <c r="E151" s="197"/>
      <c r="F151" s="197"/>
      <c r="G151" s="691"/>
      <c r="H151" s="692"/>
      <c r="I151" s="693"/>
      <c r="J151" s="693"/>
      <c r="K151" s="693"/>
      <c r="L151" s="693"/>
      <c r="M151" s="693"/>
      <c r="N151" s="693"/>
      <c r="O151" s="693"/>
      <c r="P151" s="694"/>
      <c r="Q151" s="695"/>
      <c r="R151" s="696"/>
      <c r="S151" s="696"/>
      <c r="T151" s="697"/>
      <c r="U151" s="694"/>
      <c r="V151" s="694"/>
      <c r="W151" s="694"/>
      <c r="X151" s="694"/>
      <c r="Y151" s="694"/>
      <c r="Z151" s="694"/>
      <c r="AA151" s="694"/>
      <c r="AB151" s="697"/>
      <c r="AC151" s="139">
        <v>1</v>
      </c>
    </row>
    <row r="152" spans="1:29" collapsed="1">
      <c r="A152" s="698"/>
      <c r="B152" s="698" t="s">
        <v>411</v>
      </c>
      <c r="C152" s="698" t="s">
        <v>581</v>
      </c>
      <c r="D152" s="197"/>
      <c r="E152" s="197"/>
      <c r="F152" s="699"/>
      <c r="G152" s="1218" t="s">
        <v>582</v>
      </c>
      <c r="H152" s="271" t="s">
        <v>583</v>
      </c>
      <c r="I152" s="630">
        <f ca="1">IFERROR(INDEX(INDIRECT($B$152 &amp; $B$153), MATCH($C152, INDIRECT($B$139 &amp; $B$154),0), MATCH($G$3, INDIRECT($B$139 &amp; $B$155), 0)),0)</f>
        <v>207.74289346702776</v>
      </c>
      <c r="J152" s="260">
        <f t="shared" ref="J152:O152" ca="1" si="119">IFERROR(INDEX(INDIRECT($B$152 &amp; $B$153), MATCH($C152, INDIRECT($B$139 &amp; $B$154),0), MATCH($G$3, INDIRECT($B$139 &amp; $B$155), 0)),0)</f>
        <v>207.74289346702776</v>
      </c>
      <c r="K152" s="260">
        <f t="shared" ca="1" si="119"/>
        <v>207.74289346702776</v>
      </c>
      <c r="L152" s="260">
        <f t="shared" ca="1" si="119"/>
        <v>207.74289346702776</v>
      </c>
      <c r="M152" s="260">
        <f t="shared" ca="1" si="119"/>
        <v>207.74289346702776</v>
      </c>
      <c r="N152" s="260">
        <f t="shared" ca="1" si="119"/>
        <v>207.74289346702776</v>
      </c>
      <c r="O152" s="260">
        <f t="shared" ca="1" si="119"/>
        <v>207.74289346702776</v>
      </c>
      <c r="P152" s="261"/>
      <c r="Q152" s="721" t="s">
        <v>584</v>
      </c>
      <c r="R152" s="722">
        <f ca="1">INDEX(INDIRECT($S$152 &amp; $S$153), MATCH($Q152, INDIRECT($S$152 &amp; $S$154),0), MATCH($R$139, INDIRECT($S$152 &amp; $S$155),0))</f>
        <v>0.44641177674553434</v>
      </c>
      <c r="S152" s="696" t="s">
        <v>551</v>
      </c>
      <c r="T152" s="719" t="s">
        <v>433</v>
      </c>
      <c r="U152" s="547">
        <f t="shared" ref="U152:AA155" ca="1" si="120">I152*$H$2*(1+VLOOKUP($T152,$T$137:$AA$139,MATCH(U$4,$T$4:$AA$4,0),0))*(1+U$141*$R152)</f>
        <v>103871.44673351388</v>
      </c>
      <c r="V152" s="404">
        <f t="shared" ca="1" si="120"/>
        <v>109295.49918614033</v>
      </c>
      <c r="W152" s="404">
        <f t="shared" ca="1" si="120"/>
        <v>109774.13528904667</v>
      </c>
      <c r="X152" s="404">
        <f t="shared" ca="1" si="120"/>
        <v>111543.39504606398</v>
      </c>
      <c r="Y152" s="404">
        <f t="shared" ca="1" si="120"/>
        <v>114655.58557138157</v>
      </c>
      <c r="Z152" s="404">
        <f t="shared" ca="1" si="120"/>
        <v>117271.00663127685</v>
      </c>
      <c r="AA152" s="409">
        <f t="shared" ca="1" si="120"/>
        <v>119982.0064736154</v>
      </c>
      <c r="AB152" s="705"/>
      <c r="AC152" s="139">
        <v>1</v>
      </c>
    </row>
    <row r="153" spans="1:29">
      <c r="A153" s="698"/>
      <c r="B153" s="698" t="s">
        <v>413</v>
      </c>
      <c r="C153" s="698" t="s">
        <v>585</v>
      </c>
      <c r="D153" s="197"/>
      <c r="E153" s="197"/>
      <c r="F153" s="699"/>
      <c r="G153" s="1230"/>
      <c r="H153" s="272" t="s">
        <v>586</v>
      </c>
      <c r="I153" s="22">
        <f t="shared" ref="I153:O155" ca="1" si="121">IFERROR(INDEX(INDIRECT($B$152 &amp; $B$153), MATCH($C153, INDIRECT($B$139 &amp; $B$154),0), MATCH($G$3, INDIRECT($B$139 &amp; $B$155), 0)),0)</f>
        <v>287.3810454865399</v>
      </c>
      <c r="J153" s="23">
        <f t="shared" ca="1" si="121"/>
        <v>287.3810454865399</v>
      </c>
      <c r="K153" s="23">
        <f t="shared" ca="1" si="121"/>
        <v>287.3810454865399</v>
      </c>
      <c r="L153" s="23">
        <f t="shared" ca="1" si="121"/>
        <v>287.3810454865399</v>
      </c>
      <c r="M153" s="23">
        <f t="shared" ca="1" si="121"/>
        <v>287.3810454865399</v>
      </c>
      <c r="N153" s="23">
        <f t="shared" ca="1" si="121"/>
        <v>287.3810454865399</v>
      </c>
      <c r="O153" s="23">
        <f t="shared" ca="1" si="121"/>
        <v>287.3810454865399</v>
      </c>
      <c r="P153" s="24"/>
      <c r="Q153" s="721" t="s">
        <v>587</v>
      </c>
      <c r="R153" s="722">
        <f ca="1">INDEX(INDIRECT($S$152 &amp; $S$153), MATCH($Q153, INDIRECT($S$152 &amp; $S$154),0), MATCH($R$139, INDIRECT($S$152 &amp; $S$155),0))</f>
        <v>0.35842276390039168</v>
      </c>
      <c r="S153" s="696" t="s">
        <v>553</v>
      </c>
      <c r="T153" s="719" t="s">
        <v>433</v>
      </c>
      <c r="U153" s="548">
        <f t="shared" ca="1" si="120"/>
        <v>143690.52274326995</v>
      </c>
      <c r="V153" s="27">
        <f t="shared" ca="1" si="120"/>
        <v>150742.61087593311</v>
      </c>
      <c r="W153" s="27">
        <f t="shared" ca="1" si="120"/>
        <v>151856.00450758205</v>
      </c>
      <c r="X153" s="27">
        <f t="shared" ca="1" si="120"/>
        <v>154470.17470081695</v>
      </c>
      <c r="Y153" s="27">
        <f t="shared" ca="1" si="120"/>
        <v>158608.75673037049</v>
      </c>
      <c r="Z153" s="27">
        <f t="shared" ca="1" si="120"/>
        <v>162226.79836845672</v>
      </c>
      <c r="AA153" s="386">
        <f t="shared" ca="1" si="120"/>
        <v>165977.05887558087</v>
      </c>
      <c r="AB153" s="705"/>
      <c r="AC153" s="139">
        <v>1</v>
      </c>
    </row>
    <row r="154" spans="1:29">
      <c r="A154" s="698"/>
      <c r="B154" s="698" t="s">
        <v>415</v>
      </c>
      <c r="C154" s="698" t="s">
        <v>588</v>
      </c>
      <c r="D154" s="197"/>
      <c r="E154" s="197"/>
      <c r="F154" s="699"/>
      <c r="G154" s="1230"/>
      <c r="H154" s="272" t="s">
        <v>589</v>
      </c>
      <c r="I154" s="22">
        <f t="shared" ca="1" si="121"/>
        <v>128.41620751494605</v>
      </c>
      <c r="J154" s="23">
        <f t="shared" ca="1" si="121"/>
        <v>128.41620751494605</v>
      </c>
      <c r="K154" s="23">
        <f t="shared" ca="1" si="121"/>
        <v>128.41620751494605</v>
      </c>
      <c r="L154" s="23">
        <f t="shared" ca="1" si="121"/>
        <v>128.41620751494605</v>
      </c>
      <c r="M154" s="23">
        <f t="shared" ca="1" si="121"/>
        <v>128.41620751494605</v>
      </c>
      <c r="N154" s="23">
        <f t="shared" ca="1" si="121"/>
        <v>128.41620751494605</v>
      </c>
      <c r="O154" s="23">
        <f t="shared" ca="1" si="121"/>
        <v>128.41620751494605</v>
      </c>
      <c r="P154" s="24"/>
      <c r="Q154" s="721" t="s">
        <v>590</v>
      </c>
      <c r="R154" s="722">
        <f ca="1">INDEX(INDIRECT($S$152 &amp; $S$153), MATCH($Q154, INDIRECT($S$152 &amp; $S$154),0), MATCH($R$139, INDIRECT($S$152 &amp; $S$155),0))</f>
        <v>0.56889621416585201</v>
      </c>
      <c r="S154" s="696" t="s">
        <v>555</v>
      </c>
      <c r="T154" s="719" t="s">
        <v>433</v>
      </c>
      <c r="U154" s="548">
        <f t="shared" ca="1" si="120"/>
        <v>64208.103757473029</v>
      </c>
      <c r="V154" s="27">
        <f t="shared" ca="1" si="120"/>
        <v>67841.68708673428</v>
      </c>
      <c r="W154" s="27">
        <f t="shared" ca="1" si="120"/>
        <v>67856.848924121543</v>
      </c>
      <c r="X154" s="27">
        <f t="shared" ca="1" si="120"/>
        <v>68846.844727521137</v>
      </c>
      <c r="Y154" s="27">
        <f t="shared" ca="1" si="120"/>
        <v>70874.315957378712</v>
      </c>
      <c r="Z154" s="27">
        <f t="shared" ca="1" si="120"/>
        <v>72491.037703962938</v>
      </c>
      <c r="AA154" s="386">
        <f t="shared" ca="1" si="120"/>
        <v>74166.841446351784</v>
      </c>
      <c r="AB154" s="705"/>
      <c r="AC154" s="139">
        <v>1</v>
      </c>
    </row>
    <row r="155" spans="1:29" ht="15.75" thickBot="1">
      <c r="A155" s="698"/>
      <c r="B155" s="698" t="s">
        <v>418</v>
      </c>
      <c r="C155" s="698" t="s">
        <v>591</v>
      </c>
      <c r="D155" s="197"/>
      <c r="E155" s="197"/>
      <c r="F155" s="701"/>
      <c r="G155" s="1231"/>
      <c r="H155" s="275" t="s">
        <v>592</v>
      </c>
      <c r="I155" s="78">
        <f t="shared" ca="1" si="121"/>
        <v>46.007457289868704</v>
      </c>
      <c r="J155" s="65">
        <f t="shared" ca="1" si="121"/>
        <v>46.007457289868704</v>
      </c>
      <c r="K155" s="65">
        <f t="shared" ca="1" si="121"/>
        <v>46.007457289868704</v>
      </c>
      <c r="L155" s="65">
        <f t="shared" ca="1" si="121"/>
        <v>46.007457289868704</v>
      </c>
      <c r="M155" s="65">
        <f t="shared" ca="1" si="121"/>
        <v>46.007457289868704</v>
      </c>
      <c r="N155" s="65">
        <f t="shared" ca="1" si="121"/>
        <v>46.007457289868704</v>
      </c>
      <c r="O155" s="65">
        <f t="shared" ca="1" si="121"/>
        <v>46.007457289868704</v>
      </c>
      <c r="P155" s="68"/>
      <c r="Q155" s="721" t="s">
        <v>591</v>
      </c>
      <c r="R155" s="722">
        <f ca="1">INDEX(INDIRECT($S$152 &amp; $S$153), MATCH($Q155, INDIRECT($S$152 &amp; $S$154),0), MATCH($R$139, INDIRECT($S$152 &amp; $S$155),0))</f>
        <v>0.54694038119016553</v>
      </c>
      <c r="S155" s="696" t="s">
        <v>560</v>
      </c>
      <c r="T155" s="719" t="s">
        <v>433</v>
      </c>
      <c r="U155" s="549">
        <f t="shared" ca="1" si="120"/>
        <v>23003.728644934352</v>
      </c>
      <c r="V155" s="387">
        <f t="shared" ca="1" si="120"/>
        <v>24287.499100143174</v>
      </c>
      <c r="W155" s="387">
        <f t="shared" ca="1" si="120"/>
        <v>24310.958399376825</v>
      </c>
      <c r="X155" s="387">
        <f t="shared" ca="1" si="120"/>
        <v>24672.300418141833</v>
      </c>
      <c r="Y155" s="387">
        <f t="shared" ca="1" si="120"/>
        <v>25392.021205565117</v>
      </c>
      <c r="Z155" s="387">
        <f t="shared" ca="1" si="120"/>
        <v>25971.241369008418</v>
      </c>
      <c r="AA155" s="388">
        <f t="shared" ca="1" si="120"/>
        <v>26571.628739077601</v>
      </c>
      <c r="AB155" s="705"/>
      <c r="AC155" s="139">
        <v>1</v>
      </c>
    </row>
    <row r="156" spans="1:29" ht="15.95" hidden="1" customHeight="1" outlineLevel="1" thickBot="1">
      <c r="A156" s="698"/>
      <c r="B156" s="698"/>
      <c r="C156" s="698"/>
      <c r="D156" s="197"/>
      <c r="E156" s="197"/>
      <c r="F156" s="197"/>
      <c r="G156" s="702"/>
      <c r="H156" s="703"/>
      <c r="I156" s="704"/>
      <c r="J156" s="704"/>
      <c r="K156" s="704"/>
      <c r="L156" s="704"/>
      <c r="M156" s="704"/>
      <c r="N156" s="704"/>
      <c r="O156" s="704"/>
      <c r="P156" s="704"/>
      <c r="Q156" s="700"/>
      <c r="R156" s="700"/>
      <c r="S156" s="700"/>
      <c r="T156" s="700"/>
      <c r="U156" s="723"/>
      <c r="V156" s="720"/>
      <c r="W156" s="720"/>
      <c r="X156" s="720"/>
      <c r="Y156" s="720"/>
      <c r="Z156" s="720"/>
      <c r="AA156" s="720"/>
      <c r="AB156" s="705"/>
      <c r="AC156" s="139">
        <v>0</v>
      </c>
    </row>
    <row r="157" spans="1:29" ht="15.75" collapsed="1" thickBot="1">
      <c r="A157" s="164"/>
      <c r="B157" s="161" t="str">
        <f>'K-12_assumptions'!K5</f>
        <v>Full QEM</v>
      </c>
      <c r="C157" s="161" t="s">
        <v>81</v>
      </c>
      <c r="D157" s="161">
        <v>190</v>
      </c>
      <c r="E157" s="161"/>
      <c r="F157" s="266"/>
      <c r="G157" s="1221" t="s">
        <v>593</v>
      </c>
      <c r="H157" s="751" t="s">
        <v>594</v>
      </c>
      <c r="I157" s="755" t="s">
        <v>595</v>
      </c>
      <c r="J157" s="756"/>
      <c r="K157" s="756"/>
      <c r="L157" s="756"/>
      <c r="M157" s="756"/>
      <c r="N157" s="756"/>
      <c r="O157" s="757"/>
      <c r="P157" s="743">
        <f ca="1">(SUM($U$23:$U$35)+$U$63-((SUM(I$23:I$35)+I$63)*U$17))/$H$2/$H$158</f>
        <v>34.01591147541361</v>
      </c>
      <c r="Q157" s="264"/>
      <c r="R157" s="164"/>
      <c r="S157" s="164"/>
      <c r="T157" s="164"/>
      <c r="U157" s="548"/>
      <c r="V157" s="548"/>
      <c r="W157" s="548"/>
      <c r="X157" s="548"/>
      <c r="Y157" s="548"/>
      <c r="Z157" s="548"/>
      <c r="AA157" s="548"/>
      <c r="AB157" s="164"/>
      <c r="AC157" s="139"/>
    </row>
    <row r="158" spans="1:29">
      <c r="A158" s="164"/>
      <c r="B158" s="161"/>
      <c r="C158" s="161" t="s">
        <v>195</v>
      </c>
      <c r="D158" s="161">
        <v>193</v>
      </c>
      <c r="E158" s="161"/>
      <c r="F158" s="266"/>
      <c r="G158" s="1222"/>
      <c r="H158" s="753">
        <f>VLOOKUP($B$157, $C$157:$D$160,2,0)</f>
        <v>193</v>
      </c>
      <c r="I158" s="758" t="s">
        <v>596</v>
      </c>
      <c r="O158" s="759"/>
      <c r="P158" s="742">
        <f ca="1">(SUM($U$68:$U$86)+$U$63-((SUM(I$68:I$86)+I$63)*U$17))/$H$2/$H$158</f>
        <v>8.9294887698081151</v>
      </c>
      <c r="Q158" s="264"/>
      <c r="R158" s="164"/>
      <c r="S158" s="164"/>
      <c r="T158" s="164"/>
      <c r="U158" s="548"/>
      <c r="V158" s="548"/>
      <c r="W158" s="548"/>
      <c r="X158" s="548"/>
      <c r="Y158" s="548"/>
      <c r="Z158" s="548"/>
      <c r="AA158" s="548"/>
      <c r="AB158" s="164"/>
      <c r="AC158" s="139"/>
    </row>
    <row r="159" spans="1:29">
      <c r="A159" s="164"/>
      <c r="B159" s="161"/>
      <c r="C159" s="161" t="s">
        <v>194</v>
      </c>
      <c r="D159" s="161">
        <v>190</v>
      </c>
      <c r="E159" s="161"/>
      <c r="F159" s="266"/>
      <c r="G159" s="1222"/>
      <c r="H159" s="586"/>
      <c r="I159" s="758" t="s">
        <v>597</v>
      </c>
      <c r="O159" s="759"/>
      <c r="P159" s="742">
        <f ca="1">($U$90-(I$90*U$17))/$H$2/$H$158</f>
        <v>1.8452814102656534</v>
      </c>
      <c r="Q159" s="264"/>
      <c r="R159" s="164"/>
      <c r="S159" s="164"/>
      <c r="T159" s="164"/>
      <c r="U159" s="548"/>
      <c r="V159" s="548"/>
      <c r="W159" s="548"/>
      <c r="X159" s="548"/>
      <c r="Y159" s="548"/>
      <c r="Z159" s="548"/>
      <c r="AA159" s="548"/>
      <c r="AB159" s="164"/>
      <c r="AC159" s="139"/>
    </row>
    <row r="160" spans="1:29">
      <c r="A160" s="164"/>
      <c r="B160" s="161"/>
      <c r="C160" s="161" t="s">
        <v>87</v>
      </c>
      <c r="D160" s="161">
        <v>190</v>
      </c>
      <c r="E160" s="161"/>
      <c r="F160" s="266"/>
      <c r="G160" s="1222"/>
      <c r="H160" s="751" t="s">
        <v>598</v>
      </c>
      <c r="I160" s="758" t="s">
        <v>599</v>
      </c>
      <c r="O160" s="759"/>
      <c r="P160" s="741">
        <f ca="1">SUMIFS(U$140:U$149, $AC$140:$AC$149,1)/$H$2/$H$161</f>
        <v>16.030925196427546</v>
      </c>
      <c r="Q160" s="264"/>
      <c r="R160" s="164"/>
      <c r="S160" s="164"/>
      <c r="T160" s="164"/>
      <c r="U160" s="548"/>
      <c r="V160" s="548"/>
      <c r="W160" s="548"/>
      <c r="X160" s="548"/>
      <c r="Y160" s="548"/>
      <c r="Z160" s="548"/>
      <c r="AA160" s="548"/>
      <c r="AB160" s="164"/>
      <c r="AC160" s="139"/>
    </row>
    <row r="161" spans="1:29" ht="15.75" thickBot="1">
      <c r="A161" s="164"/>
      <c r="B161" s="161"/>
      <c r="C161" s="161"/>
      <c r="D161" s="161"/>
      <c r="E161" s="161"/>
      <c r="F161" s="266"/>
      <c r="G161" s="1222"/>
      <c r="H161" s="754">
        <v>260</v>
      </c>
      <c r="I161" s="760" t="s">
        <v>600</v>
      </c>
      <c r="J161" s="64"/>
      <c r="K161" s="64"/>
      <c r="L161" s="64"/>
      <c r="M161" s="64"/>
      <c r="N161" s="64"/>
      <c r="O161" s="761"/>
      <c r="P161" s="749">
        <f ca="1">SUMIFS(U$152:U$155, $AC$152:$AC$155,1)/$H$2/$H$161</f>
        <v>2.5751830913783937</v>
      </c>
      <c r="Q161" s="264"/>
      <c r="R161" s="164"/>
      <c r="S161" s="164"/>
      <c r="T161" s="164"/>
      <c r="U161" s="548"/>
      <c r="V161" s="548"/>
      <c r="W161" s="548"/>
      <c r="X161" s="548"/>
      <c r="Y161" s="548"/>
      <c r="Z161" s="548"/>
      <c r="AA161" s="548"/>
      <c r="AB161" s="164"/>
      <c r="AC161" s="139"/>
    </row>
    <row r="162" spans="1:29" ht="16.5" thickTop="1" thickBot="1">
      <c r="A162" s="164"/>
      <c r="B162" s="161"/>
      <c r="C162" s="161"/>
      <c r="D162" s="161"/>
      <c r="E162" s="161"/>
      <c r="F162" s="266"/>
      <c r="G162" s="1223"/>
      <c r="H162" s="586"/>
      <c r="I162" s="762" t="s">
        <v>601</v>
      </c>
      <c r="J162" s="61"/>
      <c r="K162" s="61"/>
      <c r="L162" s="61"/>
      <c r="M162" s="61"/>
      <c r="N162" s="61"/>
      <c r="O162" s="763"/>
      <c r="P162" s="750">
        <f ca="1">SUM(P157:P161)</f>
        <v>63.396789943293321</v>
      </c>
      <c r="Q162" s="264"/>
      <c r="R162" s="164"/>
      <c r="S162" s="164"/>
      <c r="T162" s="164"/>
      <c r="U162" s="548"/>
      <c r="V162" s="548"/>
      <c r="W162" s="548"/>
      <c r="X162" s="548"/>
      <c r="Y162" s="548"/>
      <c r="Z162" s="548"/>
      <c r="AA162" s="548"/>
      <c r="AB162" s="164"/>
      <c r="AC162" s="139"/>
    </row>
    <row r="163" spans="1:29" ht="15" hidden="1" customHeight="1" outlineLevel="1">
      <c r="A163" s="684"/>
      <c r="B163" s="684"/>
      <c r="C163" s="684"/>
      <c r="D163" s="79"/>
      <c r="E163" s="79"/>
      <c r="F163" s="79"/>
      <c r="G163" s="706"/>
      <c r="H163" s="140"/>
      <c r="I163" s="141"/>
      <c r="J163" s="141"/>
      <c r="K163" s="141"/>
      <c r="L163" s="141"/>
      <c r="M163" s="141"/>
      <c r="N163" s="141"/>
      <c r="O163" s="141"/>
      <c r="P163" s="141"/>
      <c r="Q163" s="598"/>
      <c r="R163" s="598"/>
      <c r="S163" s="598"/>
      <c r="T163" s="598"/>
      <c r="U163" s="688"/>
      <c r="V163" s="685"/>
      <c r="W163" s="685"/>
      <c r="X163" s="685"/>
      <c r="Y163" s="685"/>
      <c r="Z163" s="685"/>
      <c r="AA163" s="685"/>
      <c r="AB163" s="689"/>
      <c r="AC163" s="139">
        <v>0</v>
      </c>
    </row>
    <row r="164" spans="1:29" ht="15" hidden="1" customHeight="1" outlineLevel="1">
      <c r="A164" s="684"/>
      <c r="B164" s="597"/>
      <c r="C164" s="597" t="str">
        <f>LEFT($G$3,1) &amp; "S" &amp; D164</f>
        <v>MS_InstructionDays</v>
      </c>
      <c r="D164" s="79" t="s">
        <v>602</v>
      </c>
      <c r="E164" s="79"/>
      <c r="F164" s="79"/>
      <c r="G164" s="706"/>
      <c r="H164" s="140"/>
      <c r="I164" s="707">
        <f t="shared" ref="I164:O164" ca="1" si="122">INDEX(INDIRECT($B$166 &amp; $B$167), MATCH($C164, INDIRECT($B$166 &amp; $B$168),0), MATCH(I$4, INDIRECT($B$166 &amp; $B$169), 0))</f>
        <v>170</v>
      </c>
      <c r="J164" s="707">
        <f t="shared" ca="1" si="122"/>
        <v>170</v>
      </c>
      <c r="K164" s="707">
        <f t="shared" ca="1" si="122"/>
        <v>170</v>
      </c>
      <c r="L164" s="707">
        <f t="shared" ca="1" si="122"/>
        <v>170</v>
      </c>
      <c r="M164" s="707">
        <f t="shared" ca="1" si="122"/>
        <v>170</v>
      </c>
      <c r="N164" s="707">
        <f t="shared" ca="1" si="122"/>
        <v>170</v>
      </c>
      <c r="O164" s="707">
        <f t="shared" ca="1" si="122"/>
        <v>170</v>
      </c>
      <c r="P164" s="598"/>
      <c r="Q164" s="598"/>
      <c r="R164" s="598"/>
      <c r="S164" s="598"/>
      <c r="T164" s="598"/>
      <c r="U164" s="688"/>
      <c r="V164" s="685"/>
      <c r="W164" s="685"/>
      <c r="X164" s="685"/>
      <c r="Y164" s="685"/>
      <c r="Z164" s="685"/>
      <c r="AA164" s="685"/>
      <c r="AB164" s="689"/>
      <c r="AC164" s="139">
        <v>0</v>
      </c>
    </row>
    <row r="165" spans="1:29" ht="15.95" hidden="1" customHeight="1" outlineLevel="1" thickBot="1">
      <c r="A165" s="684"/>
      <c r="B165" s="79"/>
      <c r="C165" s="597" t="str">
        <f>LEFT($G$3,1) &amp; "S" &amp; D165</f>
        <v>MS_InstructionDays</v>
      </c>
      <c r="D165" s="79" t="s">
        <v>602</v>
      </c>
      <c r="E165" s="79" t="s">
        <v>197</v>
      </c>
      <c r="F165" s="79"/>
      <c r="G165" s="708"/>
      <c r="H165" s="683"/>
      <c r="I165" s="709">
        <f ca="1">INDEX(INDIRECT($B$166 &amp; $B$167), MATCH($C165, INDIRECT($B$166 &amp; $B$168),0), MATCH($E$165, INDIRECT($B$166 &amp; $B$169), 0))</f>
        <v>170</v>
      </c>
      <c r="J165" s="709">
        <f t="shared" ref="J165:O165" ca="1" si="123">INDEX(INDIRECT($B$166 &amp; $B$167), MATCH($C165, INDIRECT($B$166 &amp; $B$168),0), MATCH($E$165, INDIRECT($B$166 &amp; $B$169), 0))</f>
        <v>170</v>
      </c>
      <c r="K165" s="709">
        <f t="shared" ca="1" si="123"/>
        <v>170</v>
      </c>
      <c r="L165" s="709">
        <f t="shared" ca="1" si="123"/>
        <v>170</v>
      </c>
      <c r="M165" s="709">
        <f t="shared" ca="1" si="123"/>
        <v>170</v>
      </c>
      <c r="N165" s="709">
        <f t="shared" ca="1" si="123"/>
        <v>170</v>
      </c>
      <c r="O165" s="709">
        <f t="shared" ca="1" si="123"/>
        <v>170</v>
      </c>
      <c r="P165" s="710"/>
      <c r="Q165" s="598"/>
      <c r="R165" s="598"/>
      <c r="S165" s="598"/>
      <c r="T165" s="598"/>
      <c r="U165" s="728"/>
      <c r="V165" s="729"/>
      <c r="W165" s="729"/>
      <c r="X165" s="729"/>
      <c r="Y165" s="729"/>
      <c r="Z165" s="729"/>
      <c r="AA165" s="729"/>
      <c r="AB165" s="689"/>
      <c r="AC165" s="139">
        <v>0</v>
      </c>
    </row>
    <row r="166" spans="1:29" ht="15.75" collapsed="1" thickBot="1">
      <c r="A166" s="684"/>
      <c r="B166" s="79" t="s">
        <v>398</v>
      </c>
      <c r="C166" s="597"/>
      <c r="D166" s="79"/>
      <c r="E166" s="79"/>
      <c r="F166" s="292"/>
      <c r="G166" s="680" t="s">
        <v>603</v>
      </c>
      <c r="H166" s="619"/>
      <c r="I166" s="682">
        <f ca="1">I164-I165</f>
        <v>0</v>
      </c>
      <c r="J166" s="681">
        <f t="shared" ref="J166:O166" ca="1" si="124">J164-J165</f>
        <v>0</v>
      </c>
      <c r="K166" s="681">
        <f t="shared" ca="1" si="124"/>
        <v>0</v>
      </c>
      <c r="L166" s="681">
        <f t="shared" ca="1" si="124"/>
        <v>0</v>
      </c>
      <c r="M166" s="681">
        <f t="shared" ca="1" si="124"/>
        <v>0</v>
      </c>
      <c r="N166" s="681">
        <f t="shared" ca="1" si="124"/>
        <v>0</v>
      </c>
      <c r="O166" s="351">
        <f t="shared" ca="1" si="124"/>
        <v>0</v>
      </c>
      <c r="P166" s="68"/>
      <c r="Q166" s="711"/>
      <c r="R166" s="712"/>
      <c r="S166" s="712"/>
      <c r="T166" s="727"/>
      <c r="U166" s="731">
        <f t="shared" ref="U166:AA166" ca="1" si="125">I$166*$P$162 * $H$2</f>
        <v>0</v>
      </c>
      <c r="V166" s="732">
        <f t="shared" ca="1" si="125"/>
        <v>0</v>
      </c>
      <c r="W166" s="732">
        <f t="shared" ca="1" si="125"/>
        <v>0</v>
      </c>
      <c r="X166" s="732">
        <f t="shared" ca="1" si="125"/>
        <v>0</v>
      </c>
      <c r="Y166" s="732">
        <f t="shared" ca="1" si="125"/>
        <v>0</v>
      </c>
      <c r="Z166" s="732">
        <f t="shared" ca="1" si="125"/>
        <v>0</v>
      </c>
      <c r="AA166" s="733">
        <f t="shared" ca="1" si="125"/>
        <v>0</v>
      </c>
      <c r="AB166" s="689"/>
      <c r="AC166" s="139">
        <v>1</v>
      </c>
    </row>
    <row r="167" spans="1:29" ht="15.95" hidden="1" customHeight="1" outlineLevel="1" thickBot="1">
      <c r="A167" s="684"/>
      <c r="B167" s="79" t="s">
        <v>423</v>
      </c>
      <c r="C167" s="597"/>
      <c r="D167" s="79"/>
      <c r="E167" s="79"/>
      <c r="F167" s="79"/>
      <c r="G167" s="85"/>
      <c r="H167" s="687"/>
      <c r="I167" s="713"/>
      <c r="J167" s="713"/>
      <c r="K167" s="713"/>
      <c r="L167" s="713"/>
      <c r="M167" s="713"/>
      <c r="N167" s="713"/>
      <c r="O167" s="713"/>
      <c r="P167" s="713"/>
      <c r="Q167" s="712"/>
      <c r="R167" s="712"/>
      <c r="S167" s="712"/>
      <c r="T167" s="712"/>
      <c r="U167" s="730"/>
      <c r="V167" s="730"/>
      <c r="W167" s="730"/>
      <c r="X167" s="730"/>
      <c r="Y167" s="730"/>
      <c r="Z167" s="730"/>
      <c r="AA167" s="730"/>
      <c r="AB167" s="689"/>
      <c r="AC167" s="139">
        <v>0</v>
      </c>
    </row>
    <row r="168" spans="1:29" ht="15.75" collapsed="1" thickBot="1">
      <c r="A168" s="684" t="s">
        <v>604</v>
      </c>
      <c r="B168" s="597" t="s">
        <v>424</v>
      </c>
      <c r="C168" s="597"/>
      <c r="D168" s="597"/>
      <c r="E168" s="597"/>
      <c r="F168" s="734"/>
      <c r="G168" s="736" t="s">
        <v>604</v>
      </c>
      <c r="H168" s="608"/>
      <c r="I168" s="608"/>
      <c r="J168" s="608"/>
      <c r="K168" s="608"/>
      <c r="L168" s="608"/>
      <c r="M168" s="608"/>
      <c r="N168" s="608"/>
      <c r="O168" s="608"/>
      <c r="P168" s="608"/>
      <c r="Q168" s="712"/>
      <c r="R168" s="712"/>
      <c r="S168" s="712"/>
      <c r="T168" s="712"/>
      <c r="U168" s="764">
        <f t="shared" ref="U168:AA168" ca="1" si="126">SUMIFS(U$23:U$167, $AC$23:$AC$167, 1)</f>
        <v>8763762.2892834526</v>
      </c>
      <c r="V168" s="765">
        <f t="shared" ca="1" si="126"/>
        <v>9219908.4480558019</v>
      </c>
      <c r="W168" s="765">
        <f t="shared" ca="1" si="126"/>
        <v>9447248.2057665456</v>
      </c>
      <c r="X168" s="765">
        <f t="shared" ca="1" si="126"/>
        <v>10601305.133185223</v>
      </c>
      <c r="Y168" s="765">
        <f t="shared" ca="1" si="126"/>
        <v>10917479.233710812</v>
      </c>
      <c r="Z168" s="765">
        <f t="shared" ca="1" si="126"/>
        <v>10352326.887087731</v>
      </c>
      <c r="AA168" s="766">
        <f t="shared" ca="1" si="126"/>
        <v>10624525.80797315</v>
      </c>
      <c r="AB168" s="689"/>
      <c r="AC168" s="139"/>
    </row>
    <row r="169" spans="1:29" ht="15.75" thickBot="1">
      <c r="A169" s="684" t="s">
        <v>134</v>
      </c>
      <c r="B169" s="597" t="s">
        <v>425</v>
      </c>
      <c r="C169" s="597"/>
      <c r="D169" s="597"/>
      <c r="E169" s="597"/>
      <c r="F169" s="734"/>
      <c r="G169" s="737" t="s">
        <v>134</v>
      </c>
      <c r="H169" s="608"/>
      <c r="I169" s="608"/>
      <c r="J169" s="608"/>
      <c r="K169" s="608"/>
      <c r="L169" s="608"/>
      <c r="M169" s="608"/>
      <c r="N169" s="608"/>
      <c r="O169" s="608"/>
      <c r="P169" s="608"/>
      <c r="Q169" s="712"/>
      <c r="R169" s="712"/>
      <c r="S169" s="712"/>
      <c r="T169" s="712"/>
      <c r="U169" s="767">
        <f ca="1">U168/$H$2</f>
        <v>17527.524578566907</v>
      </c>
      <c r="V169" s="768">
        <f t="shared" ref="V169:AA169" ca="1" si="127">V168/$H$2</f>
        <v>18439.816896111603</v>
      </c>
      <c r="W169" s="768">
        <f t="shared" ca="1" si="127"/>
        <v>18894.496411533091</v>
      </c>
      <c r="X169" s="768">
        <f t="shared" ca="1" si="127"/>
        <v>21202.610266370444</v>
      </c>
      <c r="Y169" s="768">
        <f t="shared" ca="1" si="127"/>
        <v>21834.958467421624</v>
      </c>
      <c r="Z169" s="768">
        <f t="shared" ca="1" si="127"/>
        <v>20704.653774175462</v>
      </c>
      <c r="AA169" s="769">
        <f t="shared" ca="1" si="127"/>
        <v>21249.0516159463</v>
      </c>
      <c r="AB169" s="689"/>
      <c r="AC169" s="139"/>
    </row>
    <row r="170" spans="1:29" ht="15.95" hidden="1" customHeight="1" outlineLevel="1" thickBot="1">
      <c r="A170" s="716"/>
      <c r="B170" s="716"/>
      <c r="C170" s="716"/>
      <c r="D170" s="716"/>
      <c r="E170" s="716"/>
      <c r="F170" s="716"/>
      <c r="G170" s="735"/>
      <c r="H170" s="717"/>
      <c r="I170" s="717"/>
      <c r="J170" s="717"/>
      <c r="K170" s="717"/>
      <c r="L170" s="717"/>
      <c r="M170" s="717"/>
      <c r="N170" s="717"/>
      <c r="O170" s="717"/>
      <c r="P170" s="717"/>
      <c r="Q170" s="716"/>
      <c r="R170" s="716"/>
      <c r="S170" s="716"/>
      <c r="T170" s="740" t="s">
        <v>561</v>
      </c>
      <c r="U170" s="745">
        <f ca="1">INDEX(INDIRECT($S$146 &amp; $S$147), MATCH($T170, INDIRECT($S$146 &amp; $S$148),0), MATCH(U$4, INDIRECT($S$146 &amp; $S$149),0))</f>
        <v>0</v>
      </c>
      <c r="V170" s="247">
        <f t="shared" ref="V170:AA170" ca="1" si="128">INDEX(INDIRECT($S$146 &amp; $S$147), MATCH($T170, INDIRECT($S$146 &amp; $S$148),0), MATCH(V$4, INDIRECT($S$146 &amp; $S$149),0))</f>
        <v>3.4443168771526977E-2</v>
      </c>
      <c r="W170" s="247">
        <f t="shared" ca="1" si="128"/>
        <v>0</v>
      </c>
      <c r="X170" s="247">
        <f t="shared" ca="1" si="128"/>
        <v>-1.2208657047724669E-2</v>
      </c>
      <c r="Y170" s="247">
        <f t="shared" ca="1" si="128"/>
        <v>0</v>
      </c>
      <c r="Z170" s="247">
        <f t="shared" ca="1" si="128"/>
        <v>0</v>
      </c>
      <c r="AA170" s="248">
        <f t="shared" ca="1" si="128"/>
        <v>0</v>
      </c>
      <c r="AB170" s="747"/>
      <c r="AC170" s="139"/>
    </row>
    <row r="171" spans="1:29" collapsed="1">
      <c r="A171" s="716"/>
      <c r="B171" s="714"/>
      <c r="C171" s="724" t="s">
        <v>346</v>
      </c>
      <c r="D171" s="715"/>
      <c r="E171" s="715"/>
      <c r="F171" s="714"/>
      <c r="G171" s="1218" t="s">
        <v>605</v>
      </c>
      <c r="H171" s="679" t="s">
        <v>606</v>
      </c>
      <c r="I171" s="259">
        <f t="shared" ref="I171:O175" ca="1" si="129">INDEX(INDIRECT($B$166 &amp; $B$167), MATCH($C171, INDIRECT($B$166 &amp; $B$168),0), MATCH(I$4, INDIRECT($B$166 &amp; $B$169),0))</f>
        <v>561.69148625945911</v>
      </c>
      <c r="J171" s="260">
        <f t="shared" ca="1" si="129"/>
        <v>582.07254444724811</v>
      </c>
      <c r="K171" s="260">
        <f t="shared" ca="1" si="129"/>
        <v>582.07254444724811</v>
      </c>
      <c r="L171" s="260">
        <f t="shared" ca="1" si="129"/>
        <v>582.07254444724811</v>
      </c>
      <c r="M171" s="260">
        <f t="shared" ca="1" si="129"/>
        <v>582.07254444724811</v>
      </c>
      <c r="N171" s="260">
        <f t="shared" ca="1" si="129"/>
        <v>582.07254444724811</v>
      </c>
      <c r="O171" s="261">
        <f t="shared" ca="1" si="129"/>
        <v>582.07254444724811</v>
      </c>
      <c r="P171" s="608"/>
      <c r="Q171" s="724" t="s">
        <v>346</v>
      </c>
      <c r="R171" s="739">
        <f ca="1">INDEX(INDIRECT($S$171 &amp; $S$172), MATCH($Q171, INDIRECT($S$171 &amp; $S$173),0), MATCH($R$139, INDIRECT($S$171 &amp; $S$174),0))</f>
        <v>0.48168145861323125</v>
      </c>
      <c r="S171" s="587" t="s">
        <v>551</v>
      </c>
      <c r="T171" s="748" t="s">
        <v>554</v>
      </c>
      <c r="U171" s="548">
        <f t="shared" ref="U171:AA175" ca="1" si="130">I171*$H$2*(1+VLOOKUP($T171,$T$137:$AA$139,MATCH(U$4,$T$4:$AA$4,0),0))*(1+U$141*$R171)</f>
        <v>295161.23290640285</v>
      </c>
      <c r="V171" s="27">
        <f t="shared" ca="1" si="130"/>
        <v>326795.57283341477</v>
      </c>
      <c r="W171" s="27">
        <f t="shared" ca="1" si="130"/>
        <v>337848.13801135618</v>
      </c>
      <c r="X171" s="27">
        <f t="shared" ca="1" si="130"/>
        <v>352981.14896491991</v>
      </c>
      <c r="Y171" s="27">
        <f t="shared" ca="1" si="130"/>
        <v>373168.06466635293</v>
      </c>
      <c r="Z171" s="27">
        <f t="shared" ca="1" si="130"/>
        <v>392189.48032029957</v>
      </c>
      <c r="AA171" s="386">
        <f t="shared" ca="1" si="130"/>
        <v>412180.47051113407</v>
      </c>
      <c r="AB171" s="746"/>
      <c r="AC171" s="139"/>
    </row>
    <row r="172" spans="1:29">
      <c r="A172" s="716"/>
      <c r="B172" s="714"/>
      <c r="C172" s="724" t="s">
        <v>348</v>
      </c>
      <c r="D172" s="715"/>
      <c r="E172" s="715"/>
      <c r="F172" s="714"/>
      <c r="G172" s="1219"/>
      <c r="H172" s="677" t="s">
        <v>607</v>
      </c>
      <c r="I172" s="67">
        <f t="shared" ca="1" si="129"/>
        <v>269.59081319019515</v>
      </c>
      <c r="J172" s="23">
        <f t="shared" ca="1" si="129"/>
        <v>272.47233708458509</v>
      </c>
      <c r="K172" s="23">
        <f t="shared" ca="1" si="129"/>
        <v>272.47233708458509</v>
      </c>
      <c r="L172" s="23">
        <f t="shared" ca="1" si="129"/>
        <v>272.47233708458509</v>
      </c>
      <c r="M172" s="23">
        <f t="shared" ca="1" si="129"/>
        <v>272.47233708458509</v>
      </c>
      <c r="N172" s="23">
        <f t="shared" ca="1" si="129"/>
        <v>272.47233708458509</v>
      </c>
      <c r="O172" s="24">
        <f t="shared" ca="1" si="129"/>
        <v>272.47233708458509</v>
      </c>
      <c r="P172" s="609"/>
      <c r="Q172" s="724" t="s">
        <v>608</v>
      </c>
      <c r="R172" s="739">
        <f ca="1">INDEX(INDIRECT($S$171 &amp; $S$172), MATCH($Q172, INDIRECT($S$171 &amp; $S$173),0), MATCH($R$139, INDIRECT($S$171 &amp; $S$174),0))</f>
        <v>0.38816766217148979</v>
      </c>
      <c r="S172" s="587" t="s">
        <v>553</v>
      </c>
      <c r="T172" s="748" t="s">
        <v>433</v>
      </c>
      <c r="U172" s="548">
        <f t="shared" ca="1" si="130"/>
        <v>134795.40659509756</v>
      </c>
      <c r="V172" s="27">
        <f t="shared" ca="1" si="130"/>
        <v>143067.04918615165</v>
      </c>
      <c r="W172" s="27">
        <f t="shared" ca="1" si="130"/>
        <v>143978.04273575911</v>
      </c>
      <c r="X172" s="27">
        <f t="shared" ca="1" si="130"/>
        <v>146403.17664957937</v>
      </c>
      <c r="Y172" s="27">
        <f t="shared" ca="1" si="130"/>
        <v>150380.47674730376</v>
      </c>
      <c r="Z172" s="27">
        <f t="shared" ca="1" si="130"/>
        <v>153810.82219381607</v>
      </c>
      <c r="AA172" s="386">
        <f t="shared" ca="1" si="130"/>
        <v>157366.52727980097</v>
      </c>
      <c r="AB172" s="746"/>
      <c r="AC172" s="139"/>
    </row>
    <row r="173" spans="1:29">
      <c r="A173" s="716"/>
      <c r="B173" s="714"/>
      <c r="C173" s="724" t="s">
        <v>350</v>
      </c>
      <c r="D173" s="715"/>
      <c r="E173" s="715"/>
      <c r="F173" s="714"/>
      <c r="G173" s="1219"/>
      <c r="H173" s="677" t="s">
        <v>609</v>
      </c>
      <c r="I173" s="67">
        <f t="shared" ca="1" si="129"/>
        <v>92.31574193489989</v>
      </c>
      <c r="J173" s="23">
        <f t="shared" ca="1" si="129"/>
        <v>95.665432208031433</v>
      </c>
      <c r="K173" s="23">
        <f t="shared" ca="1" si="129"/>
        <v>95.665432208031433</v>
      </c>
      <c r="L173" s="23">
        <f t="shared" ca="1" si="129"/>
        <v>95.665432208031433</v>
      </c>
      <c r="M173" s="23">
        <f t="shared" ca="1" si="129"/>
        <v>95.665432208031433</v>
      </c>
      <c r="N173" s="23">
        <f t="shared" ca="1" si="129"/>
        <v>95.665432208031433</v>
      </c>
      <c r="O173" s="24">
        <f t="shared" ca="1" si="129"/>
        <v>95.665432208031433</v>
      </c>
      <c r="P173" s="609"/>
      <c r="Q173" s="724" t="s">
        <v>610</v>
      </c>
      <c r="R173" s="739">
        <f ca="1">INDEX(INDIRECT($S$171 &amp; $S$172), MATCH($Q173, INDIRECT($S$171 &amp; $S$173),0), MATCH($R$139, INDIRECT($S$171 &amp; $S$174),0))</f>
        <v>0.32189984698010743</v>
      </c>
      <c r="S173" s="587" t="s">
        <v>555</v>
      </c>
      <c r="T173" s="748" t="s">
        <v>433</v>
      </c>
      <c r="U173" s="548">
        <f t="shared" ca="1" si="130"/>
        <v>46157.870967449948</v>
      </c>
      <c r="V173" s="27">
        <f t="shared" ca="1" si="130"/>
        <v>50117.909782955299</v>
      </c>
      <c r="W173" s="27">
        <f t="shared" ca="1" si="130"/>
        <v>50550.899346919614</v>
      </c>
      <c r="X173" s="27">
        <f t="shared" ca="1" si="130"/>
        <v>51444.152018560249</v>
      </c>
      <c r="Y173" s="27">
        <f t="shared" ca="1" si="130"/>
        <v>52798.803201862815</v>
      </c>
      <c r="Z173" s="27">
        <f t="shared" ca="1" si="130"/>
        <v>54003.202456755171</v>
      </c>
      <c r="AA173" s="386">
        <f t="shared" ca="1" si="130"/>
        <v>55251.615662641248</v>
      </c>
      <c r="AB173" s="746"/>
      <c r="AC173" s="139"/>
    </row>
    <row r="174" spans="1:29">
      <c r="A174" s="716"/>
      <c r="B174" s="714"/>
      <c r="C174" s="724" t="s">
        <v>352</v>
      </c>
      <c r="D174" s="715"/>
      <c r="E174" s="715"/>
      <c r="F174" s="714"/>
      <c r="G174" s="1219"/>
      <c r="H174" s="677" t="s">
        <v>611</v>
      </c>
      <c r="I174" s="67">
        <f t="shared" ca="1" si="129"/>
        <v>71.20107681306348</v>
      </c>
      <c r="J174" s="23">
        <f t="shared" ca="1" si="129"/>
        <v>71.20107681306348</v>
      </c>
      <c r="K174" s="23">
        <f t="shared" ca="1" si="129"/>
        <v>71.20107681306348</v>
      </c>
      <c r="L174" s="23">
        <f t="shared" ca="1" si="129"/>
        <v>71.20107681306348</v>
      </c>
      <c r="M174" s="23">
        <f t="shared" ca="1" si="129"/>
        <v>71.20107681306348</v>
      </c>
      <c r="N174" s="23">
        <f t="shared" ca="1" si="129"/>
        <v>71.20107681306348</v>
      </c>
      <c r="O174" s="24">
        <f t="shared" ca="1" si="129"/>
        <v>71.20107681306348</v>
      </c>
      <c r="P174" s="609"/>
      <c r="Q174" s="724" t="s">
        <v>612</v>
      </c>
      <c r="R174" s="739">
        <f ca="1">INDEX(INDIRECT($S$171 &amp; $S$172), MATCH($Q174, INDIRECT($S$171 &amp; $S$173),0), MATCH($R$139, INDIRECT($S$171 &amp; $S$174),0))</f>
        <v>0.33230012846919521</v>
      </c>
      <c r="S174" s="587" t="s">
        <v>560</v>
      </c>
      <c r="T174" s="748" t="s">
        <v>433</v>
      </c>
      <c r="U174" s="548">
        <f t="shared" ca="1" si="130"/>
        <v>35600.538406531741</v>
      </c>
      <c r="V174" s="27">
        <f t="shared" ca="1" si="130"/>
        <v>37314.558974520776</v>
      </c>
      <c r="W174" s="27">
        <f t="shared" ca="1" si="130"/>
        <v>37623.605353525942</v>
      </c>
      <c r="X174" s="27">
        <f t="shared" ca="1" si="130"/>
        <v>38283.547269619521</v>
      </c>
      <c r="Y174" s="27">
        <f t="shared" ca="1" si="130"/>
        <v>39296.656646454248</v>
      </c>
      <c r="Z174" s="27">
        <f t="shared" ca="1" si="130"/>
        <v>40193.056964541007</v>
      </c>
      <c r="AA174" s="386">
        <f t="shared" ca="1" si="130"/>
        <v>41122.215622115917</v>
      </c>
      <c r="AB174" s="746"/>
      <c r="AC174" s="139"/>
    </row>
    <row r="175" spans="1:29" ht="15.75" thickBot="1">
      <c r="A175" s="716"/>
      <c r="B175" s="714"/>
      <c r="C175" s="724" t="s">
        <v>354</v>
      </c>
      <c r="D175" s="715"/>
      <c r="E175" s="715"/>
      <c r="F175" s="714"/>
      <c r="G175" s="1220"/>
      <c r="H175" s="678" t="s">
        <v>613</v>
      </c>
      <c r="I175" s="252">
        <f t="shared" ca="1" si="129"/>
        <v>144.06795322060901</v>
      </c>
      <c r="J175" s="65">
        <f t="shared" ca="1" si="129"/>
        <v>138.75302258360577</v>
      </c>
      <c r="K175" s="65">
        <f t="shared" ca="1" si="129"/>
        <v>138.75302258360577</v>
      </c>
      <c r="L175" s="65">
        <f t="shared" ca="1" si="129"/>
        <v>138.75302258360577</v>
      </c>
      <c r="M175" s="65">
        <f t="shared" ca="1" si="129"/>
        <v>138.75302258360577</v>
      </c>
      <c r="N175" s="65">
        <f t="shared" ca="1" si="129"/>
        <v>138.75302258360577</v>
      </c>
      <c r="O175" s="68">
        <f t="shared" ca="1" si="129"/>
        <v>138.75302258360577</v>
      </c>
      <c r="P175" s="610"/>
      <c r="Q175" s="724" t="s">
        <v>354</v>
      </c>
      <c r="R175" s="739">
        <f ca="1">INDEX(INDIRECT($S$171 &amp; $S$172), MATCH($Q175, INDIRECT($S$171 &amp; $S$173),0), MATCH($R$139, INDIRECT($S$171 &amp; $S$174),0))</f>
        <v>0.4172258505928908</v>
      </c>
      <c r="S175" s="587"/>
      <c r="T175" s="748" t="s">
        <v>433</v>
      </c>
      <c r="U175" s="549">
        <f t="shared" ca="1" si="130"/>
        <v>72033.976610304511</v>
      </c>
      <c r="V175" s="387">
        <f t="shared" ca="1" si="130"/>
        <v>72927.004532393286</v>
      </c>
      <c r="W175" s="387">
        <f t="shared" ca="1" si="130"/>
        <v>73318.960849432755</v>
      </c>
      <c r="X175" s="387">
        <f t="shared" ca="1" si="130"/>
        <v>74527.35421058767</v>
      </c>
      <c r="Y175" s="387">
        <f t="shared" ca="1" si="130"/>
        <v>76579.317774099662</v>
      </c>
      <c r="Z175" s="387">
        <f t="shared" ca="1" si="130"/>
        <v>78326.176938968696</v>
      </c>
      <c r="AA175" s="388">
        <f t="shared" ca="1" si="130"/>
        <v>80136.873883015331</v>
      </c>
      <c r="AB175" s="746"/>
      <c r="AC175" s="139"/>
    </row>
    <row r="176" spans="1:29" ht="15.95" hidden="1" customHeight="1" outlineLevel="1" thickBot="1">
      <c r="A176" s="716"/>
      <c r="B176" s="714"/>
      <c r="C176" s="724"/>
      <c r="D176" s="715"/>
      <c r="E176" s="715"/>
      <c r="F176" s="715"/>
      <c r="G176" s="735"/>
      <c r="H176" s="718"/>
      <c r="I176" s="718"/>
      <c r="J176" s="718"/>
      <c r="K176" s="718"/>
      <c r="L176" s="718"/>
      <c r="M176" s="718"/>
      <c r="N176" s="718"/>
      <c r="O176" s="718"/>
      <c r="P176" s="718"/>
      <c r="Q176" s="716"/>
      <c r="R176" s="716"/>
      <c r="S176" s="716"/>
      <c r="T176" s="716"/>
      <c r="U176" s="735"/>
      <c r="V176" s="735"/>
      <c r="W176" s="735"/>
      <c r="X176" s="735"/>
      <c r="Y176" s="735"/>
      <c r="Z176" s="735"/>
      <c r="AA176" s="735"/>
      <c r="AB176" s="716"/>
      <c r="AC176" s="139"/>
    </row>
    <row r="177" spans="1:29" ht="15.75" collapsed="1" thickBot="1">
      <c r="A177" s="776" t="s">
        <v>614</v>
      </c>
      <c r="B177" s="714"/>
      <c r="C177" s="724"/>
      <c r="D177" s="715"/>
      <c r="E177" s="715"/>
      <c r="F177" s="714"/>
      <c r="G177" s="738" t="s">
        <v>614</v>
      </c>
      <c r="H177" s="608"/>
      <c r="I177" s="608"/>
      <c r="J177" s="608"/>
      <c r="K177" s="608"/>
      <c r="L177" s="608"/>
      <c r="M177" s="608"/>
      <c r="N177" s="608"/>
      <c r="O177" s="608"/>
      <c r="P177" s="608"/>
      <c r="Q177" s="716"/>
      <c r="R177" s="716"/>
      <c r="S177" s="716"/>
      <c r="T177" s="716"/>
      <c r="U177" s="764">
        <f ca="1">U168+SUM(U171:U175)</f>
        <v>9347511.3147692382</v>
      </c>
      <c r="V177" s="765">
        <f t="shared" ref="V177:AA177" ca="1" si="131">V168+SUM(V171:V175)</f>
        <v>9850130.5433652382</v>
      </c>
      <c r="W177" s="765">
        <f t="shared" ca="1" si="131"/>
        <v>10090567.852063539</v>
      </c>
      <c r="X177" s="765">
        <f t="shared" ca="1" si="131"/>
        <v>11264944.512298489</v>
      </c>
      <c r="Y177" s="765">
        <f t="shared" ca="1" si="131"/>
        <v>11609702.552746886</v>
      </c>
      <c r="Z177" s="765">
        <f t="shared" ca="1" si="131"/>
        <v>11070849.625962112</v>
      </c>
      <c r="AA177" s="766">
        <f t="shared" ca="1" si="131"/>
        <v>11370583.510931857</v>
      </c>
      <c r="AB177" s="716"/>
      <c r="AC177" s="139"/>
    </row>
    <row r="178" spans="1:29" ht="15.75" thickBot="1">
      <c r="A178" s="776" t="s">
        <v>615</v>
      </c>
      <c r="B178" s="714"/>
      <c r="C178" s="724"/>
      <c r="D178" s="715"/>
      <c r="E178" s="715"/>
      <c r="F178" s="714"/>
      <c r="G178" s="472" t="s">
        <v>615</v>
      </c>
      <c r="H178" s="608"/>
      <c r="I178" s="608"/>
      <c r="J178" s="608"/>
      <c r="K178" s="608"/>
      <c r="L178" s="608"/>
      <c r="M178" s="608"/>
      <c r="N178" s="608"/>
      <c r="O178" s="608"/>
      <c r="P178" s="608"/>
      <c r="Q178" s="716"/>
      <c r="R178" s="716"/>
      <c r="S178" s="716"/>
      <c r="T178" s="716"/>
      <c r="U178" s="767">
        <f ca="1">U177/$H$2</f>
        <v>18695.022629538478</v>
      </c>
      <c r="V178" s="768">
        <f t="shared" ref="V178:AA178" ca="1" si="132">V177/$H$2</f>
        <v>19700.261086730476</v>
      </c>
      <c r="W178" s="768">
        <f t="shared" ca="1" si="132"/>
        <v>20181.135704127078</v>
      </c>
      <c r="X178" s="768">
        <f t="shared" ca="1" si="132"/>
        <v>22529.889024596978</v>
      </c>
      <c r="Y178" s="768">
        <f t="shared" ca="1" si="132"/>
        <v>23219.405105493774</v>
      </c>
      <c r="Z178" s="768">
        <f t="shared" ca="1" si="132"/>
        <v>22141.699251924223</v>
      </c>
      <c r="AA178" s="769">
        <f t="shared" ca="1" si="132"/>
        <v>22741.167021863715</v>
      </c>
      <c r="AB178" s="716"/>
      <c r="AC178" s="139"/>
    </row>
    <row r="179" spans="1:29">
      <c r="A179" t="s">
        <v>616</v>
      </c>
      <c r="U179" s="4"/>
      <c r="V179" s="4"/>
      <c r="W179" s="4"/>
      <c r="X179" s="4"/>
      <c r="Y179" s="4"/>
      <c r="Z179" s="4"/>
      <c r="AA179" s="4"/>
    </row>
    <row r="180" spans="1:29">
      <c r="H180" s="725"/>
    </row>
    <row r="181" spans="1:29">
      <c r="H181" s="726"/>
    </row>
    <row r="182" spans="1:29">
      <c r="H182" s="726"/>
      <c r="U182" s="4"/>
      <c r="V182" s="4"/>
      <c r="W182" s="4"/>
      <c r="X182" s="4"/>
      <c r="Y182" s="4"/>
    </row>
    <row r="183" spans="1:29">
      <c r="H183" s="726"/>
    </row>
    <row r="184" spans="1:29">
      <c r="H184" s="726"/>
      <c r="U184" s="4"/>
      <c r="V184" s="4"/>
      <c r="W184" s="4"/>
      <c r="X184" s="4"/>
      <c r="Y184" s="4"/>
    </row>
    <row r="185" spans="1:29">
      <c r="H185" s="726"/>
    </row>
    <row r="186" spans="1:29">
      <c r="H186" s="726"/>
    </row>
    <row r="187" spans="1:29">
      <c r="H187" s="726"/>
    </row>
    <row r="188" spans="1:29">
      <c r="H188" s="726"/>
    </row>
    <row r="189" spans="1:29">
      <c r="H189" s="726"/>
    </row>
  </sheetData>
  <sheetProtection algorithmName="SHA-512" hashValue="BSp1g8+MZdvrwSko6CsQeMuV5CGWtjD7dlgqaYu+OeCEWbETJB7nwX/6MeDg2lwTY4pHlmtC3ONUGes9vAkdBA==" saltValue="3aDYEphSdd3ChA5+4K683g==" spinCount="100000" sheet="1" objects="1" scenarios="1" formatColumns="0" formatRows="0"/>
  <conditionalFormatting sqref="H159 H162">
    <cfRule type="cellIs" dxfId="47" priority="11" operator="equal">
      <formula>0</formula>
    </cfRule>
  </conditionalFormatting>
  <conditionalFormatting sqref="H168:P169">
    <cfRule type="cellIs" dxfId="46" priority="16" operator="equal">
      <formula>0</formula>
    </cfRule>
    <cfRule type="cellIs" dxfId="45" priority="17" operator="equal">
      <formula>0</formula>
    </cfRule>
  </conditionalFormatting>
  <conditionalFormatting sqref="H177:P178">
    <cfRule type="cellIs" dxfId="44" priority="18" operator="equal">
      <formula>0</formula>
    </cfRule>
    <cfRule type="cellIs" dxfId="43" priority="19" operator="equal">
      <formula>0</formula>
    </cfRule>
  </conditionalFormatting>
  <conditionalFormatting sqref="I164:O165">
    <cfRule type="cellIs" dxfId="42" priority="25" operator="equal">
      <formula>0</formula>
    </cfRule>
    <cfRule type="cellIs" dxfId="41" priority="26" operator="equal">
      <formula>0</formula>
    </cfRule>
  </conditionalFormatting>
  <conditionalFormatting sqref="I7:P13">
    <cfRule type="cellIs" dxfId="40" priority="34" operator="equal">
      <formula>0</formula>
    </cfRule>
  </conditionalFormatting>
  <conditionalFormatting sqref="I17:P19">
    <cfRule type="cellIs" dxfId="39" priority="33" operator="equal">
      <formula>0</formula>
    </cfRule>
  </conditionalFormatting>
  <conditionalFormatting sqref="I23:P38 I52:P54 I57:P57 I63:P63 I68:P87 I90:P92 I97:P97 I102:P102 I108:P109 I112:P112 I114:P116 I120:P124 I129:P135 I148:O148">
    <cfRule type="cellIs" dxfId="38" priority="32" operator="equal">
      <formula>0</formula>
    </cfRule>
  </conditionalFormatting>
  <conditionalFormatting sqref="I140:P147">
    <cfRule type="cellIs" dxfId="37" priority="3" operator="equal">
      <formula>0</formula>
    </cfRule>
  </conditionalFormatting>
  <conditionalFormatting sqref="I140:P149">
    <cfRule type="cellIs" dxfId="36" priority="2" operator="equal">
      <formula>0</formula>
    </cfRule>
  </conditionalFormatting>
  <conditionalFormatting sqref="I152:P155">
    <cfRule type="cellIs" dxfId="35" priority="27" operator="equal">
      <formula>0</formula>
    </cfRule>
    <cfRule type="cellIs" dxfId="34" priority="28" operator="equal">
      <formula>0</formula>
    </cfRule>
  </conditionalFormatting>
  <conditionalFormatting sqref="I171:P175">
    <cfRule type="cellIs" dxfId="33" priority="23" operator="equal">
      <formula>0</formula>
    </cfRule>
    <cfRule type="cellIs" dxfId="32" priority="24" operator="equal">
      <formula>0</formula>
    </cfRule>
  </conditionalFormatting>
  <conditionalFormatting sqref="P166">
    <cfRule type="cellIs" dxfId="31" priority="21" operator="equal">
      <formula>0</formula>
    </cfRule>
    <cfRule type="cellIs" dxfId="30" priority="22" operator="equal">
      <formula>0</formula>
    </cfRule>
  </conditionalFormatting>
  <conditionalFormatting sqref="U16:AA19 U23:AA38 U41:AA49 U52:AA54 U57:AA57 U63:AA63 U68:AA87 U90:AA92 U97:AA97 U102:AA102 U108:AA109 U112:AA112 U114:AA116 U120:AA124 U129:AA135">
    <cfRule type="cellIs" dxfId="29" priority="10" operator="equal">
      <formula>0</formula>
    </cfRule>
  </conditionalFormatting>
  <conditionalFormatting sqref="U140:AA140">
    <cfRule type="cellIs" dxfId="28" priority="9" operator="equal">
      <formula>0</formula>
    </cfRule>
  </conditionalFormatting>
  <conditionalFormatting sqref="U142:AA149">
    <cfRule type="cellIs" dxfId="27" priority="1" operator="equal">
      <formula>0</formula>
    </cfRule>
  </conditionalFormatting>
  <conditionalFormatting sqref="U152:AA155">
    <cfRule type="cellIs" dxfId="26" priority="8" operator="equal">
      <formula>0</formula>
    </cfRule>
  </conditionalFormatting>
  <conditionalFormatting sqref="U157:AA162">
    <cfRule type="cellIs" dxfId="25" priority="6" operator="equal">
      <formula>0</formula>
    </cfRule>
  </conditionalFormatting>
  <conditionalFormatting sqref="U171:AA175">
    <cfRule type="cellIs" dxfId="24" priority="7" operator="equal">
      <formula>0</formula>
    </cfRule>
  </conditionalFormatting>
  <dataValidations disablePrompts="1" count="1">
    <dataValidation type="list" allowBlank="1" showInputMessage="1" showErrorMessage="1" sqref="F3" xr:uid="{00000000-0002-0000-0F00-000000000000}">
      <formula1>$B$3:$B$5</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A1:AD189"/>
  <sheetViews>
    <sheetView topLeftCell="A2" zoomScale="98" zoomScaleNormal="98" workbookViewId="0">
      <pane xSplit="8" ySplit="5" topLeftCell="I7" activePane="bottomRight" state="frozen"/>
      <selection pane="topRight"/>
      <selection pane="bottomLeft"/>
      <selection pane="bottomRight"/>
    </sheetView>
  </sheetViews>
  <sheetFormatPr defaultColWidth="12.7109375" defaultRowHeight="15" outlineLevelRow="1" outlineLevelCol="1"/>
  <cols>
    <col min="1" max="1" width="2.7109375" hidden="1" customWidth="1" outlineLevel="1"/>
    <col min="2" max="2" width="30" style="63" hidden="1" customWidth="1" outlineLevel="1"/>
    <col min="3" max="3" width="21.7109375" style="63" hidden="1" customWidth="1" outlineLevel="1"/>
    <col min="4" max="4" width="24.42578125" style="63" hidden="1" customWidth="1" outlineLevel="1"/>
    <col min="5" max="5" width="6.28515625" style="63" hidden="1" customWidth="1" outlineLevel="1"/>
    <col min="6" max="6" width="10.7109375" style="63" hidden="1" customWidth="1" outlineLevel="1"/>
    <col min="7" max="7" width="55" style="62" bestFit="1" customWidth="1" collapsed="1"/>
    <col min="8" max="8" width="70.140625" bestFit="1" customWidth="1"/>
    <col min="9" max="9" width="62.7109375" bestFit="1" customWidth="1"/>
    <col min="10" max="10" width="10.7109375" bestFit="1" customWidth="1"/>
    <col min="11" max="15" width="11.140625" bestFit="1" customWidth="1"/>
    <col min="16" max="16" width="12.42578125" bestFit="1" customWidth="1"/>
    <col min="17" max="17" width="24.42578125" hidden="1" customWidth="1" outlineLevel="1"/>
    <col min="18" max="18" width="9.5703125" hidden="1" customWidth="1" outlineLevel="1"/>
    <col min="19" max="19" width="25.28515625" hidden="1" customWidth="1" outlineLevel="1"/>
    <col min="20" max="20" width="54.85546875" hidden="1" customWidth="1" outlineLevel="1"/>
    <col min="21" max="21" width="13.42578125" bestFit="1" customWidth="1" collapsed="1"/>
    <col min="22" max="22" width="13.42578125" bestFit="1" customWidth="1"/>
    <col min="23" max="23" width="13.85546875" bestFit="1" customWidth="1"/>
    <col min="24" max="24" width="13.42578125" bestFit="1" customWidth="1"/>
    <col min="25" max="27" width="13.85546875" bestFit="1" customWidth="1"/>
    <col min="28" max="28" width="6.140625" hidden="1" customWidth="1" outlineLevel="1"/>
    <col min="29" max="29" width="2.5703125" hidden="1" customWidth="1" outlineLevel="1"/>
    <col min="30" max="30" width="12.7109375" collapsed="1"/>
  </cols>
  <sheetData>
    <row r="1" spans="1:29" ht="15.95" hidden="1" customHeight="1" outlineLevel="1" thickBot="1">
      <c r="A1" s="175"/>
      <c r="B1" s="175"/>
      <c r="C1" s="175"/>
      <c r="D1" s="143"/>
      <c r="E1" s="143"/>
      <c r="F1" s="143"/>
      <c r="G1" s="467"/>
      <c r="H1" s="468"/>
      <c r="I1" s="131"/>
      <c r="J1" s="131"/>
      <c r="K1" s="131"/>
      <c r="L1" s="131"/>
      <c r="M1" s="131"/>
      <c r="N1" s="131"/>
      <c r="O1" s="131"/>
      <c r="P1" s="131"/>
      <c r="Q1" s="481"/>
      <c r="R1" s="481"/>
      <c r="S1" s="131"/>
      <c r="T1" s="131"/>
      <c r="U1" s="131"/>
      <c r="V1" s="131"/>
      <c r="W1" s="131"/>
      <c r="X1" s="131"/>
      <c r="Y1" s="131"/>
      <c r="Z1" s="131"/>
      <c r="AA1" s="131"/>
      <c r="AB1" s="518"/>
      <c r="AC1" s="139"/>
    </row>
    <row r="2" spans="1:29" ht="15.75" collapsed="1" thickBot="1">
      <c r="A2" s="175"/>
      <c r="B2" s="175"/>
      <c r="C2" s="175" t="s">
        <v>356</v>
      </c>
      <c r="D2" s="144"/>
      <c r="E2" s="144"/>
      <c r="F2" s="290"/>
      <c r="G2" s="470" t="s">
        <v>357</v>
      </c>
      <c r="H2" s="469">
        <f>VLOOKUP($F$3, $B$2:$C$5, MATCH("School Size", $B$2:$C$2,0),0)</f>
        <v>1000</v>
      </c>
      <c r="I2" s="466"/>
      <c r="J2" s="465"/>
      <c r="K2" s="465"/>
      <c r="L2" s="310"/>
      <c r="M2" s="310"/>
      <c r="N2" s="310"/>
      <c r="O2" s="310"/>
      <c r="P2" s="310"/>
      <c r="Q2" s="482"/>
      <c r="R2" s="482"/>
      <c r="S2" s="128"/>
      <c r="T2" s="128"/>
      <c r="U2" s="526"/>
      <c r="V2" s="526"/>
      <c r="W2" s="526"/>
      <c r="X2" s="526"/>
      <c r="Y2" s="526"/>
      <c r="Z2" s="526"/>
      <c r="AA2" s="526"/>
      <c r="AB2" s="518"/>
      <c r="AC2" s="139"/>
    </row>
    <row r="3" spans="1:29" ht="15" customHeight="1">
      <c r="A3" s="175"/>
      <c r="B3" s="174" t="s">
        <v>99</v>
      </c>
      <c r="C3" s="181">
        <f>VLOOKUP($B3, '9.ComputerAssumptions'!$A$2:$B$5, MATCH($C$2, '9.ComputerAssumptions'!$A$2:$B$2,0),0)</f>
        <v>360</v>
      </c>
      <c r="D3" s="144"/>
      <c r="E3" s="144"/>
      <c r="F3" s="290" t="s">
        <v>101</v>
      </c>
      <c r="G3" s="471" t="str">
        <f>$F$3 &amp; " School"</f>
        <v>High School</v>
      </c>
      <c r="H3" s="1232" t="s">
        <v>358</v>
      </c>
      <c r="I3" s="1236" t="s">
        <v>359</v>
      </c>
      <c r="J3" s="1236"/>
      <c r="K3" s="1236"/>
      <c r="L3" s="1236"/>
      <c r="M3" s="1236"/>
      <c r="N3" s="1236"/>
      <c r="O3" s="1237"/>
      <c r="P3" s="560"/>
      <c r="Q3" s="483"/>
      <c r="R3" s="483"/>
      <c r="S3" s="129"/>
      <c r="T3" s="525"/>
      <c r="U3" s="1238" t="s">
        <v>360</v>
      </c>
      <c r="V3" s="1239"/>
      <c r="W3" s="1239"/>
      <c r="X3" s="1239"/>
      <c r="Y3" s="1239"/>
      <c r="Z3" s="1239"/>
      <c r="AA3" s="1240"/>
      <c r="AB3" s="518"/>
      <c r="AC3" s="139"/>
    </row>
    <row r="4" spans="1:29" ht="26.25" thickBot="1">
      <c r="A4" s="175"/>
      <c r="B4" s="174" t="s">
        <v>100</v>
      </c>
      <c r="C4" s="181">
        <f>VLOOKUP($B4, '9.ComputerAssumptions'!$A$2:$B$5, MATCH($C$2, '9.ComputerAssumptions'!$A$2:$B$2,0),0)</f>
        <v>500</v>
      </c>
      <c r="D4" s="145"/>
      <c r="E4" s="145"/>
      <c r="F4" s="464"/>
      <c r="G4" s="472" t="s">
        <v>361</v>
      </c>
      <c r="H4" s="1233"/>
      <c r="I4" s="227" t="str">
        <f>'1.Years'!A7</f>
        <v>2022-23</v>
      </c>
      <c r="J4" s="227" t="str">
        <f>'1.Years'!B7</f>
        <v>2023-24</v>
      </c>
      <c r="K4" s="227" t="str">
        <f>'1.Years'!C7</f>
        <v>2024-25</v>
      </c>
      <c r="L4" s="227" t="str">
        <f>'1.Years'!D7</f>
        <v>2025-26</v>
      </c>
      <c r="M4" s="227" t="str">
        <f>'1.Years'!E7</f>
        <v>2026-27</v>
      </c>
      <c r="N4" s="227" t="str">
        <f>'1.Years'!F7</f>
        <v>2027-28</v>
      </c>
      <c r="O4" s="303" t="str">
        <f>'1.Years'!G7</f>
        <v>2028-29</v>
      </c>
      <c r="P4" s="561" t="s">
        <v>362</v>
      </c>
      <c r="Q4" s="484"/>
      <c r="R4" s="484"/>
      <c r="S4" s="129"/>
      <c r="T4" s="525"/>
      <c r="U4" s="527" t="str">
        <f t="shared" ref="U4:AA4" si="0">I4</f>
        <v>2022-23</v>
      </c>
      <c r="V4" s="228" t="str">
        <f t="shared" si="0"/>
        <v>2023-24</v>
      </c>
      <c r="W4" s="228" t="str">
        <f t="shared" si="0"/>
        <v>2024-25</v>
      </c>
      <c r="X4" s="228" t="str">
        <f t="shared" si="0"/>
        <v>2025-26</v>
      </c>
      <c r="Y4" s="228" t="str">
        <f t="shared" si="0"/>
        <v>2026-27</v>
      </c>
      <c r="Z4" s="228" t="str">
        <f t="shared" si="0"/>
        <v>2027-28</v>
      </c>
      <c r="AA4" s="528" t="str">
        <f t="shared" si="0"/>
        <v>2028-29</v>
      </c>
      <c r="AB4" s="519"/>
      <c r="AC4" s="139"/>
    </row>
    <row r="5" spans="1:29" ht="15" hidden="1" customHeight="1" outlineLevel="1">
      <c r="A5" s="175"/>
      <c r="B5" s="182" t="s">
        <v>101</v>
      </c>
      <c r="C5" s="181">
        <f>VLOOKUP($B5, '9.ComputerAssumptions'!$A$2:$B$5, MATCH($C$2, '9.ComputerAssumptions'!$A$2:$B$2,0),0)</f>
        <v>1000</v>
      </c>
      <c r="D5" s="131"/>
      <c r="E5" s="131"/>
      <c r="F5" s="131"/>
      <c r="G5" s="222"/>
      <c r="H5" s="223"/>
      <c r="I5" s="224"/>
      <c r="J5" s="224"/>
      <c r="K5" s="224"/>
      <c r="L5" s="224"/>
      <c r="M5" s="224"/>
      <c r="N5" s="224"/>
      <c r="O5" s="224"/>
      <c r="P5" s="224"/>
      <c r="Q5" s="485"/>
      <c r="R5" s="485"/>
      <c r="S5" s="131"/>
      <c r="T5" s="132"/>
      <c r="U5" s="225"/>
      <c r="V5" s="226"/>
      <c r="W5" s="226"/>
      <c r="X5" s="226"/>
      <c r="Y5" s="226"/>
      <c r="Z5" s="226"/>
      <c r="AA5" s="226"/>
      <c r="AB5" s="520"/>
      <c r="AC5" s="139"/>
    </row>
    <row r="6" spans="1:29" ht="15.95" hidden="1" customHeight="1" outlineLevel="1" thickBot="1">
      <c r="A6" s="146"/>
      <c r="B6" s="146"/>
      <c r="C6" s="147"/>
      <c r="D6" s="133"/>
      <c r="E6" s="133"/>
      <c r="F6" s="133"/>
      <c r="G6" s="233"/>
      <c r="H6" s="239"/>
      <c r="I6" s="244"/>
      <c r="J6" s="244"/>
      <c r="K6" s="244"/>
      <c r="L6" s="244"/>
      <c r="M6" s="244"/>
      <c r="N6" s="244"/>
      <c r="O6" s="244"/>
      <c r="P6" s="244"/>
      <c r="Q6" s="486"/>
      <c r="R6" s="486"/>
      <c r="S6" s="133"/>
      <c r="T6" s="134"/>
      <c r="U6" s="257"/>
      <c r="V6" s="258"/>
      <c r="W6" s="258"/>
      <c r="X6" s="258"/>
      <c r="Y6" s="258"/>
      <c r="Z6" s="258"/>
      <c r="AA6" s="258"/>
      <c r="AB6" s="254"/>
      <c r="AC6" s="139"/>
    </row>
    <row r="7" spans="1:29" collapsed="1">
      <c r="A7" s="146"/>
      <c r="B7" s="148" t="s">
        <v>363</v>
      </c>
      <c r="C7" s="147"/>
      <c r="D7" s="147" t="s">
        <v>364</v>
      </c>
      <c r="E7" s="147"/>
      <c r="F7" s="229"/>
      <c r="G7" s="235" t="s">
        <v>365</v>
      </c>
      <c r="H7" s="241">
        <f t="shared" ref="H7:H13" ca="1" si="1">INDEX(INDIRECT($S$7 &amp; $S$8), MATCH($T7, INDIRECT($S$7 &amp; $S$9), 0), MATCH(I$4, INDIRECT($S$7 &amp; $S$10), 0))</f>
        <v>73300</v>
      </c>
      <c r="I7" s="246">
        <f t="shared" ref="I7:O12" ca="1" si="2">INDEX(INDIRECT($B$7 &amp; $B$8), MATCH($D7, INDIRECT($B$7 &amp; $B$9), 0), MATCH(I$4, INDIRECT($B$7 &amp; $B$10), 0))</f>
        <v>4.3937732328771073E-2</v>
      </c>
      <c r="J7" s="247">
        <f t="shared" ca="1" si="2"/>
        <v>5.2675379955796853E-2</v>
      </c>
      <c r="K7" s="247">
        <f t="shared" ca="1" si="2"/>
        <v>3.1813178496871153E-2</v>
      </c>
      <c r="L7" s="247">
        <f t="shared" ca="1" si="2"/>
        <v>5.0975250926298177E-2</v>
      </c>
      <c r="M7" s="247">
        <f t="shared" ca="1" si="2"/>
        <v>3.4001816617267533E-2</v>
      </c>
      <c r="N7" s="247">
        <f t="shared" ca="1" si="2"/>
        <v>3.4883317729463625E-2</v>
      </c>
      <c r="O7" s="304">
        <f t="shared" ca="1" si="2"/>
        <v>3.5773719774389923E-2</v>
      </c>
      <c r="P7" s="562"/>
      <c r="Q7" s="1171"/>
      <c r="R7" s="1171"/>
      <c r="S7" s="134" t="s">
        <v>363</v>
      </c>
      <c r="T7" s="253" t="s">
        <v>366</v>
      </c>
      <c r="U7" s="259">
        <f t="shared" ref="U7:U12" ca="1" si="3">INDEX(INDIRECT($S$7 &amp; $S$8), MATCH($T7, INDIRECT($S$7 &amp; $S$9), 0), MATCH(U$4, INDIRECT($S$7 &amp; $S$10), 0))</f>
        <v>73300</v>
      </c>
      <c r="V7" s="260">
        <f t="shared" ref="V7:AA12" ca="1" si="4">U7*(1+J7)</f>
        <v>77161.105350759914</v>
      </c>
      <c r="W7" s="260">
        <f t="shared" ca="1" si="4"/>
        <v>79615.845368299517</v>
      </c>
      <c r="X7" s="260">
        <f t="shared" ca="1" si="4"/>
        <v>83674.283063657946</v>
      </c>
      <c r="Y7" s="260">
        <f t="shared" ca="1" si="4"/>
        <v>86519.360691969778</v>
      </c>
      <c r="Z7" s="260">
        <f t="shared" ca="1" si="4"/>
        <v>89537.443040737824</v>
      </c>
      <c r="AA7" s="261">
        <f t="shared" ca="1" si="4"/>
        <v>92740.530437392576</v>
      </c>
      <c r="AB7" s="254"/>
      <c r="AC7" s="139"/>
    </row>
    <row r="8" spans="1:29">
      <c r="A8" s="146"/>
      <c r="B8" s="148" t="s">
        <v>367</v>
      </c>
      <c r="C8" s="147"/>
      <c r="D8" s="147" t="s">
        <v>368</v>
      </c>
      <c r="E8" s="147"/>
      <c r="F8" s="229"/>
      <c r="G8" s="236" t="s">
        <v>369</v>
      </c>
      <c r="H8" s="242">
        <f t="shared" ca="1" si="1"/>
        <v>127310</v>
      </c>
      <c r="I8" s="249">
        <f t="shared" ca="1" si="2"/>
        <v>4.6108965403895086E-2</v>
      </c>
      <c r="J8" s="105">
        <f t="shared" ca="1" si="2"/>
        <v>4.3063290940369647E-2</v>
      </c>
      <c r="K8" s="105">
        <f t="shared" ca="1" si="2"/>
        <v>2.9099999999999904E-2</v>
      </c>
      <c r="L8" s="105">
        <f t="shared" ca="1" si="2"/>
        <v>4.6183059999999942E-2</v>
      </c>
      <c r="M8" s="105">
        <f t="shared" ca="1" si="2"/>
        <v>2.9100000000000792E-2</v>
      </c>
      <c r="N8" s="105">
        <f t="shared" ca="1" si="2"/>
        <v>2.9099999999998793E-2</v>
      </c>
      <c r="O8" s="305">
        <f t="shared" ca="1" si="2"/>
        <v>2.9100000000002124E-2</v>
      </c>
      <c r="P8" s="563"/>
      <c r="Q8" s="121"/>
      <c r="R8" s="121"/>
      <c r="S8" s="134" t="s">
        <v>367</v>
      </c>
      <c r="T8" s="253" t="s">
        <v>370</v>
      </c>
      <c r="U8" s="67">
        <f t="shared" ca="1" si="3"/>
        <v>127310</v>
      </c>
      <c r="V8" s="23">
        <f t="shared" ca="1" si="4"/>
        <v>132792.38756961847</v>
      </c>
      <c r="W8" s="23">
        <f t="shared" ca="1" si="4"/>
        <v>136656.64604789435</v>
      </c>
      <c r="X8" s="23">
        <f t="shared" ca="1" si="4"/>
        <v>142967.86813172302</v>
      </c>
      <c r="Y8" s="23">
        <f t="shared" ca="1" si="4"/>
        <v>147128.23309435628</v>
      </c>
      <c r="Z8" s="23">
        <f t="shared" ca="1" si="4"/>
        <v>151409.66467740189</v>
      </c>
      <c r="AA8" s="24">
        <f t="shared" ca="1" si="4"/>
        <v>155815.6859195146</v>
      </c>
      <c r="AB8" s="254"/>
      <c r="AC8" s="139"/>
    </row>
    <row r="9" spans="1:29">
      <c r="A9" s="146"/>
      <c r="B9" s="148" t="s">
        <v>371</v>
      </c>
      <c r="C9" s="147"/>
      <c r="D9" s="147" t="s">
        <v>372</v>
      </c>
      <c r="E9" s="147"/>
      <c r="F9" s="229"/>
      <c r="G9" s="236" t="s">
        <v>373</v>
      </c>
      <c r="H9" s="242">
        <f t="shared" ca="1" si="1"/>
        <v>117910</v>
      </c>
      <c r="I9" s="249">
        <f t="shared" ca="1" si="2"/>
        <v>5.4464477355655738E-2</v>
      </c>
      <c r="J9" s="105">
        <f t="shared" ca="1" si="2"/>
        <v>3.8522212610045292E-2</v>
      </c>
      <c r="K9" s="105">
        <f t="shared" ca="1" si="2"/>
        <v>2.6499999999999968E-2</v>
      </c>
      <c r="L9" s="105">
        <f t="shared" ca="1" si="2"/>
        <v>4.6516750000000107E-2</v>
      </c>
      <c r="M9" s="105">
        <f t="shared" ca="1" si="2"/>
        <v>2.6499999999999746E-2</v>
      </c>
      <c r="N9" s="105">
        <f t="shared" ca="1" si="2"/>
        <v>2.6499999999999524E-2</v>
      </c>
      <c r="O9" s="305">
        <f t="shared" ca="1" si="2"/>
        <v>2.6499999999996859E-2</v>
      </c>
      <c r="P9" s="563"/>
      <c r="Q9" s="121"/>
      <c r="R9" s="121"/>
      <c r="S9" s="134" t="s">
        <v>371</v>
      </c>
      <c r="T9" s="253" t="s">
        <v>374</v>
      </c>
      <c r="U9" s="67">
        <f t="shared" ca="1" si="3"/>
        <v>117910</v>
      </c>
      <c r="V9" s="23">
        <f t="shared" ca="1" si="4"/>
        <v>122452.15408885044</v>
      </c>
      <c r="W9" s="23">
        <f t="shared" ca="1" si="4"/>
        <v>125697.13617220498</v>
      </c>
      <c r="X9" s="23">
        <f t="shared" ca="1" si="4"/>
        <v>131544.15843124341</v>
      </c>
      <c r="Y9" s="23">
        <f t="shared" ca="1" si="4"/>
        <v>135030.07862967133</v>
      </c>
      <c r="Z9" s="23">
        <f t="shared" ca="1" si="4"/>
        <v>138608.37571335756</v>
      </c>
      <c r="AA9" s="24">
        <f t="shared" ca="1" si="4"/>
        <v>142281.4976697611</v>
      </c>
      <c r="AB9" s="254"/>
      <c r="AC9" s="139"/>
    </row>
    <row r="10" spans="1:29">
      <c r="A10" s="146"/>
      <c r="B10" s="148" t="s">
        <v>375</v>
      </c>
      <c r="C10" s="147"/>
      <c r="D10" s="147" t="s">
        <v>364</v>
      </c>
      <c r="E10" s="147"/>
      <c r="F10" s="229"/>
      <c r="G10" s="236" t="s">
        <v>376</v>
      </c>
      <c r="H10" s="242">
        <f t="shared" ca="1" si="1"/>
        <v>74785.188193197333</v>
      </c>
      <c r="I10" s="249">
        <f t="shared" ca="1" si="2"/>
        <v>4.3937732328771073E-2</v>
      </c>
      <c r="J10" s="105">
        <f t="shared" ca="1" si="2"/>
        <v>5.2675379955796853E-2</v>
      </c>
      <c r="K10" s="105">
        <f t="shared" ca="1" si="2"/>
        <v>3.1813178496871153E-2</v>
      </c>
      <c r="L10" s="105">
        <f t="shared" ca="1" si="2"/>
        <v>5.0975250926298177E-2</v>
      </c>
      <c r="M10" s="105">
        <f t="shared" ca="1" si="2"/>
        <v>3.4001816617267533E-2</v>
      </c>
      <c r="N10" s="105">
        <f t="shared" ca="1" si="2"/>
        <v>3.4883317729463625E-2</v>
      </c>
      <c r="O10" s="305">
        <f t="shared" ca="1" si="2"/>
        <v>3.5773719774389923E-2</v>
      </c>
      <c r="P10" s="563"/>
      <c r="Q10" s="121"/>
      <c r="R10" s="121"/>
      <c r="S10" s="134" t="s">
        <v>375</v>
      </c>
      <c r="T10" s="253" t="s">
        <v>377</v>
      </c>
      <c r="U10" s="67">
        <f t="shared" ca="1" si="3"/>
        <v>74785.188193197333</v>
      </c>
      <c r="V10" s="23">
        <f t="shared" ca="1" si="4"/>
        <v>78724.526396339774</v>
      </c>
      <c r="W10" s="23">
        <f t="shared" ca="1" si="4"/>
        <v>81229.003806668174</v>
      </c>
      <c r="X10" s="23">
        <f t="shared" ca="1" si="4"/>
        <v>85369.672658206313</v>
      </c>
      <c r="Y10" s="23">
        <f t="shared" ca="1" si="4"/>
        <v>88272.396612606797</v>
      </c>
      <c r="Z10" s="23">
        <f t="shared" ca="1" si="4"/>
        <v>91351.630670385595</v>
      </c>
      <c r="AA10" s="24">
        <f t="shared" ca="1" si="4"/>
        <v>94619.618306921533</v>
      </c>
      <c r="AB10" s="254"/>
      <c r="AC10" s="139"/>
    </row>
    <row r="11" spans="1:29">
      <c r="A11" s="146"/>
      <c r="B11" s="149"/>
      <c r="C11" s="149"/>
      <c r="D11" s="147" t="s">
        <v>378</v>
      </c>
      <c r="E11" s="147"/>
      <c r="F11" s="229"/>
      <c r="G11" s="236" t="s">
        <v>379</v>
      </c>
      <c r="H11" s="243">
        <f t="shared" ca="1" si="1"/>
        <v>22.976859199438202</v>
      </c>
      <c r="I11" s="249">
        <f t="shared" ca="1" si="2"/>
        <v>8.1000000000000072E-2</v>
      </c>
      <c r="J11" s="105">
        <f t="shared" ca="1" si="2"/>
        <v>4.3834138486312457E-2</v>
      </c>
      <c r="K11" s="105">
        <f t="shared" ca="1" si="2"/>
        <v>2.8486102532427338E-2</v>
      </c>
      <c r="L11" s="105">
        <f t="shared" ca="1" si="2"/>
        <v>2.2641118124436477E-2</v>
      </c>
      <c r="M11" s="105">
        <f t="shared" ca="1" si="2"/>
        <v>2.5124742571344671E-2</v>
      </c>
      <c r="N11" s="105">
        <f t="shared" ca="1" si="2"/>
        <v>2.5992818155702424E-2</v>
      </c>
      <c r="O11" s="305">
        <f t="shared" ca="1" si="2"/>
        <v>2.4542600896860889E-2</v>
      </c>
      <c r="P11" s="563"/>
      <c r="Q11" s="121"/>
      <c r="R11" s="121"/>
      <c r="S11" s="133"/>
      <c r="T11" s="253" t="s">
        <v>380</v>
      </c>
      <c r="U11" s="67">
        <f t="shared" ca="1" si="3"/>
        <v>22.976859199438202</v>
      </c>
      <c r="V11" s="23">
        <f t="shared" ca="1" si="4"/>
        <v>23.984030027566881</v>
      </c>
      <c r="W11" s="23">
        <f t="shared" ca="1" si="4"/>
        <v>24.66724156607297</v>
      </c>
      <c r="X11" s="23">
        <f t="shared" ca="1" si="4"/>
        <v>25.22573549617444</v>
      </c>
      <c r="Y11" s="23">
        <f t="shared" ca="1" si="4"/>
        <v>25.859525606688656</v>
      </c>
      <c r="Z11" s="23">
        <f t="shared" ca="1" si="4"/>
        <v>26.531687553376042</v>
      </c>
      <c r="AA11" s="24">
        <f t="shared" ca="1" si="4"/>
        <v>27.182844172118763</v>
      </c>
      <c r="AB11" s="254"/>
      <c r="AC11" s="139"/>
    </row>
    <row r="12" spans="1:29">
      <c r="A12" s="146"/>
      <c r="B12" s="149"/>
      <c r="C12" s="149"/>
      <c r="D12" s="147" t="s">
        <v>378</v>
      </c>
      <c r="E12" s="147"/>
      <c r="F12" s="229"/>
      <c r="G12" s="236" t="s">
        <v>381</v>
      </c>
      <c r="H12" s="243">
        <f t="shared" ca="1" si="1"/>
        <v>19.060954773869348</v>
      </c>
      <c r="I12" s="249">
        <f t="shared" ca="1" si="2"/>
        <v>8.1000000000000072E-2</v>
      </c>
      <c r="J12" s="105">
        <f t="shared" ca="1" si="2"/>
        <v>4.3834138486312457E-2</v>
      </c>
      <c r="K12" s="105">
        <f t="shared" ca="1" si="2"/>
        <v>2.8486102532427338E-2</v>
      </c>
      <c r="L12" s="105">
        <f t="shared" ca="1" si="2"/>
        <v>2.2641118124436477E-2</v>
      </c>
      <c r="M12" s="105">
        <f t="shared" ca="1" si="2"/>
        <v>2.5124742571344671E-2</v>
      </c>
      <c r="N12" s="105">
        <f t="shared" ca="1" si="2"/>
        <v>2.5992818155702424E-2</v>
      </c>
      <c r="O12" s="305">
        <f t="shared" ca="1" si="2"/>
        <v>2.4542600896860889E-2</v>
      </c>
      <c r="P12" s="563"/>
      <c r="Q12" s="121"/>
      <c r="R12" s="121"/>
      <c r="S12" s="133"/>
      <c r="T12" s="253" t="s">
        <v>382</v>
      </c>
      <c r="U12" s="67">
        <f t="shared" ca="1" si="3"/>
        <v>19.060954773869348</v>
      </c>
      <c r="V12" s="23">
        <f t="shared" ca="1" si="4"/>
        <v>19.896475305108478</v>
      </c>
      <c r="W12" s="23">
        <f t="shared" ca="1" si="4"/>
        <v>20.463248340683709</v>
      </c>
      <c r="X12" s="23">
        <f t="shared" ca="1" si="4"/>
        <v>20.926559163574808</v>
      </c>
      <c r="Y12" s="23">
        <f t="shared" ca="1" si="4"/>
        <v>21.452333575463641</v>
      </c>
      <c r="Z12" s="23">
        <f t="shared" ca="1" si="4"/>
        <v>22.009940181106135</v>
      </c>
      <c r="AA12" s="24">
        <f t="shared" ca="1" si="4"/>
        <v>22.550121358734806</v>
      </c>
      <c r="AB12" s="254"/>
      <c r="AC12" s="139"/>
    </row>
    <row r="13" spans="1:29" ht="15.75" thickBot="1">
      <c r="A13" s="146"/>
      <c r="B13" s="149"/>
      <c r="C13" s="95"/>
      <c r="D13" s="95"/>
      <c r="E13" s="95"/>
      <c r="F13" s="230"/>
      <c r="G13" s="238" t="s">
        <v>383</v>
      </c>
      <c r="H13" s="460">
        <f t="shared" ca="1" si="1"/>
        <v>24.125702159410114</v>
      </c>
      <c r="I13" s="461"/>
      <c r="J13" s="462">
        <f t="shared" ref="J13:O13" ca="1" si="5">V13/U13-1</f>
        <v>4.3834138486312568E-2</v>
      </c>
      <c r="K13" s="462">
        <f t="shared" ca="1" si="5"/>
        <v>2.8486102532427449E-2</v>
      </c>
      <c r="L13" s="462">
        <f t="shared" ca="1" si="5"/>
        <v>2.2641118124436588E-2</v>
      </c>
      <c r="M13" s="462">
        <f t="shared" ca="1" si="5"/>
        <v>2.512474257134456E-2</v>
      </c>
      <c r="N13" s="462">
        <f t="shared" ca="1" si="5"/>
        <v>2.5992818155702313E-2</v>
      </c>
      <c r="O13" s="463">
        <f t="shared" ca="1" si="5"/>
        <v>2.4542600896861E-2</v>
      </c>
      <c r="P13" s="564"/>
      <c r="Q13" s="121"/>
      <c r="R13" s="121"/>
      <c r="S13" s="133"/>
      <c r="T13" s="253" t="s">
        <v>384</v>
      </c>
      <c r="U13" s="252">
        <f ca="1">U11*1.05</f>
        <v>24.125702159410114</v>
      </c>
      <c r="V13" s="65">
        <f t="shared" ref="V13:AA13" ca="1" si="6">V11*1.05</f>
        <v>25.183231528945225</v>
      </c>
      <c r="W13" s="65">
        <f t="shared" ca="1" si="6"/>
        <v>25.90060364437662</v>
      </c>
      <c r="X13" s="65">
        <f t="shared" ca="1" si="6"/>
        <v>26.487022270983164</v>
      </c>
      <c r="Y13" s="65">
        <f t="shared" ca="1" si="6"/>
        <v>27.152501887023089</v>
      </c>
      <c r="Z13" s="65">
        <f t="shared" ca="1" si="6"/>
        <v>27.858271931044843</v>
      </c>
      <c r="AA13" s="68">
        <f t="shared" ca="1" si="6"/>
        <v>28.541986380724701</v>
      </c>
      <c r="AB13" s="254"/>
      <c r="AC13" s="139"/>
    </row>
    <row r="14" spans="1:29" ht="15" hidden="1" customHeight="1" outlineLevel="1">
      <c r="A14" s="146"/>
      <c r="B14" s="149"/>
      <c r="C14" s="95"/>
      <c r="D14" s="95"/>
      <c r="E14" s="95"/>
      <c r="F14" s="230"/>
      <c r="G14" s="459"/>
      <c r="H14" s="124"/>
      <c r="I14" s="123"/>
      <c r="J14" s="123"/>
      <c r="K14" s="123"/>
      <c r="L14" s="123"/>
      <c r="M14" s="123"/>
      <c r="N14" s="123"/>
      <c r="O14" s="123"/>
      <c r="P14" s="123"/>
      <c r="Q14" s="121"/>
      <c r="R14" s="121"/>
      <c r="S14" s="135"/>
      <c r="T14" s="135"/>
      <c r="U14" s="124"/>
      <c r="V14" s="124"/>
      <c r="W14" s="124"/>
      <c r="X14" s="124"/>
      <c r="Y14" s="124"/>
      <c r="Z14" s="124"/>
      <c r="AA14" s="124"/>
      <c r="AB14" s="254"/>
      <c r="AC14" s="139"/>
    </row>
    <row r="15" spans="1:29" ht="15" hidden="1" customHeight="1" outlineLevel="1">
      <c r="A15" s="150"/>
      <c r="B15" s="150"/>
      <c r="C15" s="74"/>
      <c r="D15" s="74"/>
      <c r="E15" s="74"/>
      <c r="F15" s="93"/>
      <c r="G15" s="84"/>
      <c r="H15" s="77"/>
      <c r="I15" s="136"/>
      <c r="J15" s="136"/>
      <c r="K15" s="136"/>
      <c r="L15" s="136"/>
      <c r="M15" s="136"/>
      <c r="N15" s="136"/>
      <c r="O15" s="136"/>
      <c r="P15" s="136"/>
      <c r="Q15" s="487"/>
      <c r="R15" s="487"/>
      <c r="S15" s="98"/>
      <c r="T15" s="98"/>
      <c r="U15" s="77"/>
      <c r="V15" s="77"/>
      <c r="W15" s="77"/>
      <c r="X15" s="77"/>
      <c r="Y15" s="77"/>
      <c r="Z15" s="77"/>
      <c r="AA15" s="77"/>
      <c r="AB15" s="255"/>
      <c r="AC15" s="139"/>
    </row>
    <row r="16" spans="1:29" ht="15.95" hidden="1" customHeight="1" outlineLevel="1" thickBot="1">
      <c r="A16" s="150"/>
      <c r="B16" s="151" t="s">
        <v>385</v>
      </c>
      <c r="C16" s="74"/>
      <c r="D16" s="150"/>
      <c r="E16" s="150"/>
      <c r="F16" s="231"/>
      <c r="G16" s="457"/>
      <c r="H16" s="458"/>
      <c r="I16" s="458"/>
      <c r="J16" s="458"/>
      <c r="K16" s="458"/>
      <c r="L16" s="458"/>
      <c r="M16" s="458"/>
      <c r="N16" s="458"/>
      <c r="O16" s="458"/>
      <c r="P16" s="458"/>
      <c r="Q16" s="488"/>
      <c r="R16" s="488"/>
      <c r="S16" s="137" t="s">
        <v>385</v>
      </c>
      <c r="T16" s="99" t="s">
        <v>386</v>
      </c>
      <c r="U16" s="105">
        <f ca="1">INDEX(INDIRECT($S$16 &amp; $S$17), MATCH($T16, INDIRECT($S$16 &amp; $S$18), 0), MATCH(U$4, INDIRECT($S$16 &amp; $S$19), 0))</f>
        <v>3.4000000000000002E-2</v>
      </c>
      <c r="V16" s="105">
        <f t="shared" ref="V16:AA16" ca="1" si="7">INDEX(INDIRECT($S$16 &amp; $S$17), MATCH($T16, INDIRECT($S$16 &amp; $S$18), 0), MATCH(V$4, INDIRECT($S$16 &amp; $S$19), 0))</f>
        <v>3.4000000000000002E-2</v>
      </c>
      <c r="W16" s="105">
        <f t="shared" ca="1" si="7"/>
        <v>3.4000000000000002E-2</v>
      </c>
      <c r="X16" s="105">
        <f t="shared" ca="1" si="7"/>
        <v>3.4000000000000002E-2</v>
      </c>
      <c r="Y16" s="105">
        <f t="shared" ca="1" si="7"/>
        <v>3.4000000000000002E-2</v>
      </c>
      <c r="Z16" s="105">
        <f t="shared" ca="1" si="7"/>
        <v>3.4000000000000002E-2</v>
      </c>
      <c r="AA16" s="105">
        <f t="shared" ca="1" si="7"/>
        <v>3.4000000000000002E-2</v>
      </c>
      <c r="AB16" s="255"/>
      <c r="AC16" s="139"/>
    </row>
    <row r="17" spans="1:30" collapsed="1">
      <c r="A17" s="150"/>
      <c r="B17" s="151" t="s">
        <v>387</v>
      </c>
      <c r="C17" s="74"/>
      <c r="D17" s="152" t="s">
        <v>388</v>
      </c>
      <c r="E17" s="152"/>
      <c r="F17" s="232"/>
      <c r="G17" s="235" t="s">
        <v>389</v>
      </c>
      <c r="H17" s="235" t="s">
        <v>389</v>
      </c>
      <c r="I17" s="259">
        <f ca="1">INDEX(INDIRECT($B$16 &amp; $B$17), MATCH($D17, INDIRECT($B$16 &amp; $B$18), 0), MATCH(I$4, INDIRECT($B$16 &amp; $B$19), 0))</f>
        <v>18828</v>
      </c>
      <c r="J17" s="279"/>
      <c r="K17" s="279"/>
      <c r="L17" s="279"/>
      <c r="M17" s="279"/>
      <c r="N17" s="279"/>
      <c r="O17" s="308"/>
      <c r="P17" s="241"/>
      <c r="Q17" s="489"/>
      <c r="R17" s="489"/>
      <c r="S17" s="137" t="s">
        <v>390</v>
      </c>
      <c r="T17" s="125"/>
      <c r="U17" s="23">
        <f ca="1">I17</f>
        <v>18828</v>
      </c>
      <c r="V17" s="23">
        <f t="shared" ref="V17:AA17" ca="1" si="8">U17*(1+V16)</f>
        <v>19468.152000000002</v>
      </c>
      <c r="W17" s="23">
        <f t="shared" ca="1" si="8"/>
        <v>20130.069168000002</v>
      </c>
      <c r="X17" s="23">
        <f t="shared" ca="1" si="8"/>
        <v>20814.491519712003</v>
      </c>
      <c r="Y17" s="23">
        <f t="shared" ca="1" si="8"/>
        <v>21522.184231382213</v>
      </c>
      <c r="Z17" s="23">
        <f t="shared" ca="1" si="8"/>
        <v>22253.938495249207</v>
      </c>
      <c r="AA17" s="23">
        <f t="shared" ca="1" si="8"/>
        <v>23010.572404087681</v>
      </c>
      <c r="AB17" s="255"/>
      <c r="AC17" s="139"/>
    </row>
    <row r="18" spans="1:30" s="63" customFormat="1">
      <c r="A18" s="150"/>
      <c r="B18" s="151" t="s">
        <v>391</v>
      </c>
      <c r="C18" s="74"/>
      <c r="D18" s="74" t="s">
        <v>392</v>
      </c>
      <c r="E18" s="74"/>
      <c r="F18" s="93"/>
      <c r="G18" s="237" t="s">
        <v>393</v>
      </c>
      <c r="H18" s="237" t="s">
        <v>393</v>
      </c>
      <c r="I18" s="249">
        <f ca="1">INDEX(INDIRECT($B$16 &amp; $B$17), MATCH($D18, INDIRECT($B$16 &amp; $B$18), 0), MATCH(I$4, INDIRECT($B$16 &amp; $B$19), 0))</f>
        <v>0.34320000000000001</v>
      </c>
      <c r="J18" s="105">
        <f t="shared" ref="J18:O19" ca="1" si="9">INDEX(INDIRECT($B$16 &amp; $B$17), MATCH($D18, INDIRECT($B$16 &amp; $B$18), 0), MATCH(J$4, INDIRECT($B$16 &amp; $B$19), 0))</f>
        <v>0.35339999999999999</v>
      </c>
      <c r="K18" s="105">
        <f t="shared" ca="1" si="9"/>
        <v>0.35339999999999999</v>
      </c>
      <c r="L18" s="105">
        <f t="shared" ca="1" si="9"/>
        <v>0.35010000000000002</v>
      </c>
      <c r="M18" s="105">
        <f t="shared" ca="1" si="9"/>
        <v>0.35010000000000002</v>
      </c>
      <c r="N18" s="105">
        <f t="shared" ca="1" si="9"/>
        <v>0.35010000000000002</v>
      </c>
      <c r="O18" s="305">
        <f t="shared" ca="1" si="9"/>
        <v>0.35010000000000002</v>
      </c>
      <c r="P18" s="565"/>
      <c r="Q18" s="490"/>
      <c r="R18" s="490"/>
      <c r="S18" s="137" t="s">
        <v>394</v>
      </c>
      <c r="T18" s="126"/>
      <c r="U18" s="105">
        <f ca="1">I18</f>
        <v>0.34320000000000001</v>
      </c>
      <c r="V18" s="105">
        <f t="shared" ref="V18:AA19" ca="1" si="10">J18</f>
        <v>0.35339999999999999</v>
      </c>
      <c r="W18" s="105">
        <f t="shared" ca="1" si="10"/>
        <v>0.35339999999999999</v>
      </c>
      <c r="X18" s="105">
        <f t="shared" ca="1" si="10"/>
        <v>0.35010000000000002</v>
      </c>
      <c r="Y18" s="105">
        <f t="shared" ca="1" si="10"/>
        <v>0.35010000000000002</v>
      </c>
      <c r="Z18" s="105">
        <f t="shared" ca="1" si="10"/>
        <v>0.35010000000000002</v>
      </c>
      <c r="AA18" s="105">
        <f t="shared" ca="1" si="10"/>
        <v>0.35010000000000002</v>
      </c>
      <c r="AB18" s="256"/>
      <c r="AC18" s="139"/>
      <c r="AD18"/>
    </row>
    <row r="19" spans="1:30" ht="15.75" thickBot="1">
      <c r="A19" s="150"/>
      <c r="B19" s="151" t="s">
        <v>395</v>
      </c>
      <c r="C19" s="74"/>
      <c r="D19" s="74" t="s">
        <v>396</v>
      </c>
      <c r="E19" s="74"/>
      <c r="F19" s="93"/>
      <c r="G19" s="238" t="s">
        <v>397</v>
      </c>
      <c r="H19" s="238" t="s">
        <v>397</v>
      </c>
      <c r="I19" s="252">
        <f ca="1">INDEX(INDIRECT($B$16 &amp; $B$17), MATCH($D19, INDIRECT($B$16 &amp; $B$18), 0), MATCH(I$4, INDIRECT($B$16 &amp; $B$19), 0))</f>
        <v>420</v>
      </c>
      <c r="J19" s="65">
        <f t="shared" ca="1" si="9"/>
        <v>420</v>
      </c>
      <c r="K19" s="65">
        <f t="shared" ca="1" si="9"/>
        <v>420</v>
      </c>
      <c r="L19" s="65">
        <f t="shared" ca="1" si="9"/>
        <v>420</v>
      </c>
      <c r="M19" s="65">
        <f t="shared" ca="1" si="9"/>
        <v>420</v>
      </c>
      <c r="N19" s="65">
        <f t="shared" ca="1" si="9"/>
        <v>420</v>
      </c>
      <c r="O19" s="307">
        <f t="shared" ca="1" si="9"/>
        <v>420</v>
      </c>
      <c r="P19" s="566"/>
      <c r="Q19" s="489"/>
      <c r="R19" s="489"/>
      <c r="S19" s="137" t="s">
        <v>395</v>
      </c>
      <c r="T19" s="127"/>
      <c r="U19" s="23">
        <f ca="1">I19</f>
        <v>420</v>
      </c>
      <c r="V19" s="23">
        <f t="shared" ca="1" si="10"/>
        <v>420</v>
      </c>
      <c r="W19" s="23">
        <f t="shared" ca="1" si="10"/>
        <v>420</v>
      </c>
      <c r="X19" s="23">
        <f t="shared" ca="1" si="10"/>
        <v>420</v>
      </c>
      <c r="Y19" s="23">
        <f t="shared" ca="1" si="10"/>
        <v>420</v>
      </c>
      <c r="Z19" s="23">
        <f t="shared" ca="1" si="10"/>
        <v>420</v>
      </c>
      <c r="AA19" s="23">
        <f t="shared" ca="1" si="10"/>
        <v>420</v>
      </c>
      <c r="AB19" s="255"/>
      <c r="AC19" s="139"/>
    </row>
    <row r="20" spans="1:30" ht="15" hidden="1" customHeight="1" outlineLevel="1">
      <c r="A20" s="150"/>
      <c r="B20" s="150"/>
      <c r="C20" s="74"/>
      <c r="D20" s="74"/>
      <c r="E20" s="74"/>
      <c r="F20" s="74"/>
      <c r="G20" s="234"/>
      <c r="H20" s="240"/>
      <c r="I20" s="245"/>
      <c r="J20" s="245"/>
      <c r="K20" s="245"/>
      <c r="L20" s="245"/>
      <c r="M20" s="245"/>
      <c r="N20" s="245"/>
      <c r="O20" s="245"/>
      <c r="P20" s="245"/>
      <c r="Q20" s="489"/>
      <c r="R20" s="489"/>
      <c r="S20" s="127"/>
      <c r="T20" s="127"/>
      <c r="U20" s="138"/>
      <c r="V20" s="138"/>
      <c r="W20" s="138"/>
      <c r="X20" s="138"/>
      <c r="Y20" s="138"/>
      <c r="Z20" s="138"/>
      <c r="AA20" s="138"/>
      <c r="AB20" s="255"/>
      <c r="AC20" s="139"/>
    </row>
    <row r="21" spans="1:30" ht="15" hidden="1" customHeight="1" outlineLevel="1">
      <c r="A21" s="162"/>
      <c r="B21" s="161"/>
      <c r="C21" s="162"/>
      <c r="D21" s="162"/>
      <c r="E21" s="162"/>
      <c r="F21" s="162"/>
      <c r="G21" s="163"/>
      <c r="H21" s="164"/>
      <c r="I21" s="165"/>
      <c r="J21" s="165"/>
      <c r="K21" s="165"/>
      <c r="L21" s="165"/>
      <c r="M21" s="165"/>
      <c r="N21" s="165"/>
      <c r="O21" s="165"/>
      <c r="P21" s="165"/>
      <c r="Q21" s="491"/>
      <c r="R21" s="491"/>
      <c r="S21" s="166"/>
      <c r="T21" s="166"/>
      <c r="U21" s="165"/>
      <c r="V21" s="165"/>
      <c r="W21" s="165"/>
      <c r="X21" s="165"/>
      <c r="Y21" s="165"/>
      <c r="Z21" s="165"/>
      <c r="AA21" s="165"/>
      <c r="AB21" s="264"/>
      <c r="AC21" s="139"/>
    </row>
    <row r="22" spans="1:30" ht="15.95" hidden="1" customHeight="1" outlineLevel="1" thickBot="1">
      <c r="A22" s="162"/>
      <c r="B22" s="161"/>
      <c r="C22" s="162"/>
      <c r="D22" s="162"/>
      <c r="E22" s="162"/>
      <c r="F22" s="162"/>
      <c r="G22" s="267"/>
      <c r="H22" s="269"/>
      <c r="I22" s="276"/>
      <c r="J22" s="276"/>
      <c r="K22" s="276"/>
      <c r="L22" s="276"/>
      <c r="M22" s="276"/>
      <c r="N22" s="276"/>
      <c r="O22" s="276"/>
      <c r="P22" s="276"/>
      <c r="Q22" s="491"/>
      <c r="R22" s="491"/>
      <c r="S22" s="167" t="s">
        <v>385</v>
      </c>
      <c r="T22" s="166" t="s">
        <v>44</v>
      </c>
      <c r="U22" s="265">
        <f t="shared" ref="U22:AA22" ca="1" si="11">INDEX(INDIRECT($S$22 &amp; $S$23), MATCH($T22, INDIRECT($S$22 &amp; $S$24), 0), MATCH(U$4, INDIRECT($S$22 &amp; $S$25), 0))</f>
        <v>5.4000000000000003E-3</v>
      </c>
      <c r="V22" s="265">
        <f t="shared" ca="1" si="11"/>
        <v>6.6E-3</v>
      </c>
      <c r="W22" s="265">
        <f t="shared" ca="1" si="11"/>
        <v>6.6E-3</v>
      </c>
      <c r="X22" s="265">
        <f t="shared" ca="1" si="11"/>
        <v>6.6E-3</v>
      </c>
      <c r="Y22" s="265">
        <f t="shared" ca="1" si="11"/>
        <v>6.6E-3</v>
      </c>
      <c r="Z22" s="265">
        <f t="shared" ca="1" si="11"/>
        <v>6.6E-3</v>
      </c>
      <c r="AA22" s="265">
        <f t="shared" ca="1" si="11"/>
        <v>6.6E-3</v>
      </c>
      <c r="AB22" s="264"/>
      <c r="AC22" s="139"/>
    </row>
    <row r="23" spans="1:30" collapsed="1">
      <c r="A23" s="162"/>
      <c r="B23" s="168" t="s">
        <v>398</v>
      </c>
      <c r="C23" s="162" t="s">
        <v>260</v>
      </c>
      <c r="D23" s="162" t="s">
        <v>203</v>
      </c>
      <c r="E23" s="169">
        <f>IF(LEFT($F$3)="E", (1/6)*$H$2,0)</f>
        <v>0</v>
      </c>
      <c r="F23" s="266">
        <f>IF(LEFT($G$3, 1)="E", 1, 0)</f>
        <v>0</v>
      </c>
      <c r="G23" s="1218" t="s">
        <v>399</v>
      </c>
      <c r="H23" s="271" t="s">
        <v>400</v>
      </c>
      <c r="I23" s="278">
        <f t="shared" ref="I23:O23" ca="1" si="12">$F23*IF(VLOOKUP($C23,INDIRECT($B$23 &amp; $B$24), MATCH(I$4,INDIRECT($B$23 &amp; $B$25),0)+6, 0)="Y",$E23/VLOOKUP($D23,INDIRECT($B$23 &amp; $B$24), MATCH(I$4,INDIRECT($B$23 &amp; $B$25),0)+6, 0),(0.5*$E23)/VLOOKUP($D23,INDIRECT($B$23 &amp; $B$24), MATCH(I$4,INDIRECT($B$23 &amp; $B$25),0)+6, 0))</f>
        <v>0</v>
      </c>
      <c r="J23" s="279">
        <f t="shared" ca="1" si="12"/>
        <v>0</v>
      </c>
      <c r="K23" s="279">
        <f t="shared" ca="1" si="12"/>
        <v>0</v>
      </c>
      <c r="L23" s="279">
        <f t="shared" ca="1" si="12"/>
        <v>0</v>
      </c>
      <c r="M23" s="279">
        <f t="shared" ca="1" si="12"/>
        <v>0</v>
      </c>
      <c r="N23" s="279">
        <f t="shared" ca="1" si="12"/>
        <v>0</v>
      </c>
      <c r="O23" s="308">
        <f t="shared" ca="1" si="12"/>
        <v>0</v>
      </c>
      <c r="P23" s="567"/>
      <c r="Q23" s="491"/>
      <c r="R23" s="491"/>
      <c r="S23" s="167" t="s">
        <v>390</v>
      </c>
      <c r="T23" s="262"/>
      <c r="U23" s="259">
        <f t="shared" ref="U23:U32" ca="1" si="13">((U$7*(1+U$18))+U$17+U$19)*I23</f>
        <v>0</v>
      </c>
      <c r="V23" s="260">
        <f t="shared" ref="V23:V32" ca="1" si="14">((V$7*(1+V$18))+V$17+V$19)*J23</f>
        <v>0</v>
      </c>
      <c r="W23" s="260">
        <f t="shared" ref="W23:W32" ca="1" si="15">((W$7*(1+W$18))+W$17+W$19)*K23</f>
        <v>0</v>
      </c>
      <c r="X23" s="260">
        <f t="shared" ref="X23:X32" ca="1" si="16">((X$7*(1+X$18))+X$17+X$19)*L23</f>
        <v>0</v>
      </c>
      <c r="Y23" s="260">
        <f t="shared" ref="Y23:Y32" ca="1" si="17">((Y$7*(1+Y$18))+Y$17+Y$19)*M23</f>
        <v>0</v>
      </c>
      <c r="Z23" s="260">
        <f t="shared" ref="Z23:Z32" ca="1" si="18">((Z$7*(1+Z$18))+Z$17+Z$19)*N23</f>
        <v>0</v>
      </c>
      <c r="AA23" s="261">
        <f t="shared" ref="AA23:AA32" ca="1" si="19">((AA$7*(1+AA$18))+AA$17+AA$19)*O23</f>
        <v>0</v>
      </c>
      <c r="AB23" s="264"/>
      <c r="AC23" s="139">
        <v>1</v>
      </c>
    </row>
    <row r="24" spans="1:30">
      <c r="A24" s="162"/>
      <c r="B24" s="162" t="s">
        <v>401</v>
      </c>
      <c r="C24" s="162" t="s">
        <v>260</v>
      </c>
      <c r="D24" s="162" t="s">
        <v>205</v>
      </c>
      <c r="E24" s="169">
        <f>IF(LEFT($F$3)="E", (1/6)*$H$2, 0)</f>
        <v>0</v>
      </c>
      <c r="F24" s="266">
        <f>IF(LEFT($G$3, 1)="E", 1, 0)</f>
        <v>0</v>
      </c>
      <c r="G24" s="1219"/>
      <c r="H24" s="272" t="s">
        <v>402</v>
      </c>
      <c r="I24" s="281">
        <f t="shared" ref="I24:O26" ca="1" si="20">$F24*$E24/VLOOKUP($D24,INDIRECT($B$23 &amp; $B$24), MATCH(I$4,INDIRECT($B$23 &amp; $B$25),0)+6, 0)</f>
        <v>0</v>
      </c>
      <c r="J24" s="96">
        <f t="shared" ca="1" si="20"/>
        <v>0</v>
      </c>
      <c r="K24" s="96">
        <f t="shared" ca="1" si="20"/>
        <v>0</v>
      </c>
      <c r="L24" s="96">
        <f t="shared" ca="1" si="20"/>
        <v>0</v>
      </c>
      <c r="M24" s="96">
        <f t="shared" ca="1" si="20"/>
        <v>0</v>
      </c>
      <c r="N24" s="96">
        <f t="shared" ca="1" si="20"/>
        <v>0</v>
      </c>
      <c r="O24" s="306">
        <f t="shared" ca="1" si="20"/>
        <v>0</v>
      </c>
      <c r="P24" s="568"/>
      <c r="Q24" s="491"/>
      <c r="R24" s="491"/>
      <c r="S24" s="165" t="s">
        <v>394</v>
      </c>
      <c r="T24" s="263"/>
      <c r="U24" s="67">
        <f t="shared" ca="1" si="13"/>
        <v>0</v>
      </c>
      <c r="V24" s="23">
        <f t="shared" ca="1" si="14"/>
        <v>0</v>
      </c>
      <c r="W24" s="23">
        <f t="shared" ca="1" si="15"/>
        <v>0</v>
      </c>
      <c r="X24" s="23">
        <f t="shared" ca="1" si="16"/>
        <v>0</v>
      </c>
      <c r="Y24" s="23">
        <f t="shared" ca="1" si="17"/>
        <v>0</v>
      </c>
      <c r="Z24" s="23">
        <f t="shared" ca="1" si="18"/>
        <v>0</v>
      </c>
      <c r="AA24" s="24">
        <f t="shared" ca="1" si="19"/>
        <v>0</v>
      </c>
      <c r="AB24" s="264"/>
      <c r="AC24" s="139">
        <v>1</v>
      </c>
    </row>
    <row r="25" spans="1:30">
      <c r="A25" s="162"/>
      <c r="B25" s="162" t="s">
        <v>403</v>
      </c>
      <c r="C25" s="162" t="s">
        <v>260</v>
      </c>
      <c r="D25" s="162" t="s">
        <v>264</v>
      </c>
      <c r="E25" s="169">
        <f>IF(LEFT($F$3)="E", (2/6)*$H$2,0)</f>
        <v>0</v>
      </c>
      <c r="F25" s="266">
        <f>IF(LEFT($G$3, 1)="E", 1, 0)</f>
        <v>0</v>
      </c>
      <c r="G25" s="1219"/>
      <c r="H25" s="272" t="s">
        <v>404</v>
      </c>
      <c r="I25" s="281">
        <f t="shared" ca="1" si="20"/>
        <v>0</v>
      </c>
      <c r="J25" s="96">
        <f t="shared" ca="1" si="20"/>
        <v>0</v>
      </c>
      <c r="K25" s="96">
        <f t="shared" ca="1" si="20"/>
        <v>0</v>
      </c>
      <c r="L25" s="96">
        <f t="shared" ca="1" si="20"/>
        <v>0</v>
      </c>
      <c r="M25" s="96">
        <f t="shared" ca="1" si="20"/>
        <v>0</v>
      </c>
      <c r="N25" s="96">
        <f t="shared" ca="1" si="20"/>
        <v>0</v>
      </c>
      <c r="O25" s="306">
        <f t="shared" ca="1" si="20"/>
        <v>0</v>
      </c>
      <c r="P25" s="568"/>
      <c r="Q25" s="491"/>
      <c r="R25" s="491"/>
      <c r="S25" s="167" t="s">
        <v>395</v>
      </c>
      <c r="T25" s="263"/>
      <c r="U25" s="67">
        <f t="shared" ca="1" si="13"/>
        <v>0</v>
      </c>
      <c r="V25" s="23">
        <f t="shared" ca="1" si="14"/>
        <v>0</v>
      </c>
      <c r="W25" s="23">
        <f t="shared" ca="1" si="15"/>
        <v>0</v>
      </c>
      <c r="X25" s="23">
        <f t="shared" ca="1" si="16"/>
        <v>0</v>
      </c>
      <c r="Y25" s="23">
        <f t="shared" ca="1" si="17"/>
        <v>0</v>
      </c>
      <c r="Z25" s="23">
        <f t="shared" ca="1" si="18"/>
        <v>0</v>
      </c>
      <c r="AA25" s="24">
        <f t="shared" ca="1" si="19"/>
        <v>0</v>
      </c>
      <c r="AB25" s="264"/>
      <c r="AC25" s="139">
        <v>1</v>
      </c>
    </row>
    <row r="26" spans="1:30">
      <c r="A26" s="162"/>
      <c r="B26" s="162"/>
      <c r="C26" s="162" t="s">
        <v>260</v>
      </c>
      <c r="D26" s="162" t="s">
        <v>266</v>
      </c>
      <c r="E26" s="169">
        <f>IF(LEFT($F$3)="E", (2/6)*$H$2, 0)</f>
        <v>0</v>
      </c>
      <c r="F26" s="266">
        <f>IF(LEFT($G$3, 1)="E", 1, 0)</f>
        <v>0</v>
      </c>
      <c r="G26" s="1219"/>
      <c r="H26" s="272" t="s">
        <v>405</v>
      </c>
      <c r="I26" s="281">
        <f t="shared" ca="1" si="20"/>
        <v>0</v>
      </c>
      <c r="J26" s="96">
        <f t="shared" ca="1" si="20"/>
        <v>0</v>
      </c>
      <c r="K26" s="96">
        <f t="shared" ca="1" si="20"/>
        <v>0</v>
      </c>
      <c r="L26" s="96">
        <f t="shared" ca="1" si="20"/>
        <v>0</v>
      </c>
      <c r="M26" s="96">
        <f t="shared" ca="1" si="20"/>
        <v>0</v>
      </c>
      <c r="N26" s="96">
        <f t="shared" ca="1" si="20"/>
        <v>0</v>
      </c>
      <c r="O26" s="306">
        <f t="shared" ca="1" si="20"/>
        <v>0</v>
      </c>
      <c r="P26" s="568"/>
      <c r="Q26" s="491"/>
      <c r="R26" s="491"/>
      <c r="S26" s="491"/>
      <c r="T26" s="263"/>
      <c r="U26" s="67">
        <f t="shared" ca="1" si="13"/>
        <v>0</v>
      </c>
      <c r="V26" s="23">
        <f t="shared" ca="1" si="14"/>
        <v>0</v>
      </c>
      <c r="W26" s="23">
        <f t="shared" ca="1" si="15"/>
        <v>0</v>
      </c>
      <c r="X26" s="23">
        <f t="shared" ca="1" si="16"/>
        <v>0</v>
      </c>
      <c r="Y26" s="23">
        <f t="shared" ca="1" si="17"/>
        <v>0</v>
      </c>
      <c r="Z26" s="23">
        <f t="shared" ca="1" si="18"/>
        <v>0</v>
      </c>
      <c r="AA26" s="24">
        <f t="shared" ca="1" si="19"/>
        <v>0</v>
      </c>
      <c r="AB26" s="264"/>
      <c r="AC26" s="139">
        <v>1</v>
      </c>
    </row>
    <row r="27" spans="1:30" ht="15.75" thickBot="1">
      <c r="A27" s="162"/>
      <c r="B27" s="162"/>
      <c r="C27" s="162" t="s">
        <v>260</v>
      </c>
      <c r="D27" s="162" t="str">
        <f>LEFT($G$3,1) &amp; "S_ProgramStaff"</f>
        <v>HS_ProgramStaff</v>
      </c>
      <c r="E27" s="162"/>
      <c r="F27" s="266">
        <f>IF(LEFT($G$3, 1)="E", 1, 0)</f>
        <v>0</v>
      </c>
      <c r="G27" s="1219"/>
      <c r="H27" s="273" t="s">
        <v>406</v>
      </c>
      <c r="I27" s="282">
        <f t="shared" ref="I27:O27" ca="1" si="21">$F27*VLOOKUP($D27,INDIRECT($B$23 &amp; $B$24), MATCH(I$4,INDIRECT($B$23 &amp; $B$25),0)+6, 0)</f>
        <v>0</v>
      </c>
      <c r="J27" s="221">
        <f t="shared" ca="1" si="21"/>
        <v>0</v>
      </c>
      <c r="K27" s="221">
        <f t="shared" ca="1" si="21"/>
        <v>0</v>
      </c>
      <c r="L27" s="221">
        <f t="shared" ca="1" si="21"/>
        <v>0</v>
      </c>
      <c r="M27" s="221">
        <f t="shared" ca="1" si="21"/>
        <v>0</v>
      </c>
      <c r="N27" s="221">
        <f t="shared" ca="1" si="21"/>
        <v>0</v>
      </c>
      <c r="O27" s="309">
        <f t="shared" ca="1" si="21"/>
        <v>0</v>
      </c>
      <c r="P27" s="569"/>
      <c r="Q27" s="491"/>
      <c r="R27" s="491"/>
      <c r="S27" s="173"/>
      <c r="T27" s="263"/>
      <c r="U27" s="252">
        <f t="shared" ca="1" si="13"/>
        <v>0</v>
      </c>
      <c r="V27" s="65">
        <f t="shared" ca="1" si="14"/>
        <v>0</v>
      </c>
      <c r="W27" s="65">
        <f t="shared" ca="1" si="15"/>
        <v>0</v>
      </c>
      <c r="X27" s="65">
        <f t="shared" ca="1" si="16"/>
        <v>0</v>
      </c>
      <c r="Y27" s="65">
        <f t="shared" ca="1" si="17"/>
        <v>0</v>
      </c>
      <c r="Z27" s="65">
        <f t="shared" ca="1" si="18"/>
        <v>0</v>
      </c>
      <c r="AA27" s="68">
        <f t="shared" ca="1" si="19"/>
        <v>0</v>
      </c>
      <c r="AB27" s="264"/>
      <c r="AC27" s="139">
        <v>1</v>
      </c>
    </row>
    <row r="28" spans="1:30">
      <c r="A28" s="162"/>
      <c r="B28" s="162"/>
      <c r="C28" s="162"/>
      <c r="D28" s="170" t="str">
        <f>LEFT($G$3,1) &amp; "S_CoreStaff"</f>
        <v>HS_CoreStaff</v>
      </c>
      <c r="E28" s="162"/>
      <c r="F28" s="266">
        <f>IF(LEFT($G$3, 1)="E", 0, 1)</f>
        <v>1</v>
      </c>
      <c r="G28" s="1219"/>
      <c r="H28" s="274" t="s">
        <v>407</v>
      </c>
      <c r="I28" s="284">
        <f t="shared" ref="I28:O28" ca="1" si="22">IFERROR($F28*VLOOKUP($D28,INDIRECT($B$23 &amp; $B$24), MATCH(I$4,INDIRECT($B$23 &amp; $B$25),0)+6, 0),0)</f>
        <v>42</v>
      </c>
      <c r="J28" s="220">
        <f t="shared" ca="1" si="22"/>
        <v>42</v>
      </c>
      <c r="K28" s="220">
        <f t="shared" ca="1" si="22"/>
        <v>42</v>
      </c>
      <c r="L28" s="220">
        <f t="shared" ca="1" si="22"/>
        <v>44</v>
      </c>
      <c r="M28" s="220">
        <f t="shared" ca="1" si="22"/>
        <v>44</v>
      </c>
      <c r="N28" s="220">
        <f t="shared" ca="1" si="22"/>
        <v>42</v>
      </c>
      <c r="O28" s="285">
        <f t="shared" ca="1" si="22"/>
        <v>42</v>
      </c>
      <c r="P28" s="567"/>
      <c r="Q28" s="491"/>
      <c r="R28" s="491"/>
      <c r="S28" s="173"/>
      <c r="T28" s="263"/>
      <c r="U28" s="69">
        <f t="shared" ca="1" si="13"/>
        <v>4943591.5199999996</v>
      </c>
      <c r="V28" s="70">
        <f t="shared" ca="1" si="14"/>
        <v>5221355.6632321756</v>
      </c>
      <c r="W28" s="70">
        <f t="shared" ca="1" si="15"/>
        <v>5388690.480157176</v>
      </c>
      <c r="X28" s="70">
        <f t="shared" ca="1" si="16"/>
        <v>5904938.2076940909</v>
      </c>
      <c r="Y28" s="70">
        <f t="shared" ca="1" si="17"/>
        <v>6105086.816470867</v>
      </c>
      <c r="Z28" s="70">
        <f t="shared" ca="1" si="18"/>
        <v>6029454.4944710722</v>
      </c>
      <c r="AA28" s="71">
        <f t="shared" ca="1" si="19"/>
        <v>6242861.62699968</v>
      </c>
      <c r="AB28" s="264"/>
      <c r="AC28" s="139">
        <v>1</v>
      </c>
    </row>
    <row r="29" spans="1:30">
      <c r="A29" s="162"/>
      <c r="B29" s="162"/>
      <c r="C29" s="162"/>
      <c r="D29" s="170" t="str">
        <f>LEFT($G$3,1) &amp; "S_ProgramStaff"</f>
        <v>HS_ProgramStaff</v>
      </c>
      <c r="E29" s="162"/>
      <c r="F29" s="266">
        <f>IF(LEFT($G$3, 1)="E", 0, 1)</f>
        <v>1</v>
      </c>
      <c r="G29" s="1219"/>
      <c r="H29" s="272" t="s">
        <v>408</v>
      </c>
      <c r="I29" s="281">
        <f t="shared" ref="I29:O29" ca="1" si="23">$F29*VLOOKUP($D29,INDIRECT($B$23 &amp; $B$24), MATCH(I$4,INDIRECT($B$23 &amp; $B$25),0)+6, 0)</f>
        <v>1.5</v>
      </c>
      <c r="J29" s="96">
        <f t="shared" ca="1" si="23"/>
        <v>1.5</v>
      </c>
      <c r="K29" s="96">
        <f t="shared" ca="1" si="23"/>
        <v>1.5</v>
      </c>
      <c r="L29" s="96">
        <f t="shared" ca="1" si="23"/>
        <v>3</v>
      </c>
      <c r="M29" s="96">
        <f t="shared" ca="1" si="23"/>
        <v>3</v>
      </c>
      <c r="N29" s="96">
        <f t="shared" ca="1" si="23"/>
        <v>1.5</v>
      </c>
      <c r="O29" s="251">
        <f t="shared" ca="1" si="23"/>
        <v>1.5</v>
      </c>
      <c r="P29" s="568"/>
      <c r="Q29" s="491"/>
      <c r="R29" s="491"/>
      <c r="S29" s="173"/>
      <c r="T29" s="263"/>
      <c r="U29" s="67">
        <f t="shared" ca="1" si="13"/>
        <v>176556.84</v>
      </c>
      <c r="V29" s="23">
        <f t="shared" ca="1" si="14"/>
        <v>186476.98797257771</v>
      </c>
      <c r="W29" s="23">
        <f t="shared" ca="1" si="15"/>
        <v>192453.23143418485</v>
      </c>
      <c r="X29" s="23">
        <f t="shared" ca="1" si="16"/>
        <v>402609.42325186986</v>
      </c>
      <c r="Y29" s="23">
        <f t="shared" ca="1" si="17"/>
        <v>416255.91930483183</v>
      </c>
      <c r="Z29" s="23">
        <f t="shared" ca="1" si="18"/>
        <v>215337.66051682399</v>
      </c>
      <c r="AA29" s="24">
        <f t="shared" ca="1" si="19"/>
        <v>222959.34382141713</v>
      </c>
      <c r="AB29" s="264"/>
      <c r="AC29" s="139">
        <v>1</v>
      </c>
    </row>
    <row r="30" spans="1:30">
      <c r="A30" s="162"/>
      <c r="B30" s="162"/>
      <c r="C30" s="162"/>
      <c r="D30" s="171" t="str">
        <f>LEFT($G$3,1) &amp; "S_librarian"</f>
        <v>HS_librarian</v>
      </c>
      <c r="E30" s="162"/>
      <c r="F30" s="266"/>
      <c r="G30" s="1219"/>
      <c r="H30" s="237" t="s">
        <v>409</v>
      </c>
      <c r="I30" s="281">
        <f t="shared" ref="I30:O32" ca="1" si="24">VLOOKUP($D30,INDIRECT($B$23 &amp; $B$24), MATCH(I$4,INDIRECT($B$23 &amp; $B$25),0)+6, 0)</f>
        <v>1</v>
      </c>
      <c r="J30" s="96">
        <f t="shared" ca="1" si="24"/>
        <v>1</v>
      </c>
      <c r="K30" s="96">
        <f t="shared" ca="1" si="24"/>
        <v>1</v>
      </c>
      <c r="L30" s="96">
        <f t="shared" ca="1" si="24"/>
        <v>1</v>
      </c>
      <c r="M30" s="96">
        <f t="shared" ca="1" si="24"/>
        <v>1</v>
      </c>
      <c r="N30" s="96">
        <f t="shared" ca="1" si="24"/>
        <v>1</v>
      </c>
      <c r="O30" s="251">
        <f t="shared" ca="1" si="24"/>
        <v>1</v>
      </c>
      <c r="P30" s="568"/>
      <c r="Q30" s="491"/>
      <c r="R30" s="491"/>
      <c r="S30" s="173"/>
      <c r="T30" s="263"/>
      <c r="U30" s="67">
        <f t="shared" ca="1" si="13"/>
        <v>117704.56</v>
      </c>
      <c r="V30" s="23">
        <f t="shared" ca="1" si="14"/>
        <v>124317.99198171847</v>
      </c>
      <c r="W30" s="23">
        <f t="shared" ca="1" si="15"/>
        <v>128302.15428945656</v>
      </c>
      <c r="X30" s="23">
        <f t="shared" ca="1" si="16"/>
        <v>134203.14108395661</v>
      </c>
      <c r="Y30" s="23">
        <f t="shared" ca="1" si="17"/>
        <v>138751.97310161061</v>
      </c>
      <c r="Z30" s="23">
        <f t="shared" ca="1" si="18"/>
        <v>143558.44034454934</v>
      </c>
      <c r="AA30" s="24">
        <f t="shared" ca="1" si="19"/>
        <v>148639.56254761142</v>
      </c>
      <c r="AB30" s="264"/>
      <c r="AC30" s="139">
        <v>1</v>
      </c>
    </row>
    <row r="31" spans="1:30">
      <c r="A31" s="162"/>
      <c r="B31" s="162"/>
      <c r="C31" s="162"/>
      <c r="D31" s="162" t="str">
        <f>LEFT($G$3,1) &amp; "S_ESL"</f>
        <v>HS_ESL</v>
      </c>
      <c r="E31" s="162"/>
      <c r="F31" s="266"/>
      <c r="G31" s="1219"/>
      <c r="H31" s="272" t="s">
        <v>410</v>
      </c>
      <c r="I31" s="281">
        <f t="shared" ca="1" si="24"/>
        <v>0.5</v>
      </c>
      <c r="J31" s="96">
        <f t="shared" ca="1" si="24"/>
        <v>0.5</v>
      </c>
      <c r="K31" s="96">
        <f t="shared" ca="1" si="24"/>
        <v>0.5</v>
      </c>
      <c r="L31" s="96">
        <f t="shared" ca="1" si="24"/>
        <v>1</v>
      </c>
      <c r="M31" s="96">
        <f t="shared" ca="1" si="24"/>
        <v>1</v>
      </c>
      <c r="N31" s="96">
        <f t="shared" ca="1" si="24"/>
        <v>0.5</v>
      </c>
      <c r="O31" s="251">
        <f t="shared" ca="1" si="24"/>
        <v>0.5</v>
      </c>
      <c r="P31" s="568"/>
      <c r="Q31" s="492"/>
      <c r="R31" s="492"/>
      <c r="S31" s="184" t="s">
        <v>411</v>
      </c>
      <c r="T31" s="286"/>
      <c r="U31" s="67">
        <f t="shared" ca="1" si="13"/>
        <v>58852.28</v>
      </c>
      <c r="V31" s="23">
        <f t="shared" ca="1" si="14"/>
        <v>62158.995990859235</v>
      </c>
      <c r="W31" s="23">
        <f t="shared" ca="1" si="15"/>
        <v>64151.077144728282</v>
      </c>
      <c r="X31" s="23">
        <f t="shared" ca="1" si="16"/>
        <v>134203.14108395661</v>
      </c>
      <c r="Y31" s="23">
        <f t="shared" ca="1" si="17"/>
        <v>138751.97310161061</v>
      </c>
      <c r="Z31" s="23">
        <f t="shared" ca="1" si="18"/>
        <v>71779.220172274669</v>
      </c>
      <c r="AA31" s="24">
        <f t="shared" ca="1" si="19"/>
        <v>74319.781273805711</v>
      </c>
      <c r="AB31" s="264"/>
      <c r="AC31" s="139">
        <v>1</v>
      </c>
    </row>
    <row r="32" spans="1:30">
      <c r="A32" s="162"/>
      <c r="B32" s="162"/>
      <c r="C32" s="162"/>
      <c r="D32" s="162" t="str">
        <f>LEFT($G$3,1) &amp; "S_SpEd"</f>
        <v>HS_SpEd</v>
      </c>
      <c r="E32" s="162"/>
      <c r="F32" s="266"/>
      <c r="G32" s="1219"/>
      <c r="H32" s="237" t="s">
        <v>412</v>
      </c>
      <c r="I32" s="281">
        <f t="shared" ca="1" si="24"/>
        <v>5.75</v>
      </c>
      <c r="J32" s="96">
        <f t="shared" ca="1" si="24"/>
        <v>5.75</v>
      </c>
      <c r="K32" s="96">
        <f t="shared" ca="1" si="24"/>
        <v>5.75</v>
      </c>
      <c r="L32" s="96">
        <f t="shared" ca="1" si="24"/>
        <v>5.75</v>
      </c>
      <c r="M32" s="96">
        <f t="shared" ca="1" si="24"/>
        <v>5.75</v>
      </c>
      <c r="N32" s="96">
        <f t="shared" ca="1" si="24"/>
        <v>5.75</v>
      </c>
      <c r="O32" s="251">
        <f t="shared" ca="1" si="24"/>
        <v>5.75</v>
      </c>
      <c r="P32" s="568"/>
      <c r="Q32" s="492"/>
      <c r="R32" s="492"/>
      <c r="S32" s="176" t="s">
        <v>413</v>
      </c>
      <c r="T32" s="287"/>
      <c r="U32" s="67">
        <f t="shared" ca="1" si="13"/>
        <v>676801.22</v>
      </c>
      <c r="V32" s="23">
        <f t="shared" ca="1" si="14"/>
        <v>714828.45389488118</v>
      </c>
      <c r="W32" s="23">
        <f t="shared" ca="1" si="15"/>
        <v>737737.38716437528</v>
      </c>
      <c r="X32" s="23">
        <f t="shared" ca="1" si="16"/>
        <v>771668.06123275054</v>
      </c>
      <c r="Y32" s="23">
        <f t="shared" ca="1" si="17"/>
        <v>797823.84533426096</v>
      </c>
      <c r="Z32" s="23">
        <f t="shared" ca="1" si="18"/>
        <v>825461.03198115865</v>
      </c>
      <c r="AA32" s="24">
        <f t="shared" ca="1" si="19"/>
        <v>854677.48464876565</v>
      </c>
      <c r="AB32" s="264"/>
      <c r="AC32" s="139">
        <v>1</v>
      </c>
    </row>
    <row r="33" spans="1:29">
      <c r="A33" s="162"/>
      <c r="B33" s="162"/>
      <c r="C33" s="162"/>
      <c r="D33" s="162"/>
      <c r="E33" s="162"/>
      <c r="F33" s="266"/>
      <c r="G33" s="1219"/>
      <c r="H33" s="272" t="s">
        <v>414</v>
      </c>
      <c r="I33" s="281"/>
      <c r="J33" s="96"/>
      <c r="K33" s="96"/>
      <c r="L33" s="96"/>
      <c r="M33" s="96"/>
      <c r="N33" s="96"/>
      <c r="O33" s="251"/>
      <c r="P33" s="570">
        <f ca="1">INDEX(INDIRECT($S$31 &amp; $S$32),MATCH($T33,INDIRECT($S$31 &amp; $S$33),0),MATCH($G$3,INDIRECT($S$31 &amp; $S$34),0))</f>
        <v>102.12140845082305</v>
      </c>
      <c r="Q33" s="492"/>
      <c r="R33" s="492"/>
      <c r="S33" s="176" t="s">
        <v>415</v>
      </c>
      <c r="T33" s="288" t="s">
        <v>416</v>
      </c>
      <c r="U33" s="67">
        <f ca="1">$P33*$H$2</f>
        <v>102121.40845082306</v>
      </c>
      <c r="V33" s="23">
        <f t="shared" ref="V33:AA34" ca="1" si="25">U33*(1+J$7)</f>
        <v>107500.69244259129</v>
      </c>
      <c r="W33" s="23">
        <f t="shared" ca="1" si="25"/>
        <v>110920.63115980469</v>
      </c>
      <c r="X33" s="23">
        <f t="shared" ca="1" si="25"/>
        <v>116574.83816607911</v>
      </c>
      <c r="Y33" s="23">
        <f t="shared" ca="1" si="25"/>
        <v>120538.59443558977</v>
      </c>
      <c r="Z33" s="23">
        <f t="shared" ca="1" si="25"/>
        <v>124743.3805239494</v>
      </c>
      <c r="AA33" s="24">
        <f t="shared" ca="1" si="25"/>
        <v>129205.91526252325</v>
      </c>
      <c r="AB33" s="264"/>
      <c r="AC33" s="139">
        <v>1</v>
      </c>
    </row>
    <row r="34" spans="1:29">
      <c r="A34" s="162"/>
      <c r="B34" s="162"/>
      <c r="C34" s="162"/>
      <c r="D34" s="162"/>
      <c r="E34" s="162"/>
      <c r="F34" s="266"/>
      <c r="G34" s="1219"/>
      <c r="H34" s="272" t="s">
        <v>417</v>
      </c>
      <c r="I34" s="281"/>
      <c r="J34" s="96"/>
      <c r="K34" s="96"/>
      <c r="L34" s="96"/>
      <c r="M34" s="96"/>
      <c r="N34" s="96"/>
      <c r="O34" s="251"/>
      <c r="P34" s="570">
        <f ca="1">INDEX(INDIRECT($S$31 &amp; $S$32),MATCH($T34,INDIRECT($S$31 &amp; $S$33),0),MATCH($G$3,INDIRECT($S$31 &amp; $S$34),0))</f>
        <v>14.560893068284205</v>
      </c>
      <c r="Q34" s="492"/>
      <c r="R34" s="492"/>
      <c r="S34" s="176" t="s">
        <v>418</v>
      </c>
      <c r="T34" s="288" t="s">
        <v>419</v>
      </c>
      <c r="U34" s="67">
        <f ca="1">$P34*$H$2</f>
        <v>14560.893068284206</v>
      </c>
      <c r="V34" s="23">
        <f t="shared" ca="1" si="25"/>
        <v>15327.893643151805</v>
      </c>
      <c r="W34" s="23">
        <f t="shared" ca="1" si="25"/>
        <v>15815.522659602449</v>
      </c>
      <c r="X34" s="23">
        <f t="shared" ca="1" si="25"/>
        <v>16621.72289570624</v>
      </c>
      <c r="Y34" s="23">
        <f t="shared" ca="1" si="25"/>
        <v>17186.891669469082</v>
      </c>
      <c r="Z34" s="23">
        <f t="shared" ca="1" si="25"/>
        <v>17786.427472357042</v>
      </c>
      <c r="AA34" s="24">
        <f t="shared" ca="1" si="25"/>
        <v>18422.714144540652</v>
      </c>
      <c r="AB34" s="264"/>
      <c r="AC34" s="139">
        <v>1</v>
      </c>
    </row>
    <row r="35" spans="1:29" ht="15.75" thickBot="1">
      <c r="A35" s="162"/>
      <c r="B35" s="162"/>
      <c r="C35" s="162"/>
      <c r="D35" s="162" t="str">
        <f>LEFT($G$3,1) &amp; "S_ASSP"</f>
        <v>HS_ASSP</v>
      </c>
      <c r="E35" s="162"/>
      <c r="F35" s="266">
        <f>IF(LEFT($G$3, 1)="E", 0, 1)</f>
        <v>1</v>
      </c>
      <c r="G35" s="1219"/>
      <c r="H35" s="473" t="s">
        <v>420</v>
      </c>
      <c r="I35" s="474">
        <f t="shared" ref="I35:O35" ca="1" si="26">IFERROR($F35*VLOOKUP($D35,INDIRECT($B$23 &amp; $B$24), MATCH(I$4,INDIRECT($B$23 &amp; $B$25),0)+6, 0),0)</f>
        <v>2.5</v>
      </c>
      <c r="J35" s="475">
        <f t="shared" ca="1" si="26"/>
        <v>2.5</v>
      </c>
      <c r="K35" s="475">
        <f t="shared" ca="1" si="26"/>
        <v>2.5</v>
      </c>
      <c r="L35" s="475">
        <f t="shared" ca="1" si="26"/>
        <v>2.5</v>
      </c>
      <c r="M35" s="475">
        <f t="shared" ca="1" si="26"/>
        <v>2.5</v>
      </c>
      <c r="N35" s="475">
        <f t="shared" ca="1" si="26"/>
        <v>2.5</v>
      </c>
      <c r="O35" s="476">
        <f t="shared" ca="1" si="26"/>
        <v>2.5</v>
      </c>
      <c r="P35" s="571"/>
      <c r="Q35" s="493"/>
      <c r="R35" s="493"/>
      <c r="S35" s="173"/>
      <c r="T35" s="263"/>
      <c r="U35" s="455">
        <f t="shared" ref="U35:AA35" ca="1" si="27">((U$7*(1+U$18))+U$17+U$19)*I35</f>
        <v>294261.40000000002</v>
      </c>
      <c r="V35" s="456">
        <f t="shared" ca="1" si="27"/>
        <v>310794.9799542962</v>
      </c>
      <c r="W35" s="456">
        <f t="shared" ca="1" si="27"/>
        <v>320755.38572364143</v>
      </c>
      <c r="X35" s="456">
        <f t="shared" ca="1" si="27"/>
        <v>335507.85270989151</v>
      </c>
      <c r="Y35" s="456">
        <f t="shared" ca="1" si="27"/>
        <v>346879.93275402649</v>
      </c>
      <c r="Z35" s="456">
        <f t="shared" ca="1" si="27"/>
        <v>358896.10086137336</v>
      </c>
      <c r="AA35" s="529">
        <f t="shared" ca="1" si="27"/>
        <v>371598.90636902855</v>
      </c>
      <c r="AB35" s="264"/>
      <c r="AC35" s="139">
        <v>1</v>
      </c>
    </row>
    <row r="36" spans="1:29">
      <c r="A36" s="162"/>
      <c r="B36" s="162"/>
      <c r="C36" s="162"/>
      <c r="D36" s="162" t="str">
        <f>LEFT($G$3,1) &amp; "S_Couns"</f>
        <v>HS_Couns</v>
      </c>
      <c r="E36" s="162"/>
      <c r="F36" s="266">
        <v>1</v>
      </c>
      <c r="G36" s="1219"/>
      <c r="H36" s="477" t="s">
        <v>421</v>
      </c>
      <c r="I36" s="478">
        <f t="shared" ref="I36:O37" ca="1" si="28">VLOOKUP($D36,INDIRECT($B$23 &amp; $B$24), MATCH(I$4,INDIRECT($B$23 &amp; $B$25),0)+6, 0)</f>
        <v>3.5</v>
      </c>
      <c r="J36" s="479">
        <f t="shared" ca="1" si="28"/>
        <v>3.5</v>
      </c>
      <c r="K36" s="479">
        <f t="shared" ca="1" si="28"/>
        <v>3.5</v>
      </c>
      <c r="L36" s="479">
        <f t="shared" ca="1" si="28"/>
        <v>4</v>
      </c>
      <c r="M36" s="479">
        <f t="shared" ca="1" si="28"/>
        <v>4</v>
      </c>
      <c r="N36" s="479">
        <f t="shared" ca="1" si="28"/>
        <v>3.5</v>
      </c>
      <c r="O36" s="480">
        <f t="shared" ca="1" si="28"/>
        <v>3.5</v>
      </c>
      <c r="P36" s="572"/>
      <c r="Q36" s="493"/>
      <c r="R36" s="493"/>
      <c r="S36" s="173"/>
      <c r="T36" s="263"/>
      <c r="U36" s="530">
        <f t="shared" ref="U36:AA36" ca="1" si="29">((U$10*(1+U$18))+U$17+U$19)*I36</f>
        <v>418948.1267338593</v>
      </c>
      <c r="V36" s="531">
        <f t="shared" ca="1" si="29"/>
        <v>442518.74108682189</v>
      </c>
      <c r="W36" s="531">
        <f t="shared" ca="1" si="29"/>
        <v>456698.91021980642</v>
      </c>
      <c r="X36" s="531">
        <f t="shared" ca="1" si="29"/>
        <v>545968.34630222537</v>
      </c>
      <c r="Y36" s="531">
        <f t="shared" ca="1" si="29"/>
        <v>564474.98759225057</v>
      </c>
      <c r="Z36" s="531">
        <f t="shared" ca="1" si="29"/>
        <v>511027.21272167878</v>
      </c>
      <c r="AA36" s="532">
        <f t="shared" ca="1" si="29"/>
        <v>529117.81678091863</v>
      </c>
      <c r="AB36" s="264"/>
      <c r="AC36" s="139">
        <v>1</v>
      </c>
    </row>
    <row r="37" spans="1:29">
      <c r="A37" s="162"/>
      <c r="B37" s="162"/>
      <c r="C37" s="162"/>
      <c r="D37" s="162" t="str">
        <f>LEFT($G$3,1) &amp; "S_InstAsst"</f>
        <v>HS_InstAsst</v>
      </c>
      <c r="E37" s="162"/>
      <c r="F37" s="266">
        <v>1</v>
      </c>
      <c r="G37" s="1219"/>
      <c r="H37" s="447" t="s">
        <v>293</v>
      </c>
      <c r="I37" s="448">
        <f t="shared" ca="1" si="28"/>
        <v>1.2</v>
      </c>
      <c r="J37" s="176">
        <f t="shared" ca="1" si="28"/>
        <v>1.2</v>
      </c>
      <c r="K37" s="176">
        <f t="shared" ca="1" si="28"/>
        <v>1.2</v>
      </c>
      <c r="L37" s="176">
        <f t="shared" ca="1" si="28"/>
        <v>4</v>
      </c>
      <c r="M37" s="176">
        <f t="shared" ca="1" si="28"/>
        <v>4</v>
      </c>
      <c r="N37" s="176">
        <f t="shared" ca="1" si="28"/>
        <v>1.2</v>
      </c>
      <c r="O37" s="449">
        <f t="shared" ca="1" si="28"/>
        <v>1.2</v>
      </c>
      <c r="P37" s="573"/>
      <c r="Q37" s="493"/>
      <c r="R37" s="493"/>
      <c r="S37" s="173"/>
      <c r="T37" s="263"/>
      <c r="U37" s="533">
        <f t="shared" ref="U37:AA37" ca="1" si="30">((U$12*8*185*(1+U$18-U$22))+U$17+U$19)*I37</f>
        <v>68385.147646552767</v>
      </c>
      <c r="V37" s="177">
        <f t="shared" ca="1" si="30"/>
        <v>71456.4959430741</v>
      </c>
      <c r="W37" s="177">
        <f t="shared" ca="1" si="30"/>
        <v>73606.470490253487</v>
      </c>
      <c r="X37" s="177">
        <f t="shared" ca="1" si="30"/>
        <v>251377.77291752351</v>
      </c>
      <c r="Y37" s="177">
        <f t="shared" ca="1" si="30"/>
        <v>258390.30106465044</v>
      </c>
      <c r="Z37" s="177">
        <f t="shared" ca="1" si="30"/>
        <v>79725.67602306843</v>
      </c>
      <c r="AA37" s="534">
        <f t="shared" ca="1" si="30"/>
        <v>81922.539253642564</v>
      </c>
      <c r="AB37" s="264"/>
      <c r="AC37" s="139">
        <v>1</v>
      </c>
    </row>
    <row r="38" spans="1:29" ht="15.75" thickBot="1">
      <c r="A38" s="162"/>
      <c r="B38" s="162"/>
      <c r="C38" s="162"/>
      <c r="D38" s="172" t="s">
        <v>292</v>
      </c>
      <c r="E38" s="162"/>
      <c r="F38" s="266">
        <f>IF(LEFT($G$3, 1)="H", 1, 0)</f>
        <v>1</v>
      </c>
      <c r="G38" s="1220"/>
      <c r="H38" s="450" t="s">
        <v>422</v>
      </c>
      <c r="I38" s="451">
        <f t="shared" ref="I38:O38" ca="1" si="31">$F38*VLOOKUP($D38,INDIRECT($B$23 &amp; $B$24), MATCH(I$4,INDIRECT($B$23 &amp; $B$25),0)+6, 0)</f>
        <v>1</v>
      </c>
      <c r="J38" s="452">
        <f t="shared" ca="1" si="31"/>
        <v>1</v>
      </c>
      <c r="K38" s="452">
        <f t="shared" ca="1" si="31"/>
        <v>1</v>
      </c>
      <c r="L38" s="452">
        <f t="shared" ca="1" si="31"/>
        <v>1</v>
      </c>
      <c r="M38" s="452">
        <f t="shared" ca="1" si="31"/>
        <v>1</v>
      </c>
      <c r="N38" s="452">
        <f t="shared" ca="1" si="31"/>
        <v>1</v>
      </c>
      <c r="O38" s="453">
        <f t="shared" ca="1" si="31"/>
        <v>1</v>
      </c>
      <c r="P38" s="574"/>
      <c r="Q38" s="493"/>
      <c r="R38" s="493"/>
      <c r="S38" s="173"/>
      <c r="T38" s="263"/>
      <c r="U38" s="535">
        <f t="shared" ref="U38:AA38" ca="1" si="32">((U$7*(1+U$18))+U$17+U$19)*I38</f>
        <v>117704.56</v>
      </c>
      <c r="V38" s="536">
        <f t="shared" ca="1" si="32"/>
        <v>124317.99198171847</v>
      </c>
      <c r="W38" s="536">
        <f t="shared" ca="1" si="32"/>
        <v>128302.15428945656</v>
      </c>
      <c r="X38" s="536">
        <f t="shared" ca="1" si="32"/>
        <v>134203.14108395661</v>
      </c>
      <c r="Y38" s="536">
        <f t="shared" ca="1" si="32"/>
        <v>138751.97310161061</v>
      </c>
      <c r="Z38" s="536">
        <f t="shared" ca="1" si="32"/>
        <v>143558.44034454934</v>
      </c>
      <c r="AA38" s="537">
        <f t="shared" ca="1" si="32"/>
        <v>148639.56254761142</v>
      </c>
      <c r="AB38" s="264"/>
      <c r="AC38" s="139">
        <v>1</v>
      </c>
    </row>
    <row r="39" spans="1:29" ht="15" hidden="1" customHeight="1" outlineLevel="1">
      <c r="A39" s="172"/>
      <c r="B39" s="172"/>
      <c r="C39" s="162"/>
      <c r="D39" s="162"/>
      <c r="E39" s="162"/>
      <c r="F39" s="161"/>
      <c r="G39" s="268"/>
      <c r="H39" s="270"/>
      <c r="I39" s="277"/>
      <c r="J39" s="277"/>
      <c r="K39" s="277"/>
      <c r="L39" s="277"/>
      <c r="M39" s="277"/>
      <c r="N39" s="277"/>
      <c r="O39" s="277"/>
      <c r="P39" s="277"/>
      <c r="Q39" s="263"/>
      <c r="R39" s="263"/>
      <c r="S39" s="173"/>
      <c r="T39" s="173"/>
      <c r="U39" s="289"/>
      <c r="V39" s="289"/>
      <c r="W39" s="289"/>
      <c r="X39" s="289"/>
      <c r="Y39" s="289"/>
      <c r="Z39" s="289"/>
      <c r="AA39" s="289"/>
      <c r="AB39" s="264"/>
      <c r="AC39" s="139">
        <v>0</v>
      </c>
    </row>
    <row r="40" spans="1:29" ht="15.95" hidden="1" customHeight="1" outlineLevel="1" thickBot="1">
      <c r="A40" s="178"/>
      <c r="B40" s="178"/>
      <c r="C40" s="144"/>
      <c r="D40" s="144"/>
      <c r="E40" s="144"/>
      <c r="F40" s="143"/>
      <c r="G40" s="179"/>
      <c r="H40" s="113"/>
      <c r="I40" s="180"/>
      <c r="J40" s="180"/>
      <c r="K40" s="180"/>
      <c r="L40" s="180"/>
      <c r="M40" s="180"/>
      <c r="N40" s="180"/>
      <c r="O40" s="180"/>
      <c r="P40" s="180"/>
      <c r="Q40" s="287"/>
      <c r="R40" s="287"/>
      <c r="S40" s="176"/>
      <c r="T40" s="176"/>
      <c r="U40" s="540"/>
      <c r="V40" s="540"/>
      <c r="W40" s="540"/>
      <c r="X40" s="540"/>
      <c r="Y40" s="540"/>
      <c r="Z40" s="540"/>
      <c r="AA40" s="540"/>
      <c r="AB40" s="521"/>
      <c r="AC40" s="139">
        <v>0</v>
      </c>
    </row>
    <row r="41" spans="1:29" ht="15" hidden="1" customHeight="1" outlineLevel="1">
      <c r="A41" s="178"/>
      <c r="B41" s="178"/>
      <c r="C41" s="143"/>
      <c r="D41" s="143"/>
      <c r="E41" s="143"/>
      <c r="F41" s="143"/>
      <c r="G41" s="179"/>
      <c r="H41" s="113"/>
      <c r="I41" s="180"/>
      <c r="J41" s="180"/>
      <c r="K41" s="180"/>
      <c r="L41" s="180"/>
      <c r="M41" s="180"/>
      <c r="N41" s="180"/>
      <c r="O41" s="180"/>
      <c r="P41" s="186"/>
      <c r="Q41" s="494"/>
      <c r="R41" s="494"/>
      <c r="S41" s="188" t="s">
        <v>398</v>
      </c>
      <c r="T41" s="494" t="str">
        <f>LEFT($G$3,1) &amp; "S_AIT"</f>
        <v>HS_AIT</v>
      </c>
      <c r="U41" s="278">
        <f t="shared" ref="U41:AA41" ca="1" si="33">INDEX(INDIRECT($S$41 &amp; $S$42), MATCH($T$41, INDIRECT($S$41 &amp; $S$43), 0), MATCH(U$4, INDIRECT($S$41 &amp; $S$44),0))</f>
        <v>2</v>
      </c>
      <c r="V41" s="279">
        <f t="shared" ca="1" si="33"/>
        <v>2</v>
      </c>
      <c r="W41" s="279">
        <f t="shared" ca="1" si="33"/>
        <v>2</v>
      </c>
      <c r="X41" s="279">
        <f t="shared" ca="1" si="33"/>
        <v>4</v>
      </c>
      <c r="Y41" s="279">
        <f t="shared" ca="1" si="33"/>
        <v>4</v>
      </c>
      <c r="Z41" s="279">
        <f t="shared" ca="1" si="33"/>
        <v>2</v>
      </c>
      <c r="AA41" s="280">
        <f t="shared" ca="1" si="33"/>
        <v>2</v>
      </c>
      <c r="AB41" s="521"/>
      <c r="AC41" s="139">
        <v>0</v>
      </c>
    </row>
    <row r="42" spans="1:29" ht="15" hidden="1" customHeight="1" outlineLevel="1">
      <c r="A42" s="178"/>
      <c r="B42" s="178"/>
      <c r="C42" s="143"/>
      <c r="D42" s="143"/>
      <c r="E42" s="143"/>
      <c r="F42" s="143"/>
      <c r="G42" s="179"/>
      <c r="H42" s="113"/>
      <c r="I42" s="180"/>
      <c r="J42" s="180"/>
      <c r="K42" s="180"/>
      <c r="L42" s="180"/>
      <c r="M42" s="180"/>
      <c r="N42" s="180"/>
      <c r="O42" s="180"/>
      <c r="P42" s="186"/>
      <c r="Q42" s="494"/>
      <c r="R42" s="494"/>
      <c r="S42" s="189" t="s">
        <v>423</v>
      </c>
      <c r="T42" s="538" t="s">
        <v>198</v>
      </c>
      <c r="U42" s="281">
        <f t="shared" ref="U42:AA42" ca="1" si="34">INDEX(INDIRECT($S$41 &amp; $S$42), MATCH($T$41, INDIRECT($S$41 &amp; $S$43), 0), MATCH($T$42, INDIRECT($S$41 &amp; $S$44),0))</f>
        <v>4</v>
      </c>
      <c r="V42" s="96">
        <f t="shared" ca="1" si="34"/>
        <v>4</v>
      </c>
      <c r="W42" s="96">
        <f t="shared" ca="1" si="34"/>
        <v>4</v>
      </c>
      <c r="X42" s="96">
        <f t="shared" ca="1" si="34"/>
        <v>4</v>
      </c>
      <c r="Y42" s="96">
        <f t="shared" ca="1" si="34"/>
        <v>4</v>
      </c>
      <c r="Z42" s="96">
        <f t="shared" ca="1" si="34"/>
        <v>4</v>
      </c>
      <c r="AA42" s="251">
        <f t="shared" ca="1" si="34"/>
        <v>4</v>
      </c>
      <c r="AB42" s="521"/>
      <c r="AC42" s="139">
        <v>0</v>
      </c>
    </row>
    <row r="43" spans="1:29" ht="15" hidden="1" customHeight="1" outlineLevel="1">
      <c r="A43" s="178"/>
      <c r="B43" s="178"/>
      <c r="C43" s="143"/>
      <c r="D43" s="143"/>
      <c r="E43" s="143"/>
      <c r="F43" s="143"/>
      <c r="G43" s="179"/>
      <c r="H43" s="113"/>
      <c r="I43" s="180"/>
      <c r="J43" s="180"/>
      <c r="K43" s="180"/>
      <c r="L43" s="180"/>
      <c r="M43" s="180"/>
      <c r="N43" s="180"/>
      <c r="O43" s="180"/>
      <c r="P43" s="186"/>
      <c r="Q43" s="494"/>
      <c r="R43" s="494"/>
      <c r="S43" s="189" t="s">
        <v>424</v>
      </c>
      <c r="T43" s="494" t="str">
        <f>T41 &amp; "/" &amp;T42</f>
        <v>HS_AIT/QEM</v>
      </c>
      <c r="U43" s="542">
        <f ca="1">U41/U42</f>
        <v>0.5</v>
      </c>
      <c r="V43" s="104">
        <f t="shared" ref="V43:AA43" ca="1" si="35">V41/V42</f>
        <v>0.5</v>
      </c>
      <c r="W43" s="104">
        <f t="shared" ca="1" si="35"/>
        <v>0.5</v>
      </c>
      <c r="X43" s="104">
        <f t="shared" ca="1" si="35"/>
        <v>1</v>
      </c>
      <c r="Y43" s="104">
        <f t="shared" ca="1" si="35"/>
        <v>1</v>
      </c>
      <c r="Z43" s="104">
        <f t="shared" ca="1" si="35"/>
        <v>0.5</v>
      </c>
      <c r="AA43" s="543">
        <f t="shared" ca="1" si="35"/>
        <v>0.5</v>
      </c>
      <c r="AB43" s="521"/>
      <c r="AC43" s="139">
        <v>0</v>
      </c>
    </row>
    <row r="44" spans="1:29" ht="15" hidden="1" customHeight="1" outlineLevel="1">
      <c r="A44" s="178"/>
      <c r="B44" s="178"/>
      <c r="C44" s="143"/>
      <c r="D44" s="143"/>
      <c r="E44" s="143"/>
      <c r="F44" s="143"/>
      <c r="G44" s="179"/>
      <c r="H44" s="113"/>
      <c r="I44" s="180"/>
      <c r="J44" s="180"/>
      <c r="K44" s="180"/>
      <c r="L44" s="180"/>
      <c r="M44" s="180"/>
      <c r="N44" s="180"/>
      <c r="O44" s="180"/>
      <c r="P44" s="186"/>
      <c r="Q44" s="494"/>
      <c r="R44" s="494"/>
      <c r="S44" s="189" t="s">
        <v>425</v>
      </c>
      <c r="T44" s="539" t="s">
        <v>364</v>
      </c>
      <c r="U44" s="249">
        <f t="shared" ref="U44:AA44" ca="1" si="36">VLOOKUP($T44, $D$7:$O$12, MATCH(U$4, $D$4:$O$4, 0), 0)</f>
        <v>4.3937732328771073E-2</v>
      </c>
      <c r="V44" s="105">
        <f t="shared" ca="1" si="36"/>
        <v>5.2675379955796853E-2</v>
      </c>
      <c r="W44" s="105">
        <f t="shared" ca="1" si="36"/>
        <v>3.1813178496871153E-2</v>
      </c>
      <c r="X44" s="105">
        <f t="shared" ca="1" si="36"/>
        <v>5.0975250926298177E-2</v>
      </c>
      <c r="Y44" s="105">
        <f t="shared" ca="1" si="36"/>
        <v>3.4001816617267533E-2</v>
      </c>
      <c r="Z44" s="105">
        <f t="shared" ca="1" si="36"/>
        <v>3.4883317729463625E-2</v>
      </c>
      <c r="AA44" s="250">
        <f t="shared" ca="1" si="36"/>
        <v>3.5773719774389923E-2</v>
      </c>
      <c r="AB44" s="522"/>
      <c r="AC44" s="139">
        <v>0</v>
      </c>
    </row>
    <row r="45" spans="1:29" ht="15" hidden="1" customHeight="1" outlineLevel="1">
      <c r="A45" s="178"/>
      <c r="B45" s="178"/>
      <c r="C45" s="143"/>
      <c r="D45" s="143"/>
      <c r="E45" s="143"/>
      <c r="F45" s="143"/>
      <c r="G45" s="179"/>
      <c r="H45" s="113"/>
      <c r="I45" s="180"/>
      <c r="J45" s="180"/>
      <c r="K45" s="180"/>
      <c r="L45" s="180"/>
      <c r="M45" s="180"/>
      <c r="N45" s="180"/>
      <c r="O45" s="180"/>
      <c r="P45" s="186"/>
      <c r="Q45" s="494"/>
      <c r="R45" s="494"/>
      <c r="S45" s="184" t="s">
        <v>426</v>
      </c>
      <c r="T45" s="494" t="s">
        <v>427</v>
      </c>
      <c r="U45" s="249"/>
      <c r="V45" s="105">
        <f ca="1">V44</f>
        <v>5.2675379955796853E-2</v>
      </c>
      <c r="W45" s="105">
        <f ca="1">(1+V45)*(1+W44)-1</f>
        <v>8.6164329717592247E-2</v>
      </c>
      <c r="X45" s="105">
        <f ca="1">(1+W45)*(1+X44)-1</f>
        <v>0.141531828972141</v>
      </c>
      <c r="Y45" s="105">
        <f ca="1">(1+X45)*(1+Y44)-1</f>
        <v>0.18034598488362574</v>
      </c>
      <c r="Z45" s="105">
        <f ca="1">(1+Y45)*(1+Z44)-1</f>
        <v>0.22152036890501803</v>
      </c>
      <c r="AA45" s="250">
        <f ca="1">(1+Z45)*(1+AA44)-1</f>
        <v>0.26521869628093553</v>
      </c>
      <c r="AB45" s="522"/>
      <c r="AC45" s="139">
        <v>0</v>
      </c>
    </row>
    <row r="46" spans="1:29" ht="15" hidden="1" customHeight="1" outlineLevel="1">
      <c r="A46" s="178"/>
      <c r="B46" s="178"/>
      <c r="C46" s="143"/>
      <c r="D46" s="143"/>
      <c r="E46" s="143"/>
      <c r="F46" s="143"/>
      <c r="G46" s="179"/>
      <c r="H46" s="113"/>
      <c r="I46" s="180"/>
      <c r="J46" s="180"/>
      <c r="K46" s="180"/>
      <c r="L46" s="180"/>
      <c r="M46" s="180"/>
      <c r="N46" s="180"/>
      <c r="O46" s="180"/>
      <c r="P46" s="186"/>
      <c r="Q46" s="494"/>
      <c r="R46" s="494"/>
      <c r="S46" s="187" t="s">
        <v>428</v>
      </c>
      <c r="T46" s="494" t="s">
        <v>378</v>
      </c>
      <c r="U46" s="249">
        <f t="shared" ref="U46:AA46" ca="1" si="37">VLOOKUP($T46, $D$7:$O$12, MATCH(U$4, $D$4:$O$4, 0), 0)</f>
        <v>8.1000000000000072E-2</v>
      </c>
      <c r="V46" s="105">
        <f t="shared" ca="1" si="37"/>
        <v>4.3834138486312457E-2</v>
      </c>
      <c r="W46" s="105">
        <f t="shared" ca="1" si="37"/>
        <v>2.8486102532427338E-2</v>
      </c>
      <c r="X46" s="105">
        <f t="shared" ca="1" si="37"/>
        <v>2.2641118124436477E-2</v>
      </c>
      <c r="Y46" s="105">
        <f t="shared" ca="1" si="37"/>
        <v>2.5124742571344671E-2</v>
      </c>
      <c r="Z46" s="105">
        <f t="shared" ca="1" si="37"/>
        <v>2.5992818155702424E-2</v>
      </c>
      <c r="AA46" s="250">
        <f t="shared" ca="1" si="37"/>
        <v>2.4542600896860889E-2</v>
      </c>
      <c r="AB46" s="522"/>
      <c r="AC46" s="139">
        <v>0</v>
      </c>
    </row>
    <row r="47" spans="1:29" ht="15" hidden="1" customHeight="1" outlineLevel="1">
      <c r="A47" s="178"/>
      <c r="B47" s="178"/>
      <c r="C47" s="143"/>
      <c r="D47" s="143"/>
      <c r="E47" s="143"/>
      <c r="F47" s="143"/>
      <c r="G47" s="179"/>
      <c r="H47" s="113"/>
      <c r="I47" s="180"/>
      <c r="J47" s="180"/>
      <c r="K47" s="180"/>
      <c r="L47" s="180"/>
      <c r="M47" s="180"/>
      <c r="N47" s="180"/>
      <c r="O47" s="180"/>
      <c r="P47" s="186"/>
      <c r="Q47" s="494"/>
      <c r="R47" s="494"/>
      <c r="S47" s="187" t="s">
        <v>429</v>
      </c>
      <c r="T47" s="494" t="s">
        <v>430</v>
      </c>
      <c r="U47" s="249"/>
      <c r="V47" s="105">
        <f ca="1">V46</f>
        <v>4.3834138486312457E-2</v>
      </c>
      <c r="W47" s="105">
        <f ca="1">(1+V47)*(1+W46)-1</f>
        <v>7.3568904782081779E-2</v>
      </c>
      <c r="X47" s="105">
        <f ca="1">(1+W47)*(1+X46)-1</f>
        <v>9.7875705169975014E-2</v>
      </c>
      <c r="Y47" s="105">
        <f ca="1">(1+X47)*(1+Y46)-1</f>
        <v>0.12545954963770423</v>
      </c>
      <c r="Z47" s="105">
        <f ca="1">(1+Y47)*(1+Z46)-1</f>
        <v>0.1547134150530356</v>
      </c>
      <c r="AA47" s="250">
        <f ca="1">(1+Z47)*(1+AA46)-1</f>
        <v>0.18305308554893363</v>
      </c>
      <c r="AB47" s="522"/>
      <c r="AC47" s="139">
        <v>0</v>
      </c>
    </row>
    <row r="48" spans="1:29" ht="15" hidden="1" customHeight="1" outlineLevel="1">
      <c r="A48" s="178"/>
      <c r="B48" s="178"/>
      <c r="C48" s="143"/>
      <c r="D48" s="143"/>
      <c r="E48" s="143"/>
      <c r="F48" s="143"/>
      <c r="G48" s="179"/>
      <c r="H48" s="113"/>
      <c r="I48" s="180"/>
      <c r="J48" s="180"/>
      <c r="K48" s="180"/>
      <c r="L48" s="180"/>
      <c r="M48" s="180"/>
      <c r="N48" s="180"/>
      <c r="O48" s="180"/>
      <c r="P48" s="186"/>
      <c r="Q48" s="494"/>
      <c r="R48" s="494"/>
      <c r="S48" s="187" t="s">
        <v>431</v>
      </c>
      <c r="T48" s="494" t="s">
        <v>432</v>
      </c>
      <c r="U48" s="249">
        <f t="shared" ref="U48:AA48" ca="1" si="38">VLOOKUP($T48,INDIRECT($S$45 &amp; $S$46), MATCH(U$4, INDIRECT($S$45 &amp; $S$48), 0), 0)</f>
        <v>7.0547861313106974E-2</v>
      </c>
      <c r="V48" s="105">
        <f t="shared" ca="1" si="38"/>
        <v>3.6285147071598134E-2</v>
      </c>
      <c r="W48" s="105">
        <f t="shared" ca="1" si="38"/>
        <v>1.9822455990704757E-2</v>
      </c>
      <c r="X48" s="105">
        <f t="shared" ca="1" si="38"/>
        <v>2.1685549903348367E-2</v>
      </c>
      <c r="Y48" s="105">
        <f t="shared" ca="1" si="38"/>
        <v>2.2299011614558939E-2</v>
      </c>
      <c r="Z48" s="105">
        <f t="shared" ca="1" si="38"/>
        <v>2.2811108999718055E-2</v>
      </c>
      <c r="AA48" s="250">
        <f t="shared" ca="1" si="38"/>
        <v>2.3117392100695966E-2</v>
      </c>
      <c r="AB48" s="522"/>
      <c r="AC48" s="139">
        <v>0</v>
      </c>
    </row>
    <row r="49" spans="1:29" ht="15.95" hidden="1" customHeight="1" outlineLevel="1" thickBot="1">
      <c r="A49" s="178"/>
      <c r="B49" s="178"/>
      <c r="C49" s="143"/>
      <c r="D49" s="143"/>
      <c r="E49" s="143"/>
      <c r="F49" s="143"/>
      <c r="G49" s="179"/>
      <c r="H49" s="113"/>
      <c r="I49" s="180"/>
      <c r="J49" s="180"/>
      <c r="K49" s="180"/>
      <c r="L49" s="180"/>
      <c r="M49" s="180"/>
      <c r="N49" s="180"/>
      <c r="O49" s="180"/>
      <c r="P49" s="186"/>
      <c r="Q49" s="494"/>
      <c r="R49" s="494"/>
      <c r="S49" s="187"/>
      <c r="T49" s="494" t="s">
        <v>433</v>
      </c>
      <c r="U49" s="461"/>
      <c r="V49" s="462">
        <f ca="1">V48</f>
        <v>3.6285147071598134E-2</v>
      </c>
      <c r="W49" s="462">
        <f ca="1">(1+V49)*(1+W48)-1</f>
        <v>5.6826863793245863E-2</v>
      </c>
      <c r="X49" s="462">
        <f ca="1">(1+W49)*(1+X48)-1</f>
        <v>7.9744735487233376E-2</v>
      </c>
      <c r="Y49" s="462">
        <f ca="1">(1+X49)*(1+Y48)-1</f>
        <v>0.10382197588462216</v>
      </c>
      <c r="Z49" s="462">
        <f ca="1">(1+Y49)*(1+Z48)-1</f>
        <v>0.12900137929281041</v>
      </c>
      <c r="AA49" s="544">
        <f ca="1">(1+Z49)*(1+AA48)-1</f>
        <v>0.15510094686014897</v>
      </c>
      <c r="AB49" s="522"/>
      <c r="AC49" s="139">
        <v>0</v>
      </c>
    </row>
    <row r="50" spans="1:29" ht="15" hidden="1" customHeight="1" outlineLevel="1">
      <c r="A50" s="178"/>
      <c r="B50" s="178"/>
      <c r="C50" s="143"/>
      <c r="D50" s="143"/>
      <c r="E50" s="143"/>
      <c r="F50" s="143"/>
      <c r="G50" s="179"/>
      <c r="H50" s="113"/>
      <c r="I50" s="180"/>
      <c r="J50" s="180"/>
      <c r="K50" s="180"/>
      <c r="L50" s="180"/>
      <c r="M50" s="186"/>
      <c r="N50" s="180"/>
      <c r="O50" s="180"/>
      <c r="P50" s="180"/>
      <c r="Q50" s="495"/>
      <c r="R50" s="495"/>
      <c r="S50" s="180"/>
      <c r="T50" s="180"/>
      <c r="U50" s="541"/>
      <c r="V50" s="541"/>
      <c r="W50" s="541"/>
      <c r="X50" s="541"/>
      <c r="Y50" s="541"/>
      <c r="Z50" s="541"/>
      <c r="AA50" s="541"/>
      <c r="AB50" s="293"/>
      <c r="AC50" s="139">
        <v>0</v>
      </c>
    </row>
    <row r="51" spans="1:29" ht="15.95" hidden="1" customHeight="1" outlineLevel="1" thickBot="1">
      <c r="A51" s="178"/>
      <c r="B51" s="185" t="s">
        <v>434</v>
      </c>
      <c r="C51" s="143"/>
      <c r="D51" s="143"/>
      <c r="E51" s="143"/>
      <c r="F51" s="143"/>
      <c r="G51" s="295"/>
      <c r="H51" s="296"/>
      <c r="I51" s="297"/>
      <c r="J51" s="297"/>
      <c r="K51" s="297"/>
      <c r="L51" s="297"/>
      <c r="M51" s="297"/>
      <c r="N51" s="297"/>
      <c r="O51" s="297"/>
      <c r="P51" s="297"/>
      <c r="Q51" s="495"/>
      <c r="R51" s="495"/>
      <c r="S51" s="180"/>
      <c r="T51" s="180"/>
      <c r="U51" s="297"/>
      <c r="V51" s="297"/>
      <c r="W51" s="297"/>
      <c r="X51" s="297"/>
      <c r="Y51" s="297"/>
      <c r="Z51" s="297"/>
      <c r="AA51" s="297"/>
      <c r="AB51" s="293"/>
      <c r="AC51" s="139">
        <v>0</v>
      </c>
    </row>
    <row r="52" spans="1:29" collapsed="1">
      <c r="A52" s="178"/>
      <c r="B52" s="143" t="s">
        <v>461</v>
      </c>
      <c r="C52" s="144" t="str">
        <f>LEFT($G$3,1) &amp; "S_SumSchool"</f>
        <v>HS_SumSchool</v>
      </c>
      <c r="D52" s="143"/>
      <c r="E52" s="143"/>
      <c r="F52" s="290">
        <v>20</v>
      </c>
      <c r="G52" s="1218" t="s">
        <v>436</v>
      </c>
      <c r="H52" s="271" t="s">
        <v>437</v>
      </c>
      <c r="I52" s="278">
        <f t="shared" ref="I52:O53" ca="1" si="39">INDEX(INDIRECT($B$51 &amp; $B$52), MATCH($C52, INDIRECT($B$51 &amp; $B$53),0), MATCH(I$4, INDIRECT($B$51 &amp; $B$54),0))</f>
        <v>13</v>
      </c>
      <c r="J52" s="279">
        <f t="shared" ca="1" si="39"/>
        <v>13</v>
      </c>
      <c r="K52" s="279">
        <f t="shared" ca="1" si="39"/>
        <v>13</v>
      </c>
      <c r="L52" s="279">
        <f t="shared" ca="1" si="39"/>
        <v>13</v>
      </c>
      <c r="M52" s="279">
        <f t="shared" ca="1" si="39"/>
        <v>13</v>
      </c>
      <c r="N52" s="279">
        <f t="shared" ca="1" si="39"/>
        <v>13</v>
      </c>
      <c r="O52" s="280">
        <f t="shared" ca="1" si="39"/>
        <v>13</v>
      </c>
      <c r="P52" s="323">
        <f ca="1">INDEX(INDIRECT($S$52 &amp; $S$53), MATCH($T52, INDIRECT($S$52 &amp; $S$54),0), MATCH(I$4, INDIRECT($S$52 &amp; $S$55),0))</f>
        <v>516.10915789473677</v>
      </c>
      <c r="Q52" s="496"/>
      <c r="R52" s="496"/>
      <c r="S52" s="190" t="s">
        <v>363</v>
      </c>
      <c r="T52" s="336" t="s">
        <v>438</v>
      </c>
      <c r="U52" s="259">
        <f ca="1">$P52*$F52*I52*U43</f>
        <v>67094.190526315782</v>
      </c>
      <c r="V52" s="260">
        <f t="shared" ref="V52:AA52" ca="1" si="40">$P52*$F52*J52*V43*(1+V45)</f>
        <v>70628.402505116086</v>
      </c>
      <c r="W52" s="260">
        <f t="shared" ca="1" si="40"/>
        <v>72875.316480960217</v>
      </c>
      <c r="X52" s="260">
        <f t="shared" ca="1" si="40"/>
        <v>153180.30804982109</v>
      </c>
      <c r="Y52" s="260">
        <f t="shared" ca="1" si="40"/>
        <v>158388.71679350766</v>
      </c>
      <c r="Z52" s="260">
        <f t="shared" ca="1" si="40"/>
        <v>81956.920363088822</v>
      </c>
      <c r="AA52" s="261">
        <f t="shared" ca="1" si="40"/>
        <v>84888.824265729956</v>
      </c>
      <c r="AB52" s="293"/>
      <c r="AC52" s="139">
        <v>1</v>
      </c>
    </row>
    <row r="53" spans="1:29">
      <c r="A53" s="178"/>
      <c r="B53" s="143" t="s">
        <v>464</v>
      </c>
      <c r="C53" s="144" t="str">
        <f>LEFT($G$3,1) &amp; "S_ClsfdSumSchool"</f>
        <v>HS_ClsfdSumSchool</v>
      </c>
      <c r="D53" s="143"/>
      <c r="E53" s="143"/>
      <c r="F53" s="290">
        <v>20</v>
      </c>
      <c r="G53" s="1230"/>
      <c r="H53" s="272" t="s">
        <v>440</v>
      </c>
      <c r="I53" s="281">
        <f t="shared" ca="1" si="39"/>
        <v>4</v>
      </c>
      <c r="J53" s="96">
        <f t="shared" ca="1" si="39"/>
        <v>4</v>
      </c>
      <c r="K53" s="96">
        <f t="shared" ca="1" si="39"/>
        <v>4</v>
      </c>
      <c r="L53" s="96">
        <f t="shared" ca="1" si="39"/>
        <v>4</v>
      </c>
      <c r="M53" s="96">
        <f t="shared" ca="1" si="39"/>
        <v>4</v>
      </c>
      <c r="N53" s="96">
        <f t="shared" ca="1" si="39"/>
        <v>4</v>
      </c>
      <c r="O53" s="251">
        <f t="shared" ca="1" si="39"/>
        <v>4</v>
      </c>
      <c r="P53" s="312">
        <f ca="1">INDEX(INDIRECT($S$52 &amp; $S$53), MATCH($T53, INDIRECT($S$52 &amp; $S$54),0), MATCH(I$4, INDIRECT($S$52 &amp; $S$55),0))</f>
        <v>259.32602366853928</v>
      </c>
      <c r="Q53" s="496"/>
      <c r="R53" s="496"/>
      <c r="S53" s="191" t="s">
        <v>441</v>
      </c>
      <c r="T53" s="337" t="s">
        <v>442</v>
      </c>
      <c r="U53" s="67">
        <f ca="1">$P53*$F53*I53*U43</f>
        <v>10373.04094674157</v>
      </c>
      <c r="V53" s="23">
        <f t="shared" ref="V53:AA53" ca="1" si="41">$P53*$F53*J53*V43*(1+V47)</f>
        <v>10827.734260125231</v>
      </c>
      <c r="W53" s="23">
        <f t="shared" ca="1" si="41"/>
        <v>11136.174208453036</v>
      </c>
      <c r="X53" s="23">
        <f t="shared" ca="1" si="41"/>
        <v>22776.619288321854</v>
      </c>
      <c r="Y53" s="23">
        <f t="shared" ca="1" si="41"/>
        <v>23348.875984586466</v>
      </c>
      <c r="Z53" s="23">
        <f t="shared" ca="1" si="41"/>
        <v>11977.889536096933</v>
      </c>
      <c r="AA53" s="24">
        <f t="shared" ca="1" si="41"/>
        <v>12271.858098568046</v>
      </c>
      <c r="AB53" s="293"/>
      <c r="AC53" s="139">
        <v>1</v>
      </c>
    </row>
    <row r="54" spans="1:29">
      <c r="A54" s="178"/>
      <c r="B54" s="143" t="s">
        <v>443</v>
      </c>
      <c r="C54" s="144" t="str">
        <f>LEFT($G$3,1) &amp; "S_SumSchlSupplies"</f>
        <v>HS_SumSchlSupplies</v>
      </c>
      <c r="D54" s="143"/>
      <c r="E54" s="143"/>
      <c r="F54" s="290">
        <f>IF(LEFT($F$3,1) = "E", 0.2*(5/6)*$H$2, 0.2*$H$2)</f>
        <v>200</v>
      </c>
      <c r="G54" s="1230"/>
      <c r="H54" s="272" t="s">
        <v>444</v>
      </c>
      <c r="I54" s="281"/>
      <c r="J54" s="96"/>
      <c r="K54" s="96"/>
      <c r="L54" s="96"/>
      <c r="M54" s="96"/>
      <c r="N54" s="96"/>
      <c r="O54" s="251"/>
      <c r="P54" s="312">
        <f ca="1">INDEX(INDIRECT($B$51 &amp; $B$52), MATCH($C54, INDIRECT($B$51 &amp; $B$53),0), MATCH(P$4, INDIRECT($B$51 &amp; $B$54),0))</f>
        <v>24</v>
      </c>
      <c r="Q54" s="496"/>
      <c r="R54" s="496"/>
      <c r="S54" s="191" t="s">
        <v>445</v>
      </c>
      <c r="T54" s="338"/>
      <c r="U54" s="67">
        <f ca="1">$P54*$F54*U43</f>
        <v>2400</v>
      </c>
      <c r="V54" s="23">
        <f t="shared" ref="V54:AA54" ca="1" si="42">$P54*$F54*V43*(1+V49)</f>
        <v>2487.0843529718354</v>
      </c>
      <c r="W54" s="23">
        <f t="shared" ca="1" si="42"/>
        <v>2536.3844731037902</v>
      </c>
      <c r="X54" s="23">
        <f t="shared" ca="1" si="42"/>
        <v>5182.7747303387205</v>
      </c>
      <c r="Y54" s="23">
        <f t="shared" ca="1" si="42"/>
        <v>5298.3454842461861</v>
      </c>
      <c r="Z54" s="23">
        <f t="shared" ca="1" si="42"/>
        <v>2709.6033103027448</v>
      </c>
      <c r="AA54" s="24">
        <f t="shared" ca="1" si="42"/>
        <v>2772.2422724643575</v>
      </c>
      <c r="AB54" s="293"/>
      <c r="AC54" s="139">
        <v>1</v>
      </c>
    </row>
    <row r="55" spans="1:29" ht="15" hidden="1" customHeight="1" outlineLevel="1">
      <c r="A55" s="178"/>
      <c r="B55" s="144"/>
      <c r="C55" s="144"/>
      <c r="D55" s="143"/>
      <c r="E55" s="143"/>
      <c r="F55" s="290"/>
      <c r="G55" s="1230"/>
      <c r="H55" s="317"/>
      <c r="I55" s="321"/>
      <c r="J55" s="180"/>
      <c r="K55" s="180"/>
      <c r="L55" s="180"/>
      <c r="M55" s="180"/>
      <c r="N55" s="180"/>
      <c r="O55" s="298"/>
      <c r="P55" s="321"/>
      <c r="Q55" s="496"/>
      <c r="R55" s="496"/>
      <c r="S55" s="191" t="s">
        <v>375</v>
      </c>
      <c r="T55" s="337"/>
      <c r="U55" s="321"/>
      <c r="V55" s="180"/>
      <c r="W55" s="180"/>
      <c r="X55" s="180"/>
      <c r="Y55" s="180"/>
      <c r="Z55" s="180"/>
      <c r="AA55" s="298"/>
      <c r="AB55" s="293"/>
      <c r="AC55" s="139">
        <v>0</v>
      </c>
    </row>
    <row r="56" spans="1:29" ht="15" hidden="1" customHeight="1" outlineLevel="1">
      <c r="A56" s="154"/>
      <c r="B56" s="154"/>
      <c r="C56" s="154"/>
      <c r="D56" s="154"/>
      <c r="E56" s="154"/>
      <c r="F56" s="291"/>
      <c r="G56" s="1230"/>
      <c r="H56" s="318"/>
      <c r="I56" s="322"/>
      <c r="J56" s="154"/>
      <c r="K56" s="154"/>
      <c r="L56" s="154"/>
      <c r="M56" s="154"/>
      <c r="N56" s="154"/>
      <c r="O56" s="299"/>
      <c r="P56" s="322"/>
      <c r="Q56" s="497"/>
      <c r="R56" s="497"/>
      <c r="S56" s="154"/>
      <c r="T56" s="291"/>
      <c r="U56" s="322"/>
      <c r="V56" s="154"/>
      <c r="W56" s="154"/>
      <c r="X56" s="154"/>
      <c r="Y56" s="154"/>
      <c r="Z56" s="154"/>
      <c r="AA56" s="299"/>
      <c r="AB56" s="294"/>
      <c r="AC56" s="139">
        <v>0</v>
      </c>
    </row>
    <row r="57" spans="1:29" ht="15.75" collapsed="1" thickBot="1">
      <c r="A57" s="154"/>
      <c r="B57" s="153" t="s">
        <v>398</v>
      </c>
      <c r="C57" s="79" t="str">
        <f>LEFT($G$3,1) &amp; "S_atRisk"</f>
        <v>HS_atRisk</v>
      </c>
      <c r="D57" s="154"/>
      <c r="E57" s="154"/>
      <c r="F57" s="292">
        <f>IF(LEFT($F$3,1) = "E", $H$2-$F54, $H$2)</f>
        <v>1000</v>
      </c>
      <c r="G57" s="1230"/>
      <c r="H57" s="275" t="s">
        <v>446</v>
      </c>
      <c r="I57" s="282">
        <f t="shared" ref="I57:O57" ca="1" si="43">INDEX(INDIRECT($B$57&amp;$B$58),MATCH($C57,INDIRECT($B$57&amp;$B$59),0),MATCH(I$4,INDIRECT($B$57&amp;$B$60),0))</f>
        <v>0.2</v>
      </c>
      <c r="J57" s="221">
        <f t="shared" ca="1" si="43"/>
        <v>0.25</v>
      </c>
      <c r="K57" s="221">
        <f t="shared" ca="1" si="43"/>
        <v>0.25</v>
      </c>
      <c r="L57" s="221">
        <f t="shared" ca="1" si="43"/>
        <v>0.25</v>
      </c>
      <c r="M57" s="221">
        <f t="shared" ca="1" si="43"/>
        <v>0.25</v>
      </c>
      <c r="N57" s="221">
        <f t="shared" ca="1" si="43"/>
        <v>0.25</v>
      </c>
      <c r="O57" s="283">
        <f t="shared" ca="1" si="43"/>
        <v>0.25</v>
      </c>
      <c r="P57" s="324">
        <f ca="1">INDEX(INDIRECT($B$51 &amp; $B$52), MATCH($C57, INDIRECT($B$51 &amp; $B$53),0), MATCH(P$4, INDIRECT($B$51 &amp; $B$54),0))</f>
        <v>461</v>
      </c>
      <c r="Q57" s="498"/>
      <c r="R57" s="498"/>
      <c r="S57" s="100"/>
      <c r="T57" s="339"/>
      <c r="U57" s="252">
        <f ca="1">$P57*I57*$F$57</f>
        <v>92200</v>
      </c>
      <c r="V57" s="65">
        <f t="shared" ref="V57:AA57" ca="1" si="44">$P57*J57*$F$57*(1+V45)</f>
        <v>121320.83753990558</v>
      </c>
      <c r="W57" s="65">
        <f t="shared" ca="1" si="44"/>
        <v>125180.4389999525</v>
      </c>
      <c r="X57" s="65">
        <f t="shared" ca="1" si="44"/>
        <v>131561.54328903925</v>
      </c>
      <c r="Y57" s="65">
        <f t="shared" ca="1" si="44"/>
        <v>136034.87475783785</v>
      </c>
      <c r="Z57" s="65">
        <f t="shared" ca="1" si="44"/>
        <v>140780.22251630333</v>
      </c>
      <c r="AA57" s="68">
        <f t="shared" ca="1" si="44"/>
        <v>145816.45474637783</v>
      </c>
      <c r="AB57" s="340"/>
      <c r="AC57" s="139">
        <v>1</v>
      </c>
    </row>
    <row r="58" spans="1:29" ht="15" hidden="1" customHeight="1" outlineLevel="1">
      <c r="A58" s="154"/>
      <c r="B58" s="154" t="s">
        <v>423</v>
      </c>
      <c r="C58" s="154"/>
      <c r="D58" s="154"/>
      <c r="E58" s="154"/>
      <c r="F58" s="291"/>
      <c r="G58" s="1230"/>
      <c r="H58" s="316"/>
      <c r="I58" s="319"/>
      <c r="J58" s="319"/>
      <c r="K58" s="319"/>
      <c r="L58" s="319"/>
      <c r="M58" s="319"/>
      <c r="N58" s="319"/>
      <c r="O58" s="320"/>
      <c r="P58" s="320"/>
      <c r="Q58" s="498"/>
      <c r="R58" s="498"/>
      <c r="S58" s="100"/>
      <c r="T58" s="100"/>
      <c r="U58" s="341"/>
      <c r="V58" s="341"/>
      <c r="W58" s="341"/>
      <c r="X58" s="341"/>
      <c r="Y58" s="341"/>
      <c r="Z58" s="341"/>
      <c r="AA58" s="341"/>
      <c r="AB58" s="340"/>
      <c r="AC58" s="139">
        <v>0</v>
      </c>
    </row>
    <row r="59" spans="1:29" ht="15" hidden="1" customHeight="1" outlineLevel="1">
      <c r="A59" s="154"/>
      <c r="B59" s="154" t="s">
        <v>424</v>
      </c>
      <c r="C59" s="154"/>
      <c r="D59" s="154"/>
      <c r="E59" s="154"/>
      <c r="F59" s="291"/>
      <c r="G59" s="1230"/>
      <c r="H59" s="314"/>
      <c r="I59" s="100"/>
      <c r="J59" s="100"/>
      <c r="K59" s="100"/>
      <c r="L59" s="100"/>
      <c r="M59" s="100"/>
      <c r="N59" s="100"/>
      <c r="O59" s="300"/>
      <c r="P59" s="300"/>
      <c r="Q59" s="498"/>
      <c r="R59" s="498"/>
      <c r="S59" s="100"/>
      <c r="T59" s="100"/>
      <c r="U59" s="141"/>
      <c r="V59" s="141"/>
      <c r="W59" s="141"/>
      <c r="X59" s="141"/>
      <c r="Y59" s="141"/>
      <c r="Z59" s="141"/>
      <c r="AA59" s="141"/>
      <c r="AB59" s="340"/>
      <c r="AC59" s="139">
        <v>0</v>
      </c>
    </row>
    <row r="60" spans="1:29" ht="15.95" hidden="1" customHeight="1" outlineLevel="1" thickBot="1">
      <c r="A60" s="154"/>
      <c r="B60" s="154" t="s">
        <v>425</v>
      </c>
      <c r="C60" s="154"/>
      <c r="D60" s="154"/>
      <c r="E60" s="154"/>
      <c r="F60" s="291"/>
      <c r="G60" s="1231"/>
      <c r="H60" s="315"/>
      <c r="I60" s="301"/>
      <c r="J60" s="301"/>
      <c r="K60" s="301"/>
      <c r="L60" s="301"/>
      <c r="M60" s="301"/>
      <c r="N60" s="301"/>
      <c r="O60" s="302"/>
      <c r="P60" s="302"/>
      <c r="Q60" s="498"/>
      <c r="R60" s="498"/>
      <c r="S60" s="100"/>
      <c r="T60" s="100"/>
      <c r="U60" s="141"/>
      <c r="V60" s="141"/>
      <c r="W60" s="141"/>
      <c r="X60" s="141"/>
      <c r="Y60" s="141"/>
      <c r="Z60" s="141"/>
      <c r="AA60" s="141"/>
      <c r="AB60" s="340"/>
      <c r="AC60" s="139">
        <v>0</v>
      </c>
    </row>
    <row r="61" spans="1:29" ht="15" hidden="1" customHeight="1" outlineLevel="1">
      <c r="A61" s="154"/>
      <c r="B61" s="79"/>
      <c r="C61" s="79"/>
      <c r="D61" s="79"/>
      <c r="E61" s="79"/>
      <c r="F61" s="79"/>
      <c r="G61" s="80"/>
      <c r="H61" s="80"/>
      <c r="I61" s="80"/>
      <c r="J61" s="80"/>
      <c r="K61" s="80"/>
      <c r="L61" s="80"/>
      <c r="M61" s="80"/>
      <c r="N61" s="80"/>
      <c r="O61" s="80"/>
      <c r="P61" s="80"/>
      <c r="Q61" s="292"/>
      <c r="R61" s="292"/>
      <c r="S61" s="79"/>
      <c r="T61" s="79"/>
      <c r="U61" s="79"/>
      <c r="V61" s="79"/>
      <c r="W61" s="79"/>
      <c r="X61" s="79"/>
      <c r="Y61" s="79"/>
      <c r="Z61" s="79"/>
      <c r="AA61" s="79"/>
      <c r="AB61" s="523"/>
      <c r="AC61" s="139">
        <v>0</v>
      </c>
    </row>
    <row r="62" spans="1:29" ht="15.95" hidden="1" customHeight="1" outlineLevel="1" thickBot="1">
      <c r="A62" s="122"/>
      <c r="B62" s="192" t="s">
        <v>398</v>
      </c>
      <c r="C62" s="95"/>
      <c r="D62" s="95"/>
      <c r="E62" s="95"/>
      <c r="F62" s="95"/>
      <c r="G62" s="326"/>
      <c r="H62" s="326"/>
      <c r="I62" s="326"/>
      <c r="J62" s="326"/>
      <c r="K62" s="326"/>
      <c r="L62" s="326"/>
      <c r="M62" s="326"/>
      <c r="N62" s="326"/>
      <c r="O62" s="326"/>
      <c r="P62" s="326"/>
      <c r="Q62" s="230"/>
      <c r="R62" s="230"/>
      <c r="S62" s="160" t="s">
        <v>385</v>
      </c>
      <c r="T62" s="160" t="s">
        <v>44</v>
      </c>
      <c r="U62" s="343">
        <f t="shared" ref="U62:AA62" ca="1" si="45">INDEX(INDIRECT($S$62 &amp; $S$63), MATCH($T62, INDIRECT($S$62 &amp; $S$64), 0), MATCH(U$4, INDIRECT($S$62 &amp; $S$65), 0))</f>
        <v>5.4000000000000003E-3</v>
      </c>
      <c r="V62" s="343">
        <f t="shared" ca="1" si="45"/>
        <v>6.6E-3</v>
      </c>
      <c r="W62" s="343">
        <f t="shared" ca="1" si="45"/>
        <v>6.6E-3</v>
      </c>
      <c r="X62" s="343">
        <f t="shared" ca="1" si="45"/>
        <v>6.6E-3</v>
      </c>
      <c r="Y62" s="343">
        <f t="shared" ca="1" si="45"/>
        <v>6.6E-3</v>
      </c>
      <c r="Z62" s="343">
        <f t="shared" ca="1" si="45"/>
        <v>6.6E-3</v>
      </c>
      <c r="AA62" s="343">
        <f t="shared" ca="1" si="45"/>
        <v>6.6E-3</v>
      </c>
      <c r="AB62" s="524"/>
      <c r="AC62" s="139">
        <v>0</v>
      </c>
    </row>
    <row r="63" spans="1:29" ht="15.75" collapsed="1" thickBot="1">
      <c r="A63" s="122"/>
      <c r="B63" s="149" t="s">
        <v>423</v>
      </c>
      <c r="C63" s="95" t="str">
        <f>LEFT($G$3,1) &amp; "S_InstImp"</f>
        <v>HS_InstImp</v>
      </c>
      <c r="D63" s="95"/>
      <c r="E63" s="192"/>
      <c r="F63" s="325"/>
      <c r="G63" s="328" t="s">
        <v>447</v>
      </c>
      <c r="H63" s="328" t="s">
        <v>447</v>
      </c>
      <c r="I63" s="332">
        <f t="shared" ref="I63:O63" ca="1" si="46">INDEX(INDIRECT($B$62&amp;$B$63),MATCH($C63,INDIRECT($B$62&amp;$B$64),0),MATCH(I$4,INDIRECT($B$62&amp;$B$65),0))</f>
        <v>2</v>
      </c>
      <c r="J63" s="333">
        <f t="shared" ca="1" si="46"/>
        <v>2</v>
      </c>
      <c r="K63" s="333">
        <f t="shared" ca="1" si="46"/>
        <v>2</v>
      </c>
      <c r="L63" s="333">
        <f t="shared" ca="1" si="46"/>
        <v>4</v>
      </c>
      <c r="M63" s="333">
        <f t="shared" ca="1" si="46"/>
        <v>4</v>
      </c>
      <c r="N63" s="333">
        <f t="shared" ca="1" si="46"/>
        <v>2</v>
      </c>
      <c r="O63" s="334">
        <f t="shared" ca="1" si="46"/>
        <v>2</v>
      </c>
      <c r="P63" s="576"/>
      <c r="Q63" s="575"/>
      <c r="R63" s="575"/>
      <c r="S63" s="159" t="s">
        <v>390</v>
      </c>
      <c r="T63" s="342"/>
      <c r="U63" s="345">
        <f t="shared" ref="U63:AA63" ca="1" si="47">(U7*(1+U18-U62)+U17+U19)*I63</f>
        <v>234617.47999999998</v>
      </c>
      <c r="V63" s="346">
        <f t="shared" ca="1" si="47"/>
        <v>247617.45737280691</v>
      </c>
      <c r="W63" s="346">
        <f t="shared" ca="1" si="47"/>
        <v>255553.37942005158</v>
      </c>
      <c r="X63" s="346">
        <f t="shared" ca="1" si="47"/>
        <v>534603.56326294586</v>
      </c>
      <c r="Y63" s="346">
        <f t="shared" ca="1" si="47"/>
        <v>552723.78128417442</v>
      </c>
      <c r="Z63" s="346">
        <f t="shared" ca="1" si="47"/>
        <v>285934.98644096096</v>
      </c>
      <c r="AA63" s="347">
        <f t="shared" ca="1" si="47"/>
        <v>296054.95009344921</v>
      </c>
      <c r="AB63" s="254"/>
      <c r="AC63" s="139">
        <v>1</v>
      </c>
    </row>
    <row r="64" spans="1:29" ht="15" hidden="1" customHeight="1" outlineLevel="1">
      <c r="A64" s="122"/>
      <c r="B64" s="149" t="s">
        <v>424</v>
      </c>
      <c r="C64" s="95"/>
      <c r="D64" s="95"/>
      <c r="E64" s="149"/>
      <c r="F64" s="149"/>
      <c r="G64" s="327"/>
      <c r="H64" s="329"/>
      <c r="I64" s="331"/>
      <c r="J64" s="331"/>
      <c r="K64" s="331"/>
      <c r="L64" s="331"/>
      <c r="M64" s="331"/>
      <c r="N64" s="331"/>
      <c r="O64" s="331"/>
      <c r="P64" s="335"/>
      <c r="Q64" s="499"/>
      <c r="R64" s="499"/>
      <c r="S64" s="159" t="s">
        <v>394</v>
      </c>
      <c r="T64" s="159"/>
      <c r="U64" s="344"/>
      <c r="V64" s="344"/>
      <c r="W64" s="344"/>
      <c r="X64" s="344"/>
      <c r="Y64" s="344"/>
      <c r="Z64" s="344"/>
      <c r="AA64" s="344"/>
      <c r="AB64" s="254"/>
      <c r="AC64" s="139">
        <v>0</v>
      </c>
    </row>
    <row r="65" spans="1:29" ht="15" hidden="1" customHeight="1" outlineLevel="1">
      <c r="A65" s="122"/>
      <c r="B65" s="149" t="s">
        <v>425</v>
      </c>
      <c r="C65" s="95"/>
      <c r="D65" s="95"/>
      <c r="E65" s="149"/>
      <c r="F65" s="149"/>
      <c r="G65" s="193"/>
      <c r="H65" s="194"/>
      <c r="I65" s="195"/>
      <c r="J65" s="195"/>
      <c r="K65" s="195"/>
      <c r="L65" s="195"/>
      <c r="M65" s="195"/>
      <c r="N65" s="195"/>
      <c r="O65" s="195"/>
      <c r="P65" s="196"/>
      <c r="Q65" s="499"/>
      <c r="R65" s="499"/>
      <c r="S65" s="159" t="s">
        <v>395</v>
      </c>
      <c r="T65" s="159"/>
      <c r="U65" s="159"/>
      <c r="V65" s="159"/>
      <c r="W65" s="159"/>
      <c r="X65" s="159"/>
      <c r="Y65" s="159"/>
      <c r="Z65" s="159"/>
      <c r="AA65" s="159"/>
      <c r="AB65" s="254"/>
      <c r="AC65" s="139">
        <v>0</v>
      </c>
    </row>
    <row r="66" spans="1:29" ht="15" hidden="1" customHeight="1" outlineLevel="1">
      <c r="A66" s="122"/>
      <c r="B66" s="122"/>
      <c r="C66" s="95"/>
      <c r="D66" s="95"/>
      <c r="E66" s="95"/>
      <c r="F66" s="95"/>
      <c r="G66" s="122"/>
      <c r="H66" s="122"/>
      <c r="I66" s="122"/>
      <c r="J66" s="122"/>
      <c r="K66" s="122"/>
      <c r="L66" s="122"/>
      <c r="M66" s="122"/>
      <c r="N66" s="122"/>
      <c r="O66" s="122"/>
      <c r="P66" s="183"/>
      <c r="Q66" s="500"/>
      <c r="R66" s="500"/>
      <c r="S66" s="183"/>
      <c r="T66" s="133"/>
      <c r="U66" s="133"/>
      <c r="V66" s="133"/>
      <c r="W66" s="133"/>
      <c r="X66" s="133"/>
      <c r="Y66" s="133"/>
      <c r="Z66" s="133"/>
      <c r="AA66" s="133"/>
      <c r="AB66" s="254"/>
      <c r="AC66" s="139">
        <v>0</v>
      </c>
    </row>
    <row r="67" spans="1:29" ht="15.95" hidden="1" customHeight="1" outlineLevel="1" thickBot="1">
      <c r="A67" s="89"/>
      <c r="B67" s="89"/>
      <c r="C67" s="89"/>
      <c r="D67" s="89"/>
      <c r="E67" s="89"/>
      <c r="F67" s="89"/>
      <c r="G67" s="89"/>
      <c r="H67" s="89"/>
      <c r="I67" s="89"/>
      <c r="J67" s="89"/>
      <c r="K67" s="89"/>
      <c r="L67" s="89"/>
      <c r="M67" s="89"/>
      <c r="N67" s="89"/>
      <c r="O67" s="89"/>
      <c r="P67" s="89"/>
      <c r="Q67" s="89"/>
      <c r="R67" s="89"/>
      <c r="S67" s="203"/>
      <c r="T67" s="203"/>
      <c r="U67" s="545"/>
      <c r="V67" s="545"/>
      <c r="W67" s="545"/>
      <c r="X67" s="545"/>
      <c r="Y67" s="545"/>
      <c r="Z67" s="545"/>
      <c r="AA67" s="545"/>
      <c r="AB67" s="89"/>
      <c r="AC67" s="139">
        <v>0</v>
      </c>
    </row>
    <row r="68" spans="1:29" collapsed="1">
      <c r="A68" s="89"/>
      <c r="B68" s="211" t="s">
        <v>398</v>
      </c>
      <c r="C68" s="81" t="str">
        <f t="shared" ref="C68:C87" si="48">LEFT($G$3,1) &amp; "S" &amp; D68</f>
        <v>HS_Clsfd</v>
      </c>
      <c r="D68" s="203" t="s">
        <v>448</v>
      </c>
      <c r="E68" s="211"/>
      <c r="F68" s="330"/>
      <c r="G68" s="1224" t="s">
        <v>449</v>
      </c>
      <c r="H68" s="271" t="s">
        <v>450</v>
      </c>
      <c r="I68" s="278">
        <f t="shared" ref="I68:O68" ca="1" si="49">IFERROR(INDEX(INDIRECT($B$68 &amp; $B$69), MATCH($C68, INDIRECT($B$68 &amp; $B$70),0), MATCH(I$4, INDIRECT($B$68 &amp; $B$71), 0)),0)-I69-I70</f>
        <v>12</v>
      </c>
      <c r="J68" s="279">
        <f t="shared" ca="1" si="49"/>
        <v>12</v>
      </c>
      <c r="K68" s="279">
        <f t="shared" ca="1" si="49"/>
        <v>12</v>
      </c>
      <c r="L68" s="279">
        <f t="shared" ca="1" si="49"/>
        <v>10</v>
      </c>
      <c r="M68" s="279">
        <f t="shared" ca="1" si="49"/>
        <v>10</v>
      </c>
      <c r="N68" s="279">
        <f t="shared" ca="1" si="49"/>
        <v>12</v>
      </c>
      <c r="O68" s="280">
        <f t="shared" ca="1" si="49"/>
        <v>12</v>
      </c>
      <c r="P68" s="577"/>
      <c r="Q68" s="501">
        <v>8</v>
      </c>
      <c r="R68" s="501"/>
      <c r="S68" s="206">
        <v>185</v>
      </c>
      <c r="T68" s="354" t="s">
        <v>380</v>
      </c>
      <c r="U68" s="360">
        <f t="shared" ref="U68:Z68" si="50">IF(LEFT($G$3,1)="E", (VLOOKUP($T68, $T$7:$AA$13, MATCH(U$4, $S$4:$AA$4,0),0)*$Q68*$S68*(1+U$18-U$22)+U$17+U$19)*I68, 0)</f>
        <v>0</v>
      </c>
      <c r="V68" s="361">
        <f t="shared" si="50"/>
        <v>0</v>
      </c>
      <c r="W68" s="361">
        <f t="shared" si="50"/>
        <v>0</v>
      </c>
      <c r="X68" s="361">
        <f t="shared" si="50"/>
        <v>0</v>
      </c>
      <c r="Y68" s="361">
        <f t="shared" si="50"/>
        <v>0</v>
      </c>
      <c r="Z68" s="361">
        <f t="shared" si="50"/>
        <v>0</v>
      </c>
      <c r="AA68" s="362">
        <f>IF(LEFT($G$3,1)="E", (VLOOKUP($T68, $T$7:$AA$13, MATCH(AA$4, $T$4:$AA$4,0),0)*$Q68*$S68*(1+AA$18-AA$22)+AA$17+AA$19)*O68, 0)</f>
        <v>0</v>
      </c>
      <c r="AB68" s="89"/>
      <c r="AC68" s="139">
        <v>1</v>
      </c>
    </row>
    <row r="69" spans="1:29">
      <c r="A69" s="81"/>
      <c r="B69" s="212" t="s">
        <v>423</v>
      </c>
      <c r="C69" s="81" t="str">
        <f t="shared" si="48"/>
        <v>HS_SpEdStaff</v>
      </c>
      <c r="D69" s="81" t="s">
        <v>451</v>
      </c>
      <c r="E69" s="81"/>
      <c r="F69" s="82"/>
      <c r="G69" s="1225"/>
      <c r="H69" s="272" t="s">
        <v>452</v>
      </c>
      <c r="I69" s="281">
        <f t="shared" ref="I69:O78" ca="1" si="51">IFERROR(INDEX(INDIRECT($B$73 &amp; $B$74), MATCH($C69, INDIRECT($B$73 &amp; $B$75),0), MATCH(I$4, INDIRECT($B$73 &amp; $B$76), 0)),0)</f>
        <v>9</v>
      </c>
      <c r="J69" s="96">
        <f t="shared" ca="1" si="51"/>
        <v>9</v>
      </c>
      <c r="K69" s="96">
        <f t="shared" ca="1" si="51"/>
        <v>9</v>
      </c>
      <c r="L69" s="96">
        <f t="shared" ca="1" si="51"/>
        <v>9</v>
      </c>
      <c r="M69" s="96">
        <f t="shared" ca="1" si="51"/>
        <v>9</v>
      </c>
      <c r="N69" s="96">
        <f t="shared" ca="1" si="51"/>
        <v>9</v>
      </c>
      <c r="O69" s="251">
        <f t="shared" ca="1" si="51"/>
        <v>9</v>
      </c>
      <c r="P69" s="568"/>
      <c r="Q69" s="501">
        <v>8</v>
      </c>
      <c r="R69" s="501"/>
      <c r="S69" s="206">
        <v>185</v>
      </c>
      <c r="T69" s="354" t="s">
        <v>380</v>
      </c>
      <c r="U69" s="363">
        <f t="shared" ref="U69:U87" ca="1" si="52">(VLOOKUP($T69, $T$7:$AA$13, MATCH(U$4, $S$4:$AA$4,0),0)*$Q69*$S69*(1+$U$18-$U$22)+$U$17+$U$19)*I69</f>
        <v>600615.32714010787</v>
      </c>
      <c r="V69" s="26">
        <f t="shared" ref="V69:V87" ca="1" si="53">(VLOOKUP($T69, $T$7:$AA$13, MATCH(V$4, $S$4:$AA$4,0),0)*$Q69*$S69*(1+V$18-V$22)+V$17+V$19)*J69</f>
        <v>621508.28933661175</v>
      </c>
      <c r="W69" s="26">
        <f t="shared" ref="W69:W87" ca="1" si="54">(VLOOKUP($T69, $T$7:$AA$13, MATCH(W$4, $S$4:$AA$4,0),0)*$Q69*$S69*(1+W$18-W$22)+W$17+W$19)*K69</f>
        <v>637484.57645441988</v>
      </c>
      <c r="X69" s="26">
        <f t="shared" ref="X69:X87" ca="1" si="55">(VLOOKUP($T69, $T$7:$AA$13, MATCH(X$4, $S$4:$AA$4,0),0)*$Q69*$S69*(1+X$18-X$22)+X$17+X$19)*L69</f>
        <v>653877.49540985643</v>
      </c>
      <c r="Y69" s="26">
        <f t="shared" ref="Y69:Y87" ca="1" si="56">(VLOOKUP($T69, $T$7:$AA$13, MATCH(Y$4, $S$4:$AA$4,0),0)*$Q69*$S69*(1+Y$18-Y$22)+Y$17+Y$19)*M69</f>
        <v>672275.35015887674</v>
      </c>
      <c r="Z69" s="26">
        <f t="shared" ref="Z69:Z87" ca="1" si="57">(VLOOKUP($T69, $T$7:$AA$13, MATCH(Z$4, $S$4:$AA$4,0),0)*$Q69*$S69*(1+Z$18-Z$22)+Z$17+Z$19)*N69</f>
        <v>690513.85971186042</v>
      </c>
      <c r="AA69" s="364">
        <f t="shared" ref="AA69:AA87" ca="1" si="58">(VLOOKUP($T69, $T$7:$AA$13, MATCH(AA$4, $T$4:$AA$4,0),0)*$Q69*$S69*(1+AA$18-AA$22)+AA$17+AA$19)*O69</f>
        <v>697323.56489140668</v>
      </c>
      <c r="AB69" s="355"/>
      <c r="AC69" s="139">
        <v>1</v>
      </c>
    </row>
    <row r="70" spans="1:29">
      <c r="A70" s="81"/>
      <c r="B70" s="212" t="s">
        <v>424</v>
      </c>
      <c r="C70" s="81" t="str">
        <f t="shared" si="48"/>
        <v>HS_PrinSec</v>
      </c>
      <c r="D70" s="81" t="s">
        <v>453</v>
      </c>
      <c r="E70" s="81"/>
      <c r="F70" s="82"/>
      <c r="G70" s="1225"/>
      <c r="H70" s="272" t="s">
        <v>454</v>
      </c>
      <c r="I70" s="281">
        <f t="shared" ca="1" si="51"/>
        <v>1</v>
      </c>
      <c r="J70" s="96">
        <f t="shared" ca="1" si="51"/>
        <v>1</v>
      </c>
      <c r="K70" s="96">
        <f t="shared" ca="1" si="51"/>
        <v>1</v>
      </c>
      <c r="L70" s="96">
        <f t="shared" ca="1" si="51"/>
        <v>1</v>
      </c>
      <c r="M70" s="96">
        <f t="shared" ca="1" si="51"/>
        <v>1</v>
      </c>
      <c r="N70" s="96">
        <f t="shared" ca="1" si="51"/>
        <v>1</v>
      </c>
      <c r="O70" s="251">
        <f t="shared" ca="1" si="51"/>
        <v>1</v>
      </c>
      <c r="P70" s="568"/>
      <c r="Q70" s="501">
        <v>8</v>
      </c>
      <c r="R70" s="501"/>
      <c r="S70" s="206">
        <f>IF(LEFT($G$3, 1) = "E", 210,260)</f>
        <v>260</v>
      </c>
      <c r="T70" s="354" t="s">
        <v>384</v>
      </c>
      <c r="U70" s="363">
        <f t="shared" ca="1" si="52"/>
        <v>89323.464449999679</v>
      </c>
      <c r="V70" s="26">
        <f t="shared" ca="1" si="53"/>
        <v>92444.652615552579</v>
      </c>
      <c r="W70" s="26">
        <f t="shared" ca="1" si="54"/>
        <v>94749.330084685062</v>
      </c>
      <c r="X70" s="26">
        <f t="shared" ca="1" si="55"/>
        <v>97111.614992960298</v>
      </c>
      <c r="Y70" s="26">
        <f t="shared" ca="1" si="56"/>
        <v>99791.567977248415</v>
      </c>
      <c r="Z70" s="26">
        <f t="shared" ca="1" si="57"/>
        <v>102433.94859645679</v>
      </c>
      <c r="AA70" s="364">
        <f t="shared" ca="1" si="58"/>
        <v>103190.58250529526</v>
      </c>
      <c r="AB70" s="355"/>
      <c r="AC70" s="139">
        <v>1</v>
      </c>
    </row>
    <row r="71" spans="1:29">
      <c r="A71" s="81"/>
      <c r="B71" s="212" t="s">
        <v>425</v>
      </c>
      <c r="C71" s="81" t="str">
        <f t="shared" si="48"/>
        <v>HS_AltEdTeenParent</v>
      </c>
      <c r="D71" s="81" t="s">
        <v>455</v>
      </c>
      <c r="E71" s="81"/>
      <c r="F71" s="82"/>
      <c r="G71" s="1225"/>
      <c r="H71" s="272" t="s">
        <v>456</v>
      </c>
      <c r="I71" s="281">
        <f t="shared" ca="1" si="51"/>
        <v>1.5</v>
      </c>
      <c r="J71" s="96">
        <f t="shared" ca="1" si="51"/>
        <v>1.5</v>
      </c>
      <c r="K71" s="96">
        <f t="shared" ca="1" si="51"/>
        <v>1.5</v>
      </c>
      <c r="L71" s="96">
        <f t="shared" ca="1" si="51"/>
        <v>1.5</v>
      </c>
      <c r="M71" s="96">
        <f t="shared" ca="1" si="51"/>
        <v>1.5</v>
      </c>
      <c r="N71" s="96">
        <f t="shared" ca="1" si="51"/>
        <v>1.5</v>
      </c>
      <c r="O71" s="251">
        <f t="shared" ca="1" si="51"/>
        <v>1.5</v>
      </c>
      <c r="P71" s="568"/>
      <c r="Q71" s="501">
        <v>8</v>
      </c>
      <c r="R71" s="501"/>
      <c r="S71" s="206">
        <v>220</v>
      </c>
      <c r="T71" s="354" t="s">
        <v>380</v>
      </c>
      <c r="U71" s="363">
        <f t="shared" ca="1" si="52"/>
        <v>113578.60537912048</v>
      </c>
      <c r="V71" s="26">
        <f t="shared" ca="1" si="53"/>
        <v>117537.88808473389</v>
      </c>
      <c r="W71" s="26">
        <f t="shared" ca="1" si="54"/>
        <v>120516.51804689404</v>
      </c>
      <c r="X71" s="26">
        <f t="shared" ca="1" si="55"/>
        <v>123571.33708239562</v>
      </c>
      <c r="Y71" s="26">
        <f t="shared" ca="1" si="56"/>
        <v>127016.92702888962</v>
      </c>
      <c r="Z71" s="26">
        <f t="shared" ca="1" si="57"/>
        <v>130424.10676631154</v>
      </c>
      <c r="AA71" s="364">
        <f t="shared" ca="1" si="58"/>
        <v>131559.05762956926</v>
      </c>
      <c r="AB71" s="355"/>
      <c r="AC71" s="139">
        <v>1</v>
      </c>
    </row>
    <row r="72" spans="1:29">
      <c r="A72" s="81"/>
      <c r="B72" s="81"/>
      <c r="C72" s="81" t="str">
        <f t="shared" si="48"/>
        <v>HS_CounsOffice</v>
      </c>
      <c r="D72" s="81" t="s">
        <v>457</v>
      </c>
      <c r="E72" s="81"/>
      <c r="F72" s="82"/>
      <c r="G72" s="1225"/>
      <c r="H72" s="272" t="s">
        <v>458</v>
      </c>
      <c r="I72" s="281">
        <f t="shared" ca="1" si="51"/>
        <v>2</v>
      </c>
      <c r="J72" s="96">
        <f t="shared" ca="1" si="51"/>
        <v>2</v>
      </c>
      <c r="K72" s="96">
        <f t="shared" ca="1" si="51"/>
        <v>2</v>
      </c>
      <c r="L72" s="96">
        <f t="shared" ca="1" si="51"/>
        <v>2</v>
      </c>
      <c r="M72" s="96">
        <f t="shared" ca="1" si="51"/>
        <v>2</v>
      </c>
      <c r="N72" s="96">
        <f t="shared" ca="1" si="51"/>
        <v>2</v>
      </c>
      <c r="O72" s="251">
        <f t="shared" ca="1" si="51"/>
        <v>2</v>
      </c>
      <c r="P72" s="568"/>
      <c r="Q72" s="501">
        <v>8</v>
      </c>
      <c r="R72" s="501"/>
      <c r="S72" s="206">
        <v>220</v>
      </c>
      <c r="T72" s="354" t="s">
        <v>380</v>
      </c>
      <c r="U72" s="363">
        <f t="shared" ca="1" si="52"/>
        <v>151438.14050549397</v>
      </c>
      <c r="V72" s="26">
        <f t="shared" ca="1" si="53"/>
        <v>156717.18411297852</v>
      </c>
      <c r="W72" s="26">
        <f t="shared" ca="1" si="54"/>
        <v>160688.69072919205</v>
      </c>
      <c r="X72" s="26">
        <f t="shared" ca="1" si="55"/>
        <v>164761.78277652749</v>
      </c>
      <c r="Y72" s="26">
        <f t="shared" ca="1" si="56"/>
        <v>169355.90270518616</v>
      </c>
      <c r="Z72" s="26">
        <f t="shared" ca="1" si="57"/>
        <v>173898.80902174872</v>
      </c>
      <c r="AA72" s="364">
        <f t="shared" ca="1" si="58"/>
        <v>175412.07683942566</v>
      </c>
      <c r="AB72" s="355"/>
      <c r="AC72" s="139">
        <v>1</v>
      </c>
    </row>
    <row r="73" spans="1:29">
      <c r="A73" s="81"/>
      <c r="B73" s="81" t="s">
        <v>434</v>
      </c>
      <c r="C73" s="81" t="str">
        <f t="shared" si="48"/>
        <v>HS_S2W_Coord</v>
      </c>
      <c r="D73" s="81" t="s">
        <v>459</v>
      </c>
      <c r="E73" s="81"/>
      <c r="F73" s="82"/>
      <c r="G73" s="1225"/>
      <c r="H73" s="272" t="s">
        <v>460</v>
      </c>
      <c r="I73" s="281">
        <f t="shared" ca="1" si="51"/>
        <v>2</v>
      </c>
      <c r="J73" s="96">
        <f t="shared" ca="1" si="51"/>
        <v>2</v>
      </c>
      <c r="K73" s="96">
        <f t="shared" ca="1" si="51"/>
        <v>2</v>
      </c>
      <c r="L73" s="96">
        <f t="shared" ca="1" si="51"/>
        <v>2</v>
      </c>
      <c r="M73" s="96">
        <f t="shared" ca="1" si="51"/>
        <v>2</v>
      </c>
      <c r="N73" s="96">
        <f t="shared" ca="1" si="51"/>
        <v>2</v>
      </c>
      <c r="O73" s="251">
        <f t="shared" ca="1" si="51"/>
        <v>2</v>
      </c>
      <c r="P73" s="568"/>
      <c r="Q73" s="501">
        <v>8</v>
      </c>
      <c r="R73" s="501"/>
      <c r="S73" s="206">
        <v>220</v>
      </c>
      <c r="T73" s="354" t="s">
        <v>380</v>
      </c>
      <c r="U73" s="363">
        <f t="shared" ca="1" si="52"/>
        <v>151438.14050549397</v>
      </c>
      <c r="V73" s="26">
        <f t="shared" ca="1" si="53"/>
        <v>156717.18411297852</v>
      </c>
      <c r="W73" s="26">
        <f t="shared" ca="1" si="54"/>
        <v>160688.69072919205</v>
      </c>
      <c r="X73" s="26">
        <f t="shared" ca="1" si="55"/>
        <v>164761.78277652749</v>
      </c>
      <c r="Y73" s="26">
        <f t="shared" ca="1" si="56"/>
        <v>169355.90270518616</v>
      </c>
      <c r="Z73" s="26">
        <f t="shared" ca="1" si="57"/>
        <v>173898.80902174872</v>
      </c>
      <c r="AA73" s="364">
        <f t="shared" ca="1" si="58"/>
        <v>175412.07683942566</v>
      </c>
      <c r="AB73" s="355"/>
      <c r="AC73" s="139">
        <v>1</v>
      </c>
    </row>
    <row r="74" spans="1:29">
      <c r="A74" s="81"/>
      <c r="B74" s="81" t="s">
        <v>435</v>
      </c>
      <c r="C74" s="81" t="str">
        <f t="shared" si="48"/>
        <v>HS_Registrar</v>
      </c>
      <c r="D74" s="81" t="s">
        <v>462</v>
      </c>
      <c r="E74" s="81"/>
      <c r="F74" s="82"/>
      <c r="G74" s="1225"/>
      <c r="H74" s="272" t="s">
        <v>463</v>
      </c>
      <c r="I74" s="281">
        <f t="shared" ca="1" si="51"/>
        <v>0.5</v>
      </c>
      <c r="J74" s="96">
        <f t="shared" ca="1" si="51"/>
        <v>0.5</v>
      </c>
      <c r="K74" s="96">
        <f t="shared" ca="1" si="51"/>
        <v>0.5</v>
      </c>
      <c r="L74" s="96">
        <f t="shared" ca="1" si="51"/>
        <v>0.5</v>
      </c>
      <c r="M74" s="96">
        <f t="shared" ca="1" si="51"/>
        <v>0.5</v>
      </c>
      <c r="N74" s="96">
        <f t="shared" ca="1" si="51"/>
        <v>0.5</v>
      </c>
      <c r="O74" s="251">
        <f t="shared" ca="1" si="51"/>
        <v>0.5</v>
      </c>
      <c r="P74" s="568"/>
      <c r="Q74" s="501">
        <v>8</v>
      </c>
      <c r="R74" s="501"/>
      <c r="S74" s="206">
        <v>260</v>
      </c>
      <c r="T74" s="354" t="s">
        <v>380</v>
      </c>
      <c r="U74" s="363">
        <f t="shared" ca="1" si="52"/>
        <v>42993.268785714128</v>
      </c>
      <c r="V74" s="26">
        <f t="shared" ca="1" si="53"/>
        <v>44494.79057883456</v>
      </c>
      <c r="W74" s="26">
        <f t="shared" ca="1" si="54"/>
        <v>45608.015972897643</v>
      </c>
      <c r="X74" s="26">
        <f t="shared" ca="1" si="55"/>
        <v>46749.209318545662</v>
      </c>
      <c r="Y74" s="26">
        <f t="shared" ca="1" si="56"/>
        <v>48042.227232770252</v>
      </c>
      <c r="Z74" s="26">
        <f t="shared" ca="1" si="57"/>
        <v>49317.92643867583</v>
      </c>
      <c r="AA74" s="364">
        <f t="shared" ca="1" si="58"/>
        <v>49696.243393095065</v>
      </c>
      <c r="AB74" s="355"/>
      <c r="AC74" s="139">
        <v>1</v>
      </c>
    </row>
    <row r="75" spans="1:29">
      <c r="A75" s="81"/>
      <c r="B75" s="81" t="s">
        <v>439</v>
      </c>
      <c r="C75" s="81" t="str">
        <f t="shared" si="48"/>
        <v>HS_Attendance</v>
      </c>
      <c r="D75" s="81" t="s">
        <v>465</v>
      </c>
      <c r="E75" s="81"/>
      <c r="F75" s="82"/>
      <c r="G75" s="1225"/>
      <c r="H75" s="272" t="s">
        <v>466</v>
      </c>
      <c r="I75" s="281">
        <f t="shared" ca="1" si="51"/>
        <v>1</v>
      </c>
      <c r="J75" s="96">
        <f t="shared" ca="1" si="51"/>
        <v>1</v>
      </c>
      <c r="K75" s="96">
        <f t="shared" ca="1" si="51"/>
        <v>1</v>
      </c>
      <c r="L75" s="96">
        <f t="shared" ca="1" si="51"/>
        <v>1</v>
      </c>
      <c r="M75" s="96">
        <f t="shared" ca="1" si="51"/>
        <v>1</v>
      </c>
      <c r="N75" s="96">
        <f t="shared" ca="1" si="51"/>
        <v>1</v>
      </c>
      <c r="O75" s="251">
        <f t="shared" ca="1" si="51"/>
        <v>1</v>
      </c>
      <c r="P75" s="568"/>
      <c r="Q75" s="501">
        <v>8</v>
      </c>
      <c r="R75" s="501"/>
      <c r="S75" s="206">
        <v>185</v>
      </c>
      <c r="T75" s="354" t="s">
        <v>380</v>
      </c>
      <c r="U75" s="363">
        <f t="shared" ca="1" si="52"/>
        <v>66735.036348900874</v>
      </c>
      <c r="V75" s="26">
        <f t="shared" ca="1" si="53"/>
        <v>69056.476592956868</v>
      </c>
      <c r="W75" s="26">
        <f t="shared" ca="1" si="54"/>
        <v>70831.619606046646</v>
      </c>
      <c r="X75" s="26">
        <f t="shared" ca="1" si="55"/>
        <v>72653.055045539601</v>
      </c>
      <c r="Y75" s="26">
        <f t="shared" ca="1" si="56"/>
        <v>74697.261128764076</v>
      </c>
      <c r="Z75" s="26">
        <f t="shared" ca="1" si="57"/>
        <v>76723.762190206719</v>
      </c>
      <c r="AA75" s="364">
        <f t="shared" ca="1" si="58"/>
        <v>77480.396099045189</v>
      </c>
      <c r="AB75" s="355"/>
      <c r="AC75" s="139">
        <v>1</v>
      </c>
    </row>
    <row r="76" spans="1:29">
      <c r="A76" s="81"/>
      <c r="B76" s="81" t="s">
        <v>443</v>
      </c>
      <c r="C76" s="81" t="str">
        <f t="shared" si="48"/>
        <v>HS_CommOutreach</v>
      </c>
      <c r="D76" s="81" t="s">
        <v>467</v>
      </c>
      <c r="E76" s="81"/>
      <c r="F76" s="82"/>
      <c r="G76" s="1225"/>
      <c r="H76" s="272" t="s">
        <v>468</v>
      </c>
      <c r="I76" s="281">
        <f t="shared" ca="1" si="51"/>
        <v>1</v>
      </c>
      <c r="J76" s="96">
        <f t="shared" ca="1" si="51"/>
        <v>1</v>
      </c>
      <c r="K76" s="96">
        <f t="shared" ca="1" si="51"/>
        <v>1</v>
      </c>
      <c r="L76" s="96">
        <f t="shared" ca="1" si="51"/>
        <v>1</v>
      </c>
      <c r="M76" s="96">
        <f t="shared" ca="1" si="51"/>
        <v>1</v>
      </c>
      <c r="N76" s="96">
        <f t="shared" ca="1" si="51"/>
        <v>1</v>
      </c>
      <c r="O76" s="251">
        <f t="shared" ca="1" si="51"/>
        <v>1</v>
      </c>
      <c r="P76" s="568"/>
      <c r="Q76" s="501">
        <v>8</v>
      </c>
      <c r="R76" s="501"/>
      <c r="S76" s="206">
        <v>185</v>
      </c>
      <c r="T76" s="354" t="s">
        <v>380</v>
      </c>
      <c r="U76" s="363">
        <f t="shared" ca="1" si="52"/>
        <v>66735.036348900874</v>
      </c>
      <c r="V76" s="26">
        <f t="shared" ca="1" si="53"/>
        <v>69056.476592956868</v>
      </c>
      <c r="W76" s="26">
        <f t="shared" ca="1" si="54"/>
        <v>70831.619606046646</v>
      </c>
      <c r="X76" s="26">
        <f t="shared" ca="1" si="55"/>
        <v>72653.055045539601</v>
      </c>
      <c r="Y76" s="26">
        <f t="shared" ca="1" si="56"/>
        <v>74697.261128764076</v>
      </c>
      <c r="Z76" s="26">
        <f t="shared" ca="1" si="57"/>
        <v>76723.762190206719</v>
      </c>
      <c r="AA76" s="364">
        <f t="shared" ca="1" si="58"/>
        <v>77480.396099045189</v>
      </c>
      <c r="AB76" s="355"/>
      <c r="AC76" s="139">
        <v>1</v>
      </c>
    </row>
    <row r="77" spans="1:29">
      <c r="A77" s="81"/>
      <c r="B77" s="81"/>
      <c r="C77" s="81" t="str">
        <f t="shared" si="48"/>
        <v>HS_FamResCenCoord</v>
      </c>
      <c r="D77" s="81" t="s">
        <v>469</v>
      </c>
      <c r="E77" s="81"/>
      <c r="F77" s="82"/>
      <c r="G77" s="1225"/>
      <c r="H77" s="272" t="s">
        <v>470</v>
      </c>
      <c r="I77" s="281">
        <f t="shared" ca="1" si="51"/>
        <v>1</v>
      </c>
      <c r="J77" s="96">
        <f t="shared" ca="1" si="51"/>
        <v>1</v>
      </c>
      <c r="K77" s="96">
        <f t="shared" ca="1" si="51"/>
        <v>1</v>
      </c>
      <c r="L77" s="96">
        <f t="shared" ca="1" si="51"/>
        <v>1</v>
      </c>
      <c r="M77" s="96">
        <f t="shared" ca="1" si="51"/>
        <v>1</v>
      </c>
      <c r="N77" s="96">
        <f t="shared" ca="1" si="51"/>
        <v>1</v>
      </c>
      <c r="O77" s="251">
        <f t="shared" ca="1" si="51"/>
        <v>1</v>
      </c>
      <c r="P77" s="568"/>
      <c r="Q77" s="501">
        <v>8</v>
      </c>
      <c r="R77" s="501"/>
      <c r="S77" s="206">
        <v>185</v>
      </c>
      <c r="T77" s="354" t="s">
        <v>380</v>
      </c>
      <c r="U77" s="363">
        <f t="shared" ca="1" si="52"/>
        <v>66735.036348900874</v>
      </c>
      <c r="V77" s="26">
        <f t="shared" ca="1" si="53"/>
        <v>69056.476592956868</v>
      </c>
      <c r="W77" s="26">
        <f t="shared" ca="1" si="54"/>
        <v>70831.619606046646</v>
      </c>
      <c r="X77" s="26">
        <f t="shared" ca="1" si="55"/>
        <v>72653.055045539601</v>
      </c>
      <c r="Y77" s="26">
        <f t="shared" ca="1" si="56"/>
        <v>74697.261128764076</v>
      </c>
      <c r="Z77" s="26">
        <f t="shared" ca="1" si="57"/>
        <v>76723.762190206719</v>
      </c>
      <c r="AA77" s="364">
        <f t="shared" ca="1" si="58"/>
        <v>77480.396099045189</v>
      </c>
      <c r="AB77" s="355"/>
      <c r="AC77" s="139">
        <v>1</v>
      </c>
    </row>
    <row r="78" spans="1:29">
      <c r="A78" s="81"/>
      <c r="B78" s="81"/>
      <c r="C78" s="81" t="str">
        <f t="shared" si="48"/>
        <v>HS_DeptSupport</v>
      </c>
      <c r="D78" s="81" t="s">
        <v>471</v>
      </c>
      <c r="E78" s="81"/>
      <c r="F78" s="82"/>
      <c r="G78" s="1225"/>
      <c r="H78" s="272" t="s">
        <v>472</v>
      </c>
      <c r="I78" s="281">
        <f t="shared" ca="1" si="51"/>
        <v>2</v>
      </c>
      <c r="J78" s="96">
        <f t="shared" ca="1" si="51"/>
        <v>2</v>
      </c>
      <c r="K78" s="96">
        <f t="shared" ca="1" si="51"/>
        <v>2</v>
      </c>
      <c r="L78" s="96">
        <f t="shared" ca="1" si="51"/>
        <v>2</v>
      </c>
      <c r="M78" s="96">
        <f t="shared" ca="1" si="51"/>
        <v>2</v>
      </c>
      <c r="N78" s="96">
        <f t="shared" ca="1" si="51"/>
        <v>2</v>
      </c>
      <c r="O78" s="251">
        <f t="shared" ca="1" si="51"/>
        <v>2</v>
      </c>
      <c r="P78" s="568"/>
      <c r="Q78" s="501">
        <v>8</v>
      </c>
      <c r="R78" s="501"/>
      <c r="S78" s="206">
        <v>185</v>
      </c>
      <c r="T78" s="354" t="s">
        <v>380</v>
      </c>
      <c r="U78" s="363">
        <f t="shared" ca="1" si="52"/>
        <v>133470.07269780175</v>
      </c>
      <c r="V78" s="26">
        <f t="shared" ca="1" si="53"/>
        <v>138112.95318591374</v>
      </c>
      <c r="W78" s="26">
        <f t="shared" ca="1" si="54"/>
        <v>141663.23921209329</v>
      </c>
      <c r="X78" s="26">
        <f t="shared" ca="1" si="55"/>
        <v>145306.1100910792</v>
      </c>
      <c r="Y78" s="26">
        <f t="shared" ca="1" si="56"/>
        <v>149394.52225752815</v>
      </c>
      <c r="Z78" s="26">
        <f t="shared" ca="1" si="57"/>
        <v>153447.52438041344</v>
      </c>
      <c r="AA78" s="364">
        <f t="shared" ca="1" si="58"/>
        <v>154960.79219809038</v>
      </c>
      <c r="AB78" s="355"/>
      <c r="AC78" s="139">
        <v>1</v>
      </c>
    </row>
    <row r="79" spans="1:29">
      <c r="A79" s="81"/>
      <c r="B79" s="81"/>
      <c r="C79" s="81" t="str">
        <f t="shared" si="48"/>
        <v>HS_Bookkeeper</v>
      </c>
      <c r="D79" s="81" t="s">
        <v>473</v>
      </c>
      <c r="E79" s="81"/>
      <c r="F79" s="82"/>
      <c r="G79" s="1225"/>
      <c r="H79" s="272" t="s">
        <v>474</v>
      </c>
      <c r="I79" s="281">
        <f t="shared" ref="I79:O86" ca="1" si="59">IFERROR(INDEX(INDIRECT($B$73 &amp; $B$74), MATCH($C79, INDIRECT($B$73 &amp; $B$75),0), MATCH(I$4, INDIRECT($B$73 &amp; $B$76), 0)),0)</f>
        <v>1</v>
      </c>
      <c r="J79" s="96">
        <f t="shared" ca="1" si="59"/>
        <v>1</v>
      </c>
      <c r="K79" s="96">
        <f t="shared" ca="1" si="59"/>
        <v>1</v>
      </c>
      <c r="L79" s="96">
        <f t="shared" ca="1" si="59"/>
        <v>1</v>
      </c>
      <c r="M79" s="96">
        <f t="shared" ca="1" si="59"/>
        <v>1</v>
      </c>
      <c r="N79" s="96">
        <f t="shared" ca="1" si="59"/>
        <v>1</v>
      </c>
      <c r="O79" s="251">
        <f t="shared" ca="1" si="59"/>
        <v>1</v>
      </c>
      <c r="P79" s="568"/>
      <c r="Q79" s="501">
        <v>8</v>
      </c>
      <c r="R79" s="501"/>
      <c r="S79" s="206">
        <v>260</v>
      </c>
      <c r="T79" s="354" t="s">
        <v>380</v>
      </c>
      <c r="U79" s="363">
        <f t="shared" ca="1" si="52"/>
        <v>85986.537571428256</v>
      </c>
      <c r="V79" s="26">
        <f t="shared" ca="1" si="53"/>
        <v>88989.581157669119</v>
      </c>
      <c r="W79" s="26">
        <f t="shared" ca="1" si="54"/>
        <v>91216.031945795286</v>
      </c>
      <c r="X79" s="26">
        <f t="shared" ca="1" si="55"/>
        <v>93498.418637091323</v>
      </c>
      <c r="Y79" s="26">
        <f t="shared" ca="1" si="56"/>
        <v>96084.454465540504</v>
      </c>
      <c r="Z79" s="26">
        <f t="shared" ca="1" si="57"/>
        <v>98635.852877351659</v>
      </c>
      <c r="AA79" s="364">
        <f t="shared" ca="1" si="58"/>
        <v>99392.486786190129</v>
      </c>
      <c r="AB79" s="355"/>
      <c r="AC79" s="139">
        <v>1</v>
      </c>
    </row>
    <row r="80" spans="1:29">
      <c r="A80" s="81"/>
      <c r="B80" s="81"/>
      <c r="C80" s="81" t="str">
        <f t="shared" si="48"/>
        <v>HS_Vol_Coord</v>
      </c>
      <c r="D80" s="81" t="s">
        <v>475</v>
      </c>
      <c r="E80" s="81"/>
      <c r="F80" s="82"/>
      <c r="G80" s="1225"/>
      <c r="H80" s="272" t="s">
        <v>476</v>
      </c>
      <c r="I80" s="281">
        <f t="shared" ca="1" si="59"/>
        <v>1</v>
      </c>
      <c r="J80" s="96">
        <f t="shared" ca="1" si="59"/>
        <v>1</v>
      </c>
      <c r="K80" s="96">
        <f t="shared" ca="1" si="59"/>
        <v>1</v>
      </c>
      <c r="L80" s="96">
        <f t="shared" ca="1" si="59"/>
        <v>1</v>
      </c>
      <c r="M80" s="96">
        <f t="shared" ca="1" si="59"/>
        <v>1</v>
      </c>
      <c r="N80" s="96">
        <f t="shared" ca="1" si="59"/>
        <v>1</v>
      </c>
      <c r="O80" s="251">
        <f t="shared" ca="1" si="59"/>
        <v>1</v>
      </c>
      <c r="P80" s="568"/>
      <c r="Q80" s="501">
        <v>8</v>
      </c>
      <c r="R80" s="501"/>
      <c r="S80" s="206">
        <v>220</v>
      </c>
      <c r="T80" s="354" t="s">
        <v>380</v>
      </c>
      <c r="U80" s="363">
        <f t="shared" ca="1" si="52"/>
        <v>75719.070252746984</v>
      </c>
      <c r="V80" s="26">
        <f t="shared" ca="1" si="53"/>
        <v>78358.592056489259</v>
      </c>
      <c r="W80" s="26">
        <f t="shared" ca="1" si="54"/>
        <v>80344.345364596025</v>
      </c>
      <c r="X80" s="26">
        <f t="shared" ca="1" si="55"/>
        <v>82380.891388263743</v>
      </c>
      <c r="Y80" s="26">
        <f t="shared" ca="1" si="56"/>
        <v>84677.951352593082</v>
      </c>
      <c r="Z80" s="26">
        <f t="shared" ca="1" si="57"/>
        <v>86949.404510874359</v>
      </c>
      <c r="AA80" s="364">
        <f t="shared" ca="1" si="58"/>
        <v>87706.03841971283</v>
      </c>
      <c r="AB80" s="355"/>
      <c r="AC80" s="139">
        <v>1</v>
      </c>
    </row>
    <row r="81" spans="1:29">
      <c r="A81" s="81"/>
      <c r="B81" s="81"/>
      <c r="C81" s="81" t="str">
        <f t="shared" si="48"/>
        <v>HS_HlthClrk</v>
      </c>
      <c r="D81" s="81" t="s">
        <v>477</v>
      </c>
      <c r="E81" s="81"/>
      <c r="F81" s="82"/>
      <c r="G81" s="1225"/>
      <c r="H81" s="272" t="s">
        <v>478</v>
      </c>
      <c r="I81" s="281">
        <f t="shared" ca="1" si="59"/>
        <v>0.5</v>
      </c>
      <c r="J81" s="96">
        <f t="shared" ca="1" si="59"/>
        <v>0.5</v>
      </c>
      <c r="K81" s="96">
        <f t="shared" ca="1" si="59"/>
        <v>0.5</v>
      </c>
      <c r="L81" s="96">
        <f t="shared" ca="1" si="59"/>
        <v>0.5</v>
      </c>
      <c r="M81" s="96">
        <f t="shared" ca="1" si="59"/>
        <v>0.5</v>
      </c>
      <c r="N81" s="96">
        <f t="shared" ca="1" si="59"/>
        <v>0.5</v>
      </c>
      <c r="O81" s="251">
        <f t="shared" ca="1" si="59"/>
        <v>0.5</v>
      </c>
      <c r="P81" s="568"/>
      <c r="Q81" s="501">
        <v>8</v>
      </c>
      <c r="R81" s="501"/>
      <c r="S81" s="206">
        <v>185</v>
      </c>
      <c r="T81" s="354" t="s">
        <v>380</v>
      </c>
      <c r="U81" s="363">
        <f t="shared" ca="1" si="52"/>
        <v>33367.518174450437</v>
      </c>
      <c r="V81" s="26">
        <f t="shared" ca="1" si="53"/>
        <v>34528.238296478434</v>
      </c>
      <c r="W81" s="26">
        <f t="shared" ca="1" si="54"/>
        <v>35415.809803023323</v>
      </c>
      <c r="X81" s="26">
        <f t="shared" ca="1" si="55"/>
        <v>36326.5275227698</v>
      </c>
      <c r="Y81" s="26">
        <f t="shared" ca="1" si="56"/>
        <v>37348.630564382038</v>
      </c>
      <c r="Z81" s="26">
        <f t="shared" ca="1" si="57"/>
        <v>38361.881095103359</v>
      </c>
      <c r="AA81" s="364">
        <f t="shared" ca="1" si="58"/>
        <v>38740.198049522594</v>
      </c>
      <c r="AB81" s="355"/>
      <c r="AC81" s="139">
        <v>1</v>
      </c>
    </row>
    <row r="82" spans="1:29">
      <c r="A82" s="81"/>
      <c r="B82" s="81"/>
      <c r="C82" s="81" t="str">
        <f t="shared" si="48"/>
        <v>HS_MediaCentAsst</v>
      </c>
      <c r="D82" s="81" t="s">
        <v>479</v>
      </c>
      <c r="E82" s="81"/>
      <c r="F82" s="82"/>
      <c r="G82" s="1225"/>
      <c r="H82" s="272" t="s">
        <v>480</v>
      </c>
      <c r="I82" s="281">
        <f t="shared" ca="1" si="59"/>
        <v>1</v>
      </c>
      <c r="J82" s="96">
        <f t="shared" ca="1" si="59"/>
        <v>1</v>
      </c>
      <c r="K82" s="96">
        <f t="shared" ca="1" si="59"/>
        <v>1</v>
      </c>
      <c r="L82" s="96">
        <f t="shared" ca="1" si="59"/>
        <v>1</v>
      </c>
      <c r="M82" s="96">
        <f t="shared" ca="1" si="59"/>
        <v>1</v>
      </c>
      <c r="N82" s="96">
        <f t="shared" ca="1" si="59"/>
        <v>1</v>
      </c>
      <c r="O82" s="251">
        <f t="shared" ca="1" si="59"/>
        <v>1</v>
      </c>
      <c r="P82" s="568"/>
      <c r="Q82" s="501">
        <v>8</v>
      </c>
      <c r="R82" s="501"/>
      <c r="S82" s="206">
        <v>220</v>
      </c>
      <c r="T82" s="354" t="s">
        <v>380</v>
      </c>
      <c r="U82" s="363">
        <f t="shared" ca="1" si="52"/>
        <v>75719.070252746984</v>
      </c>
      <c r="V82" s="26">
        <f t="shared" ca="1" si="53"/>
        <v>78358.592056489259</v>
      </c>
      <c r="W82" s="26">
        <f t="shared" ca="1" si="54"/>
        <v>80344.345364596025</v>
      </c>
      <c r="X82" s="26">
        <f t="shared" ca="1" si="55"/>
        <v>82380.891388263743</v>
      </c>
      <c r="Y82" s="26">
        <f t="shared" ca="1" si="56"/>
        <v>84677.951352593082</v>
      </c>
      <c r="Z82" s="26">
        <f t="shared" ca="1" si="57"/>
        <v>86949.404510874359</v>
      </c>
      <c r="AA82" s="364">
        <f t="shared" ca="1" si="58"/>
        <v>87706.03841971283</v>
      </c>
      <c r="AB82" s="355"/>
      <c r="AC82" s="139">
        <v>1</v>
      </c>
    </row>
    <row r="83" spans="1:29">
      <c r="A83" s="81"/>
      <c r="B83" s="81"/>
      <c r="C83" s="81" t="str">
        <f t="shared" si="48"/>
        <v>HS_Receptionist</v>
      </c>
      <c r="D83" s="81" t="s">
        <v>481</v>
      </c>
      <c r="E83" s="81"/>
      <c r="F83" s="82"/>
      <c r="G83" s="1225"/>
      <c r="H83" s="272" t="s">
        <v>482</v>
      </c>
      <c r="I83" s="281">
        <f t="shared" ca="1" si="59"/>
        <v>1</v>
      </c>
      <c r="J83" s="96">
        <f t="shared" ca="1" si="59"/>
        <v>1</v>
      </c>
      <c r="K83" s="96">
        <f t="shared" ca="1" si="59"/>
        <v>1</v>
      </c>
      <c r="L83" s="96">
        <f t="shared" ca="1" si="59"/>
        <v>1</v>
      </c>
      <c r="M83" s="96">
        <f t="shared" ca="1" si="59"/>
        <v>1</v>
      </c>
      <c r="N83" s="96">
        <f t="shared" ca="1" si="59"/>
        <v>1</v>
      </c>
      <c r="O83" s="251">
        <f t="shared" ca="1" si="59"/>
        <v>1</v>
      </c>
      <c r="P83" s="568"/>
      <c r="Q83" s="501">
        <v>8</v>
      </c>
      <c r="R83" s="501"/>
      <c r="S83" s="206">
        <v>185</v>
      </c>
      <c r="T83" s="354" t="s">
        <v>380</v>
      </c>
      <c r="U83" s="363">
        <f t="shared" ca="1" si="52"/>
        <v>66735.036348900874</v>
      </c>
      <c r="V83" s="26">
        <f t="shared" ca="1" si="53"/>
        <v>69056.476592956868</v>
      </c>
      <c r="W83" s="26">
        <f t="shared" ca="1" si="54"/>
        <v>70831.619606046646</v>
      </c>
      <c r="X83" s="26">
        <f t="shared" ca="1" si="55"/>
        <v>72653.055045539601</v>
      </c>
      <c r="Y83" s="26">
        <f t="shared" ca="1" si="56"/>
        <v>74697.261128764076</v>
      </c>
      <c r="Z83" s="26">
        <f t="shared" ca="1" si="57"/>
        <v>76723.762190206719</v>
      </c>
      <c r="AA83" s="364">
        <f t="shared" ca="1" si="58"/>
        <v>77480.396099045189</v>
      </c>
      <c r="AB83" s="355"/>
      <c r="AC83" s="139">
        <v>1</v>
      </c>
    </row>
    <row r="84" spans="1:29">
      <c r="A84" s="81"/>
      <c r="B84" s="81"/>
      <c r="C84" s="81" t="str">
        <f t="shared" si="48"/>
        <v>HS_AddlSupport</v>
      </c>
      <c r="D84" s="81" t="s">
        <v>483</v>
      </c>
      <c r="E84" s="81"/>
      <c r="F84" s="82"/>
      <c r="G84" s="1225"/>
      <c r="H84" s="272" t="s">
        <v>484</v>
      </c>
      <c r="I84" s="281">
        <f t="shared" ca="1" si="59"/>
        <v>0</v>
      </c>
      <c r="J84" s="96">
        <f t="shared" ca="1" si="59"/>
        <v>0</v>
      </c>
      <c r="K84" s="96">
        <f t="shared" ca="1" si="59"/>
        <v>0</v>
      </c>
      <c r="L84" s="96">
        <f t="shared" ca="1" si="59"/>
        <v>0</v>
      </c>
      <c r="M84" s="96">
        <f t="shared" ca="1" si="59"/>
        <v>0</v>
      </c>
      <c r="N84" s="96">
        <f t="shared" ca="1" si="59"/>
        <v>0</v>
      </c>
      <c r="O84" s="251">
        <f t="shared" ca="1" si="59"/>
        <v>0</v>
      </c>
      <c r="P84" s="568"/>
      <c r="Q84" s="501">
        <v>8</v>
      </c>
      <c r="R84" s="501"/>
      <c r="S84" s="206">
        <v>185</v>
      </c>
      <c r="T84" s="354" t="s">
        <v>380</v>
      </c>
      <c r="U84" s="363">
        <f t="shared" ca="1" si="52"/>
        <v>0</v>
      </c>
      <c r="V84" s="26">
        <f t="shared" ca="1" si="53"/>
        <v>0</v>
      </c>
      <c r="W84" s="26">
        <f t="shared" ca="1" si="54"/>
        <v>0</v>
      </c>
      <c r="X84" s="26">
        <f t="shared" ca="1" si="55"/>
        <v>0</v>
      </c>
      <c r="Y84" s="26">
        <f t="shared" ca="1" si="56"/>
        <v>0</v>
      </c>
      <c r="Z84" s="26">
        <f t="shared" ca="1" si="57"/>
        <v>0</v>
      </c>
      <c r="AA84" s="364">
        <f t="shared" ca="1" si="58"/>
        <v>0</v>
      </c>
      <c r="AB84" s="355"/>
      <c r="AC84" s="139">
        <v>1</v>
      </c>
    </row>
    <row r="85" spans="1:29">
      <c r="A85" s="81"/>
      <c r="B85" s="81"/>
      <c r="C85" s="81" t="str">
        <f t="shared" si="48"/>
        <v>HS_CampusMonitor</v>
      </c>
      <c r="D85" s="81" t="s">
        <v>485</v>
      </c>
      <c r="E85" s="81"/>
      <c r="F85" s="82"/>
      <c r="G85" s="1225"/>
      <c r="H85" s="272" t="s">
        <v>486</v>
      </c>
      <c r="I85" s="281">
        <f t="shared" ca="1" si="59"/>
        <v>3</v>
      </c>
      <c r="J85" s="96">
        <f t="shared" ca="1" si="59"/>
        <v>3</v>
      </c>
      <c r="K85" s="96">
        <f t="shared" ca="1" si="59"/>
        <v>3</v>
      </c>
      <c r="L85" s="96">
        <f t="shared" ca="1" si="59"/>
        <v>3</v>
      </c>
      <c r="M85" s="96">
        <f t="shared" ca="1" si="59"/>
        <v>3</v>
      </c>
      <c r="N85" s="96">
        <f t="shared" ca="1" si="59"/>
        <v>3</v>
      </c>
      <c r="O85" s="251">
        <f t="shared" ca="1" si="59"/>
        <v>3</v>
      </c>
      <c r="P85" s="568"/>
      <c r="Q85" s="501">
        <v>8</v>
      </c>
      <c r="R85" s="501"/>
      <c r="S85" s="206">
        <v>185</v>
      </c>
      <c r="T85" s="354" t="s">
        <v>380</v>
      </c>
      <c r="U85" s="363">
        <f t="shared" ca="1" si="52"/>
        <v>200205.10904670262</v>
      </c>
      <c r="V85" s="26">
        <f t="shared" ca="1" si="53"/>
        <v>207169.4297788706</v>
      </c>
      <c r="W85" s="26">
        <f t="shared" ca="1" si="54"/>
        <v>212494.85881813994</v>
      </c>
      <c r="X85" s="26">
        <f t="shared" ca="1" si="55"/>
        <v>217959.1651366188</v>
      </c>
      <c r="Y85" s="26">
        <f t="shared" ca="1" si="56"/>
        <v>224091.78338629223</v>
      </c>
      <c r="Z85" s="26">
        <f t="shared" ca="1" si="57"/>
        <v>230171.28657062014</v>
      </c>
      <c r="AA85" s="364">
        <f t="shared" ca="1" si="58"/>
        <v>232441.18829713558</v>
      </c>
      <c r="AB85" s="355"/>
      <c r="AC85" s="139">
        <v>1</v>
      </c>
    </row>
    <row r="86" spans="1:29" ht="15.75" thickBot="1">
      <c r="A86" s="81"/>
      <c r="B86" s="81"/>
      <c r="C86" s="81" t="str">
        <f t="shared" si="48"/>
        <v>HS_Nurse</v>
      </c>
      <c r="D86" s="81" t="s">
        <v>487</v>
      </c>
      <c r="E86" s="81"/>
      <c r="F86" s="82"/>
      <c r="G86" s="1226"/>
      <c r="H86" s="273" t="s">
        <v>488</v>
      </c>
      <c r="I86" s="282">
        <f t="shared" ca="1" si="59"/>
        <v>1.3333333333333333</v>
      </c>
      <c r="J86" s="221">
        <f t="shared" ca="1" si="59"/>
        <v>1.3333333333333333</v>
      </c>
      <c r="K86" s="221">
        <f t="shared" ca="1" si="59"/>
        <v>1.3333333333333333</v>
      </c>
      <c r="L86" s="221">
        <f t="shared" ca="1" si="59"/>
        <v>1.3333333333333333</v>
      </c>
      <c r="M86" s="221">
        <f t="shared" ca="1" si="59"/>
        <v>1.3333333333333333</v>
      </c>
      <c r="N86" s="221">
        <f t="shared" ca="1" si="59"/>
        <v>1.3333333333333333</v>
      </c>
      <c r="O86" s="283">
        <f t="shared" ca="1" si="59"/>
        <v>1.3333333333333333</v>
      </c>
      <c r="P86" s="569"/>
      <c r="Q86" s="501">
        <v>1</v>
      </c>
      <c r="R86" s="501"/>
      <c r="S86" s="206">
        <v>1</v>
      </c>
      <c r="T86" s="354" t="s">
        <v>366</v>
      </c>
      <c r="U86" s="365">
        <f t="shared" ca="1" si="52"/>
        <v>163298.83565099546</v>
      </c>
      <c r="V86" s="366">
        <f t="shared" ca="1" si="53"/>
        <v>169486.3633893677</v>
      </c>
      <c r="W86" s="366">
        <f t="shared" ca="1" si="54"/>
        <v>177656.79146417935</v>
      </c>
      <c r="X86" s="366">
        <f t="shared" ca="1" si="55"/>
        <v>183297.67014583122</v>
      </c>
      <c r="Y86" s="366">
        <f t="shared" ca="1" si="56"/>
        <v>189647.65194215131</v>
      </c>
      <c r="Z86" s="366">
        <f t="shared" ca="1" si="57"/>
        <v>196361.12151718151</v>
      </c>
      <c r="AA86" s="367">
        <f t="shared" ca="1" si="58"/>
        <v>197369.96672896613</v>
      </c>
      <c r="AB86" s="355"/>
      <c r="AC86" s="139">
        <v>1</v>
      </c>
    </row>
    <row r="87" spans="1:29" ht="15.75" thickBot="1">
      <c r="A87" s="203"/>
      <c r="B87" s="203"/>
      <c r="C87" s="81" t="str">
        <f t="shared" si="48"/>
        <v>HS_Clsfd</v>
      </c>
      <c r="D87" s="203" t="s">
        <v>448</v>
      </c>
      <c r="E87" s="203" t="s">
        <v>197</v>
      </c>
      <c r="F87" s="348">
        <f ca="1">INDEX(INDIRECT($B$68&amp;$B$69),MATCH($C87,INDIRECT($B$68&amp;$B$70),0),MATCH(E$87,INDIRECT($B$68&amp;$B$71),0))</f>
        <v>22</v>
      </c>
      <c r="G87" s="352"/>
      <c r="H87" s="353" t="s">
        <v>489</v>
      </c>
      <c r="I87" s="332">
        <f t="shared" ref="I87:O87" ca="1" si="60">IFERROR(INDEX(INDIRECT($B$68&amp;$B$69),MATCH($C87,INDIRECT($B$68&amp;$B$70),0),MATCH(I$4,INDIRECT($B$68&amp;$B$71),0)),0)-$F87</f>
        <v>0</v>
      </c>
      <c r="J87" s="333">
        <f t="shared" ca="1" si="60"/>
        <v>0</v>
      </c>
      <c r="K87" s="333">
        <f t="shared" ca="1" si="60"/>
        <v>0</v>
      </c>
      <c r="L87" s="333">
        <f t="shared" ca="1" si="60"/>
        <v>-2</v>
      </c>
      <c r="M87" s="333">
        <f t="shared" ca="1" si="60"/>
        <v>-2</v>
      </c>
      <c r="N87" s="333">
        <f t="shared" ca="1" si="60"/>
        <v>0</v>
      </c>
      <c r="O87" s="334">
        <f t="shared" ca="1" si="60"/>
        <v>0</v>
      </c>
      <c r="P87" s="578"/>
      <c r="Q87" s="501">
        <v>8</v>
      </c>
      <c r="R87" s="501"/>
      <c r="S87" s="206">
        <v>185</v>
      </c>
      <c r="T87" s="354" t="s">
        <v>380</v>
      </c>
      <c r="U87" s="357">
        <f t="shared" ca="1" si="52"/>
        <v>0</v>
      </c>
      <c r="V87" s="358">
        <f t="shared" ca="1" si="53"/>
        <v>0</v>
      </c>
      <c r="W87" s="358">
        <f t="shared" ca="1" si="54"/>
        <v>0</v>
      </c>
      <c r="X87" s="358">
        <f t="shared" ca="1" si="55"/>
        <v>-145306.1100910792</v>
      </c>
      <c r="Y87" s="358">
        <f t="shared" ca="1" si="56"/>
        <v>-149394.52225752815</v>
      </c>
      <c r="Z87" s="358">
        <f t="shared" ca="1" si="57"/>
        <v>0</v>
      </c>
      <c r="AA87" s="359">
        <f t="shared" ca="1" si="58"/>
        <v>0</v>
      </c>
      <c r="AB87" s="355"/>
      <c r="AC87" s="139">
        <v>1</v>
      </c>
    </row>
    <row r="88" spans="1:29" ht="15" hidden="1" customHeight="1" outlineLevel="1">
      <c r="A88" s="203"/>
      <c r="B88" s="203"/>
      <c r="C88" s="81"/>
      <c r="D88" s="203"/>
      <c r="E88" s="203"/>
      <c r="F88" s="203"/>
      <c r="G88" s="210"/>
      <c r="H88" s="349"/>
      <c r="I88" s="350"/>
      <c r="J88" s="350"/>
      <c r="K88" s="350"/>
      <c r="L88" s="350"/>
      <c r="M88" s="350"/>
      <c r="N88" s="350"/>
      <c r="O88" s="350"/>
      <c r="P88" s="350"/>
      <c r="Q88" s="428"/>
      <c r="R88" s="428"/>
      <c r="S88" s="206"/>
      <c r="T88" s="97"/>
      <c r="U88" s="356"/>
      <c r="V88" s="356"/>
      <c r="W88" s="356"/>
      <c r="X88" s="356"/>
      <c r="Y88" s="356"/>
      <c r="Z88" s="356"/>
      <c r="AA88" s="356"/>
      <c r="AB88" s="355"/>
      <c r="AC88" s="139">
        <v>0</v>
      </c>
    </row>
    <row r="89" spans="1:29" ht="15.95" hidden="1" customHeight="1" outlineLevel="1" thickBot="1">
      <c r="A89" s="213"/>
      <c r="B89" s="213"/>
      <c r="C89" s="75"/>
      <c r="D89" s="213"/>
      <c r="E89" s="213"/>
      <c r="F89" s="213"/>
      <c r="G89" s="214"/>
      <c r="H89" s="382"/>
      <c r="I89" s="383"/>
      <c r="J89" s="383"/>
      <c r="K89" s="383"/>
      <c r="L89" s="383"/>
      <c r="M89" s="383"/>
      <c r="N89" s="383"/>
      <c r="O89" s="383"/>
      <c r="P89" s="383"/>
      <c r="Q89" s="422"/>
      <c r="R89" s="422"/>
      <c r="S89" s="101"/>
      <c r="T89" s="215"/>
      <c r="U89" s="431"/>
      <c r="V89" s="431"/>
      <c r="W89" s="431"/>
      <c r="X89" s="431"/>
      <c r="Y89" s="431"/>
      <c r="Z89" s="431"/>
      <c r="AA89" s="431"/>
      <c r="AB89" s="372"/>
      <c r="AC89" s="139">
        <v>0</v>
      </c>
    </row>
    <row r="90" spans="1:29" collapsed="1">
      <c r="A90" s="75"/>
      <c r="B90" s="75" t="s">
        <v>434</v>
      </c>
      <c r="C90" s="75" t="str">
        <f>LEFT($G$3,1) &amp; "S" &amp; D90</f>
        <v>HS_Prin</v>
      </c>
      <c r="D90" s="75" t="s">
        <v>490</v>
      </c>
      <c r="E90" s="75"/>
      <c r="F90" s="76"/>
      <c r="G90" s="1227" t="s">
        <v>491</v>
      </c>
      <c r="H90" s="271" t="s">
        <v>492</v>
      </c>
      <c r="I90" s="278">
        <f ca="1">IFERROR(INDEX(INDIRECT($B$90 &amp; $B$91), MATCH($C90, INDIRECT($B$73 &amp; $B$92),0), MATCH(I$4, INDIRECT($B$73 &amp; $B$93), 0)),0)</f>
        <v>1</v>
      </c>
      <c r="J90" s="279">
        <f t="shared" ref="J90:O92" ca="1" si="61">IFERROR(INDEX(INDIRECT($B$73 &amp; $B$74), MATCH($C90, INDIRECT($B$73 &amp; $B$75),0), MATCH(J$4, INDIRECT($B$73 &amp; $B$76), 0)),0)</f>
        <v>1</v>
      </c>
      <c r="K90" s="279">
        <f t="shared" ca="1" si="61"/>
        <v>1</v>
      </c>
      <c r="L90" s="279">
        <f t="shared" ca="1" si="61"/>
        <v>1</v>
      </c>
      <c r="M90" s="279">
        <f t="shared" ca="1" si="61"/>
        <v>1</v>
      </c>
      <c r="N90" s="279">
        <f t="shared" ca="1" si="61"/>
        <v>1</v>
      </c>
      <c r="O90" s="280">
        <f t="shared" ca="1" si="61"/>
        <v>1</v>
      </c>
      <c r="P90" s="567"/>
      <c r="Q90" s="502">
        <v>1</v>
      </c>
      <c r="R90" s="502"/>
      <c r="S90" s="101">
        <v>1</v>
      </c>
      <c r="T90" s="368" t="s">
        <v>370</v>
      </c>
      <c r="U90" s="360">
        <f ca="1">(VLOOKUP($T90, $T$7:$AA$13, MATCH(U$4, $S$4:$AA$4,0),0)*$Q90*$S90*(1+$U$18-$U$22)+$U$17+$U$19)*I90</f>
        <v>196897.65609063557</v>
      </c>
      <c r="V90" s="361">
        <f t="shared" ref="V90:Z91" ca="1" si="62">(VLOOKUP($T90, $T$7:$AA$13, MATCH(V$4, $S$4:$AA$4,0),0)*$Q90*$S90*(1+V$18-V$22)+V$17+V$19)*J90</f>
        <v>203937.32289730411</v>
      </c>
      <c r="W90" s="361">
        <f t="shared" ca="1" si="62"/>
        <v>213099.19396780455</v>
      </c>
      <c r="X90" s="361">
        <f t="shared" ca="1" si="62"/>
        <v>218901.2726819797</v>
      </c>
      <c r="Y90" s="361">
        <f t="shared" ca="1" si="62"/>
        <v>225361.06872547168</v>
      </c>
      <c r="Z90" s="361">
        <f t="shared" ca="1" si="62"/>
        <v>232012.31252811707</v>
      </c>
      <c r="AA90" s="362">
        <f ca="1">(VLOOKUP($T90, $T$7:$AA$13, MATCH(AA$4, $T$4:$AA$4,0),0)*$Q90*$S90*(1+AA$18-AA$22)+AA$17+AA$19)*O90</f>
        <v>232768.94643695554</v>
      </c>
      <c r="AB90" s="372"/>
      <c r="AC90" s="139">
        <v>1</v>
      </c>
    </row>
    <row r="91" spans="1:29">
      <c r="A91" s="75"/>
      <c r="B91" s="75" t="s">
        <v>435</v>
      </c>
      <c r="C91" s="75" t="str">
        <f>LEFT($G$3,1) &amp; "S" &amp; D91</f>
        <v>HS_AsstPrin</v>
      </c>
      <c r="D91" s="75" t="s">
        <v>493</v>
      </c>
      <c r="E91" s="75"/>
      <c r="F91" s="76"/>
      <c r="G91" s="1228"/>
      <c r="H91" s="272" t="s">
        <v>494</v>
      </c>
      <c r="I91" s="281">
        <f ca="1">IFERROR(INDEX(INDIRECT($B$73 &amp; $B$74), MATCH($C91, INDIRECT($B$73 &amp; $B$75),0), MATCH(I$4, INDIRECT($B$73 &amp; $B$76), 0)),0)</f>
        <v>2</v>
      </c>
      <c r="J91" s="96">
        <f t="shared" ca="1" si="61"/>
        <v>2</v>
      </c>
      <c r="K91" s="96">
        <f t="shared" ca="1" si="61"/>
        <v>2</v>
      </c>
      <c r="L91" s="96">
        <f t="shared" ca="1" si="61"/>
        <v>2</v>
      </c>
      <c r="M91" s="96">
        <f t="shared" ca="1" si="61"/>
        <v>2</v>
      </c>
      <c r="N91" s="96">
        <f t="shared" ca="1" si="61"/>
        <v>2</v>
      </c>
      <c r="O91" s="251">
        <f t="shared" ca="1" si="61"/>
        <v>2</v>
      </c>
      <c r="P91" s="568"/>
      <c r="Q91" s="502">
        <v>1</v>
      </c>
      <c r="R91" s="502"/>
      <c r="S91" s="101">
        <v>1</v>
      </c>
      <c r="T91" s="368" t="s">
        <v>374</v>
      </c>
      <c r="U91" s="363">
        <f ca="1">(VLOOKUP($T91, $T$7:$AA$13, MATCH(U$4, $S$4:$AA$4,0),0)*$Q91*$S91*(1+$U$18-$U$22)+$U$17+$U$19)*I91</f>
        <v>366128.98348012823</v>
      </c>
      <c r="V91" s="26">
        <f t="shared" ca="1" si="62"/>
        <v>378354.10999345133</v>
      </c>
      <c r="W91" s="26">
        <f t="shared" ca="1" si="62"/>
        <v>395427.48348639731</v>
      </c>
      <c r="X91" s="26">
        <f t="shared" ca="1" si="62"/>
        <v>405294.80431735091</v>
      </c>
      <c r="Y91" s="26">
        <f t="shared" ca="1" si="62"/>
        <v>416325.07400455623</v>
      </c>
      <c r="Z91" s="26">
        <f t="shared" ca="1" si="62"/>
        <v>427658.2612291465</v>
      </c>
      <c r="AA91" s="364">
        <f ca="1">(VLOOKUP($T91, $T$7:$AA$13, MATCH(AA$4, $T$4:$AA$4,0),0)*$Q91*$S91*(1+AA$18-AA$22)+AA$17+AA$19)*O91</f>
        <v>429171.5290468235</v>
      </c>
      <c r="AB91" s="372"/>
      <c r="AC91" s="139">
        <v>1</v>
      </c>
    </row>
    <row r="92" spans="1:29">
      <c r="A92" s="215"/>
      <c r="B92" s="75" t="s">
        <v>439</v>
      </c>
      <c r="C92" s="75" t="str">
        <f>LEFT($G$3,1) &amp; "S" &amp; D92</f>
        <v>HS_TchrLeadership</v>
      </c>
      <c r="D92" s="75" t="s">
        <v>495</v>
      </c>
      <c r="E92" s="75"/>
      <c r="F92" s="76"/>
      <c r="G92" s="1228"/>
      <c r="H92" s="237" t="s">
        <v>496</v>
      </c>
      <c r="I92" s="67">
        <f ca="1">IFERROR(INDEX(INDIRECT($B$73 &amp; $B$74), MATCH($C92, INDIRECT($B$73 &amp; $B$75),0), MATCH(I$4, INDIRECT($B$73 &amp; $B$76), 0)),0)</f>
        <v>64</v>
      </c>
      <c r="J92" s="23">
        <f t="shared" ca="1" si="61"/>
        <v>64</v>
      </c>
      <c r="K92" s="23">
        <f t="shared" ca="1" si="61"/>
        <v>64</v>
      </c>
      <c r="L92" s="23">
        <f t="shared" ca="1" si="61"/>
        <v>64</v>
      </c>
      <c r="M92" s="23">
        <f t="shared" ca="1" si="61"/>
        <v>64</v>
      </c>
      <c r="N92" s="23">
        <f t="shared" ca="1" si="61"/>
        <v>64</v>
      </c>
      <c r="O92" s="24">
        <f t="shared" ca="1" si="61"/>
        <v>64</v>
      </c>
      <c r="P92" s="579"/>
      <c r="Q92" s="503"/>
      <c r="R92" s="503"/>
      <c r="S92" s="213"/>
      <c r="T92" s="421"/>
      <c r="U92" s="363">
        <f ca="1">I92*$H$2</f>
        <v>64000</v>
      </c>
      <c r="V92" s="26">
        <f t="shared" ref="V92:AA92" ca="1" si="63">J92*$H$2</f>
        <v>64000</v>
      </c>
      <c r="W92" s="26">
        <f t="shared" ca="1" si="63"/>
        <v>64000</v>
      </c>
      <c r="X92" s="26">
        <f t="shared" ca="1" si="63"/>
        <v>64000</v>
      </c>
      <c r="Y92" s="26">
        <f t="shared" ca="1" si="63"/>
        <v>64000</v>
      </c>
      <c r="Z92" s="26">
        <f t="shared" ca="1" si="63"/>
        <v>64000</v>
      </c>
      <c r="AA92" s="364">
        <f t="shared" ca="1" si="63"/>
        <v>64000</v>
      </c>
      <c r="AB92" s="372"/>
      <c r="AC92" s="139">
        <v>1</v>
      </c>
    </row>
    <row r="93" spans="1:29" ht="15" hidden="1" customHeight="1" outlineLevel="1">
      <c r="A93" s="215"/>
      <c r="B93" s="75" t="s">
        <v>443</v>
      </c>
      <c r="C93" s="215"/>
      <c r="D93" s="215"/>
      <c r="E93" s="215"/>
      <c r="F93" s="368"/>
      <c r="G93" s="1228"/>
      <c r="H93" s="389"/>
      <c r="I93" s="553"/>
      <c r="J93" s="554"/>
      <c r="K93" s="554"/>
      <c r="L93" s="554"/>
      <c r="M93" s="554"/>
      <c r="N93" s="554"/>
      <c r="O93" s="555"/>
      <c r="P93" s="580"/>
      <c r="Q93" s="504"/>
      <c r="R93" s="504"/>
      <c r="S93" s="215"/>
      <c r="T93" s="368"/>
      <c r="U93" s="385"/>
      <c r="V93" s="215"/>
      <c r="W93" s="215"/>
      <c r="X93" s="215"/>
      <c r="Y93" s="215"/>
      <c r="Z93" s="215"/>
      <c r="AA93" s="392"/>
      <c r="AB93" s="372"/>
      <c r="AC93" s="139">
        <v>0</v>
      </c>
    </row>
    <row r="94" spans="1:29" ht="15" hidden="1" customHeight="1" outlineLevel="1">
      <c r="A94" s="75"/>
      <c r="B94" s="155" t="s">
        <v>398</v>
      </c>
      <c r="C94" s="75"/>
      <c r="D94" s="75"/>
      <c r="E94" s="156"/>
      <c r="F94" s="369"/>
      <c r="G94" s="1228"/>
      <c r="H94" s="390"/>
      <c r="I94" s="556"/>
      <c r="J94" s="557"/>
      <c r="K94" s="557"/>
      <c r="L94" s="557"/>
      <c r="M94" s="557"/>
      <c r="N94" s="557"/>
      <c r="O94" s="558"/>
      <c r="P94" s="581"/>
      <c r="Q94" s="505"/>
      <c r="R94" s="505"/>
      <c r="S94" s="118"/>
      <c r="T94" s="422"/>
      <c r="U94" s="432"/>
      <c r="V94" s="216"/>
      <c r="W94" s="216"/>
      <c r="X94" s="216"/>
      <c r="Y94" s="216"/>
      <c r="Z94" s="216"/>
      <c r="AA94" s="433"/>
      <c r="AB94" s="430"/>
      <c r="AC94" s="139">
        <v>0</v>
      </c>
    </row>
    <row r="95" spans="1:29" ht="15" hidden="1" customHeight="1" outlineLevel="1">
      <c r="A95" s="75"/>
      <c r="B95" s="156" t="s">
        <v>423</v>
      </c>
      <c r="C95" s="75"/>
      <c r="D95" s="75"/>
      <c r="E95" s="156"/>
      <c r="F95" s="369"/>
      <c r="G95" s="1228"/>
      <c r="H95" s="390"/>
      <c r="I95" s="556"/>
      <c r="J95" s="557"/>
      <c r="K95" s="557"/>
      <c r="L95" s="557"/>
      <c r="M95" s="557"/>
      <c r="N95" s="557"/>
      <c r="O95" s="558"/>
      <c r="P95" s="581"/>
      <c r="Q95" s="505"/>
      <c r="R95" s="505"/>
      <c r="S95" s="118"/>
      <c r="T95" s="422"/>
      <c r="U95" s="432"/>
      <c r="V95" s="216"/>
      <c r="W95" s="216"/>
      <c r="X95" s="216"/>
      <c r="Y95" s="216"/>
      <c r="Z95" s="216"/>
      <c r="AA95" s="433"/>
      <c r="AB95" s="430"/>
      <c r="AC95" s="139">
        <v>0</v>
      </c>
    </row>
    <row r="96" spans="1:29" ht="15" hidden="1" customHeight="1" outlineLevel="1">
      <c r="A96" s="75"/>
      <c r="B96" s="156" t="s">
        <v>424</v>
      </c>
      <c r="C96" s="75"/>
      <c r="D96" s="75"/>
      <c r="E96" s="156"/>
      <c r="F96" s="369"/>
      <c r="G96" s="1228"/>
      <c r="H96" s="390"/>
      <c r="I96" s="556"/>
      <c r="J96" s="557"/>
      <c r="K96" s="557"/>
      <c r="L96" s="557"/>
      <c r="M96" s="557"/>
      <c r="N96" s="557"/>
      <c r="O96" s="558"/>
      <c r="P96" s="581"/>
      <c r="Q96" s="505"/>
      <c r="R96" s="505"/>
      <c r="S96" s="118"/>
      <c r="T96" s="423" t="s">
        <v>433</v>
      </c>
      <c r="U96" s="434">
        <f t="shared" ref="U96:Z96" ca="1" si="64">VLOOKUP($T96, $T$41:$AA$49, MATCH(U$4, $S$4:$AA$4,0),0)</f>
        <v>3.6285147071598134E-2</v>
      </c>
      <c r="V96" s="117">
        <f t="shared" ca="1" si="64"/>
        <v>5.6826863793245863E-2</v>
      </c>
      <c r="W96" s="117">
        <f t="shared" ca="1" si="64"/>
        <v>7.9744735487233376E-2</v>
      </c>
      <c r="X96" s="117">
        <f t="shared" ca="1" si="64"/>
        <v>0.10382197588462216</v>
      </c>
      <c r="Y96" s="117">
        <f t="shared" ca="1" si="64"/>
        <v>0.12900137929281041</v>
      </c>
      <c r="Z96" s="117">
        <f t="shared" ca="1" si="64"/>
        <v>0.15510094686014897</v>
      </c>
      <c r="AA96" s="435">
        <f ca="1">VLOOKUP($T96, $T$41:$AA$49, MATCH(AA$4, $T$4:$AA$4,0),0)</f>
        <v>0.15510094686014897</v>
      </c>
      <c r="AB96" s="430"/>
      <c r="AC96" s="139">
        <v>0</v>
      </c>
    </row>
    <row r="97" spans="1:29" collapsed="1">
      <c r="A97" s="75"/>
      <c r="B97" s="156" t="s">
        <v>497</v>
      </c>
      <c r="C97" s="75" t="str">
        <f>LEFT($G$3,1) &amp; "S" &amp; D97</f>
        <v>HS_ParComOutreach</v>
      </c>
      <c r="D97" s="75" t="s">
        <v>498</v>
      </c>
      <c r="E97" s="75"/>
      <c r="F97" s="76"/>
      <c r="G97" s="1228"/>
      <c r="H97" s="272" t="s">
        <v>499</v>
      </c>
      <c r="I97" s="67">
        <f t="shared" ref="I97:O97" ca="1" si="65">IFERROR(INDEX(INDIRECT($B$94 &amp; $B$95), MATCH($C97, INDIRECT($B$94 &amp; $B$96),0), MATCH(I$4, INDIRECT($B$94 &amp; $B$97), 0)),0)</f>
        <v>27.83</v>
      </c>
      <c r="J97" s="23">
        <f t="shared" ca="1" si="65"/>
        <v>28.839815643002574</v>
      </c>
      <c r="K97" s="23">
        <f t="shared" ca="1" si="65"/>
        <v>28.839815643002574</v>
      </c>
      <c r="L97" s="23">
        <f t="shared" ca="1" si="65"/>
        <v>30</v>
      </c>
      <c r="M97" s="23">
        <f t="shared" ca="1" si="65"/>
        <v>30</v>
      </c>
      <c r="N97" s="23">
        <f t="shared" ca="1" si="65"/>
        <v>28.839815643002574</v>
      </c>
      <c r="O97" s="24">
        <f t="shared" ca="1" si="65"/>
        <v>28.839815643002574</v>
      </c>
      <c r="P97" s="581"/>
      <c r="Q97" s="505"/>
      <c r="R97" s="505"/>
      <c r="S97" s="118"/>
      <c r="T97" s="422"/>
      <c r="U97" s="311">
        <f ca="1">I97*$H$2</f>
        <v>27830</v>
      </c>
      <c r="V97" s="25">
        <f t="shared" ref="V97:AA97" ca="1" si="66">J97*$H$2*(1+V96)</f>
        <v>30478.691918369801</v>
      </c>
      <c r="W97" s="25">
        <f t="shared" ca="1" si="66"/>
        <v>31139.639112954388</v>
      </c>
      <c r="X97" s="25">
        <f t="shared" ca="1" si="66"/>
        <v>33114.659276538667</v>
      </c>
      <c r="Y97" s="25">
        <f t="shared" ca="1" si="66"/>
        <v>33870.041378784314</v>
      </c>
      <c r="Z97" s="25">
        <f t="shared" ca="1" si="66"/>
        <v>33312.898356504411</v>
      </c>
      <c r="AA97" s="28">
        <f t="shared" ca="1" si="66"/>
        <v>33312.898356504411</v>
      </c>
      <c r="AB97" s="430"/>
      <c r="AC97" s="139">
        <v>1</v>
      </c>
    </row>
    <row r="98" spans="1:29" ht="15" hidden="1" customHeight="1" outlineLevel="1">
      <c r="A98" s="213"/>
      <c r="B98" s="217" t="s">
        <v>411</v>
      </c>
      <c r="C98" s="213"/>
      <c r="D98" s="213"/>
      <c r="E98" s="217"/>
      <c r="F98" s="370"/>
      <c r="G98" s="1228"/>
      <c r="H98" s="391"/>
      <c r="I98" s="556"/>
      <c r="J98" s="557"/>
      <c r="K98" s="557"/>
      <c r="L98" s="557"/>
      <c r="M98" s="557"/>
      <c r="N98" s="557"/>
      <c r="O98" s="558"/>
      <c r="P98" s="581"/>
      <c r="Q98" s="505"/>
      <c r="R98" s="505"/>
      <c r="S98" s="118"/>
      <c r="T98" s="424"/>
      <c r="U98" s="393"/>
      <c r="V98" s="118"/>
      <c r="W98" s="118"/>
      <c r="X98" s="118"/>
      <c r="Y98" s="118"/>
      <c r="Z98" s="118"/>
      <c r="AA98" s="394"/>
      <c r="AB98" s="381"/>
      <c r="AC98" s="139">
        <v>0</v>
      </c>
    </row>
    <row r="99" spans="1:29" ht="15" hidden="1" customHeight="1" outlineLevel="1">
      <c r="A99" s="213"/>
      <c r="B99" s="218" t="s">
        <v>413</v>
      </c>
      <c r="C99" s="213"/>
      <c r="D99" s="213"/>
      <c r="E99" s="218"/>
      <c r="F99" s="371"/>
      <c r="G99" s="1228"/>
      <c r="H99" s="391"/>
      <c r="I99" s="556"/>
      <c r="J99" s="557"/>
      <c r="K99" s="557"/>
      <c r="L99" s="557"/>
      <c r="M99" s="557"/>
      <c r="N99" s="557"/>
      <c r="O99" s="558"/>
      <c r="P99" s="581"/>
      <c r="Q99" s="505"/>
      <c r="R99" s="505"/>
      <c r="S99" s="118"/>
      <c r="T99" s="424"/>
      <c r="U99" s="393"/>
      <c r="V99" s="118"/>
      <c r="W99" s="118"/>
      <c r="X99" s="118"/>
      <c r="Y99" s="118"/>
      <c r="Z99" s="118"/>
      <c r="AA99" s="394"/>
      <c r="AB99" s="381"/>
      <c r="AC99" s="139">
        <v>0</v>
      </c>
    </row>
    <row r="100" spans="1:29" ht="15" hidden="1" customHeight="1" outlineLevel="1">
      <c r="A100" s="213"/>
      <c r="B100" s="218" t="s">
        <v>415</v>
      </c>
      <c r="C100" s="213"/>
      <c r="D100" s="213"/>
      <c r="E100" s="218"/>
      <c r="F100" s="371"/>
      <c r="G100" s="1228"/>
      <c r="H100" s="391"/>
      <c r="I100" s="556"/>
      <c r="J100" s="557"/>
      <c r="K100" s="557"/>
      <c r="L100" s="557"/>
      <c r="M100" s="557"/>
      <c r="N100" s="557"/>
      <c r="O100" s="558"/>
      <c r="P100" s="581"/>
      <c r="Q100" s="505"/>
      <c r="R100" s="505"/>
      <c r="S100" s="118"/>
      <c r="T100" s="424"/>
      <c r="U100" s="393"/>
      <c r="V100" s="118"/>
      <c r="W100" s="118"/>
      <c r="X100" s="118"/>
      <c r="Y100" s="118"/>
      <c r="Z100" s="118"/>
      <c r="AA100" s="394"/>
      <c r="AB100" s="381"/>
      <c r="AC100" s="139">
        <v>0</v>
      </c>
    </row>
    <row r="101" spans="1:29" ht="15" hidden="1" customHeight="1" outlineLevel="1">
      <c r="A101" s="213"/>
      <c r="B101" s="218" t="s">
        <v>418</v>
      </c>
      <c r="C101" s="213"/>
      <c r="D101" s="213"/>
      <c r="E101" s="218"/>
      <c r="F101" s="371"/>
      <c r="G101" s="1228"/>
      <c r="H101" s="391"/>
      <c r="I101" s="556"/>
      <c r="J101" s="557"/>
      <c r="K101" s="557"/>
      <c r="L101" s="557"/>
      <c r="M101" s="557"/>
      <c r="N101" s="557"/>
      <c r="O101" s="558"/>
      <c r="P101" s="581"/>
      <c r="Q101" s="505"/>
      <c r="R101" s="505"/>
      <c r="S101" s="118"/>
      <c r="T101" s="424" t="s">
        <v>433</v>
      </c>
      <c r="U101" s="434">
        <f t="shared" ref="U101:Z101" ca="1" si="67">VLOOKUP($T101, $T$41:$AA$49, MATCH(U$4, $S$4:$AA$4,0),0)</f>
        <v>3.6285147071598134E-2</v>
      </c>
      <c r="V101" s="117">
        <f t="shared" ca="1" si="67"/>
        <v>5.6826863793245863E-2</v>
      </c>
      <c r="W101" s="117">
        <f t="shared" ca="1" si="67"/>
        <v>7.9744735487233376E-2</v>
      </c>
      <c r="X101" s="117">
        <f t="shared" ca="1" si="67"/>
        <v>0.10382197588462216</v>
      </c>
      <c r="Y101" s="117">
        <f t="shared" ca="1" si="67"/>
        <v>0.12900137929281041</v>
      </c>
      <c r="Z101" s="117">
        <f t="shared" ca="1" si="67"/>
        <v>0.15510094686014897</v>
      </c>
      <c r="AA101" s="435">
        <f ca="1">VLOOKUP($T101, $T$41:$AA$49, MATCH(AA$4, $T$4:$AA$4,0),0)</f>
        <v>0.15510094686014897</v>
      </c>
      <c r="AB101" s="381"/>
      <c r="AC101" s="139">
        <v>0</v>
      </c>
    </row>
    <row r="102" spans="1:29" ht="15.75" collapsed="1" thickBot="1">
      <c r="A102" s="213"/>
      <c r="B102" s="219" t="s">
        <v>500</v>
      </c>
      <c r="C102" s="213"/>
      <c r="D102" s="218"/>
      <c r="E102" s="218"/>
      <c r="F102" s="371"/>
      <c r="G102" s="1229"/>
      <c r="H102" s="275" t="s">
        <v>501</v>
      </c>
      <c r="I102" s="252">
        <f t="shared" ref="I102:O102" ca="1" si="68">INDEX(INDIRECT($B$98 &amp; $B$99), MATCH($B102, INDIRECT($B$98 &amp; $B$100),0), MATCH($G$3, INDIRECT($B$98 &amp; $B$101), 0))</f>
        <v>40.865246183731202</v>
      </c>
      <c r="J102" s="65">
        <f t="shared" ca="1" si="68"/>
        <v>40.865246183731202</v>
      </c>
      <c r="K102" s="65">
        <f t="shared" ca="1" si="68"/>
        <v>40.865246183731202</v>
      </c>
      <c r="L102" s="65">
        <f t="shared" ca="1" si="68"/>
        <v>40.865246183731202</v>
      </c>
      <c r="M102" s="65">
        <f t="shared" ca="1" si="68"/>
        <v>40.865246183731202</v>
      </c>
      <c r="N102" s="65">
        <f t="shared" ca="1" si="68"/>
        <v>40.865246183731202</v>
      </c>
      <c r="O102" s="68">
        <f t="shared" ca="1" si="68"/>
        <v>40.865246183731202</v>
      </c>
      <c r="P102" s="582"/>
      <c r="Q102" s="505"/>
      <c r="R102" s="505"/>
      <c r="S102" s="118"/>
      <c r="T102" s="424"/>
      <c r="U102" s="445">
        <f ca="1">I102*$H$2</f>
        <v>40865.2461837312</v>
      </c>
      <c r="V102" s="29">
        <f t="shared" ref="V102:AA102" ca="1" si="69">J102*$H$2*(1+V101)</f>
        <v>43187.489962491556</v>
      </c>
      <c r="W102" s="29">
        <f t="shared" ca="1" si="69"/>
        <v>44124.034431273518</v>
      </c>
      <c r="X102" s="29">
        <f t="shared" ca="1" si="69"/>
        <v>45107.956787537689</v>
      </c>
      <c r="Y102" s="29">
        <f t="shared" ca="1" si="69"/>
        <v>46136.919306572781</v>
      </c>
      <c r="Z102" s="29">
        <f t="shared" ca="1" si="69"/>
        <v>47203.484560500998</v>
      </c>
      <c r="AA102" s="30">
        <f t="shared" ca="1" si="69"/>
        <v>47203.484560500998</v>
      </c>
      <c r="AB102" s="381"/>
      <c r="AC102" s="139">
        <v>1</v>
      </c>
    </row>
    <row r="103" spans="1:29" ht="15" hidden="1" customHeight="1" outlineLevel="1">
      <c r="A103" s="213"/>
      <c r="B103" s="219"/>
      <c r="C103" s="213"/>
      <c r="D103" s="218"/>
      <c r="E103" s="218"/>
      <c r="F103" s="218"/>
      <c r="G103" s="373"/>
      <c r="H103" s="373"/>
      <c r="I103" s="373"/>
      <c r="J103" s="373"/>
      <c r="K103" s="373"/>
      <c r="L103" s="373"/>
      <c r="M103" s="373"/>
      <c r="N103" s="373"/>
      <c r="O103" s="373"/>
      <c r="P103" s="373"/>
      <c r="Q103" s="506"/>
      <c r="R103" s="506"/>
      <c r="S103" s="218"/>
      <c r="T103" s="218"/>
      <c r="U103" s="373"/>
      <c r="V103" s="373"/>
      <c r="W103" s="373"/>
      <c r="X103" s="373"/>
      <c r="Y103" s="373"/>
      <c r="Z103" s="373"/>
      <c r="AA103" s="373"/>
      <c r="AB103" s="395"/>
      <c r="AC103" s="139">
        <v>0</v>
      </c>
    </row>
    <row r="104" spans="1:29" ht="15" hidden="1" customHeight="1" outlineLevel="1">
      <c r="A104" s="156"/>
      <c r="B104" s="156" t="s">
        <v>398</v>
      </c>
      <c r="C104" s="156"/>
      <c r="D104" s="217" t="s">
        <v>502</v>
      </c>
      <c r="E104" s="156"/>
      <c r="F104" s="156"/>
      <c r="G104" s="83"/>
      <c r="H104" s="83"/>
      <c r="I104" s="142"/>
      <c r="J104" s="142"/>
      <c r="K104" s="142"/>
      <c r="L104" s="142"/>
      <c r="M104" s="142"/>
      <c r="N104" s="142"/>
      <c r="O104" s="142"/>
      <c r="P104" s="118"/>
      <c r="Q104" s="507" t="s">
        <v>502</v>
      </c>
      <c r="R104" s="507"/>
      <c r="S104" s="118" t="s">
        <v>426</v>
      </c>
      <c r="T104" s="118"/>
      <c r="U104" s="118"/>
      <c r="V104" s="118"/>
      <c r="W104" s="118"/>
      <c r="X104" s="118"/>
      <c r="Y104" s="118"/>
      <c r="Z104" s="118"/>
      <c r="AA104" s="118"/>
      <c r="AB104" s="381"/>
      <c r="AC104" s="139">
        <v>0</v>
      </c>
    </row>
    <row r="105" spans="1:29" ht="15" hidden="1" customHeight="1" outlineLevel="1">
      <c r="A105" s="150"/>
      <c r="B105" s="150" t="s">
        <v>423</v>
      </c>
      <c r="C105" s="150"/>
      <c r="D105" s="94" t="s">
        <v>503</v>
      </c>
      <c r="E105" s="150"/>
      <c r="F105" s="150"/>
      <c r="G105" s="112"/>
      <c r="H105" s="112"/>
      <c r="I105" s="208"/>
      <c r="J105" s="208"/>
      <c r="K105" s="208"/>
      <c r="L105" s="208"/>
      <c r="M105" s="208"/>
      <c r="N105" s="208"/>
      <c r="O105" s="208"/>
      <c r="P105" s="106"/>
      <c r="Q105" s="508" t="s">
        <v>503</v>
      </c>
      <c r="R105" s="508"/>
      <c r="S105" s="106" t="s">
        <v>428</v>
      </c>
      <c r="T105" s="106"/>
      <c r="U105" s="106"/>
      <c r="V105" s="106"/>
      <c r="W105" s="106"/>
      <c r="X105" s="106"/>
      <c r="Y105" s="106"/>
      <c r="Z105" s="106"/>
      <c r="AA105" s="106"/>
      <c r="AB105" s="411"/>
      <c r="AC105" s="139">
        <v>0</v>
      </c>
    </row>
    <row r="106" spans="1:29" ht="15" hidden="1" customHeight="1" outlineLevel="1">
      <c r="A106" s="150"/>
      <c r="B106" s="150" t="s">
        <v>424</v>
      </c>
      <c r="C106" s="150"/>
      <c r="D106" s="94" t="s">
        <v>504</v>
      </c>
      <c r="E106" s="150"/>
      <c r="F106" s="150"/>
      <c r="G106" s="112"/>
      <c r="H106" s="112"/>
      <c r="I106" s="208"/>
      <c r="J106" s="208"/>
      <c r="K106" s="208"/>
      <c r="L106" s="208"/>
      <c r="M106" s="208"/>
      <c r="N106" s="208"/>
      <c r="O106" s="208"/>
      <c r="P106" s="106"/>
      <c r="Q106" s="508" t="s">
        <v>504</v>
      </c>
      <c r="R106" s="508"/>
      <c r="S106" s="106" t="s">
        <v>429</v>
      </c>
      <c r="T106" s="106"/>
      <c r="U106" s="106"/>
      <c r="V106" s="106"/>
      <c r="W106" s="106"/>
      <c r="X106" s="106"/>
      <c r="Y106" s="106"/>
      <c r="Z106" s="106"/>
      <c r="AA106" s="106"/>
      <c r="AB106" s="411"/>
      <c r="AC106" s="139">
        <v>0</v>
      </c>
    </row>
    <row r="107" spans="1:29" ht="15.95" hidden="1" customHeight="1" outlineLevel="1" thickBot="1">
      <c r="A107" s="150"/>
      <c r="B107" s="150" t="s">
        <v>425</v>
      </c>
      <c r="C107" s="150"/>
      <c r="D107" s="94" t="s">
        <v>505</v>
      </c>
      <c r="E107" s="150"/>
      <c r="F107" s="150"/>
      <c r="G107" s="375"/>
      <c r="H107" s="375"/>
      <c r="I107" s="401"/>
      <c r="J107" s="401"/>
      <c r="K107" s="401"/>
      <c r="L107" s="401"/>
      <c r="M107" s="401"/>
      <c r="N107" s="401"/>
      <c r="O107" s="401"/>
      <c r="P107" s="402"/>
      <c r="Q107" s="508" t="s">
        <v>505</v>
      </c>
      <c r="R107" s="508"/>
      <c r="S107" s="106" t="s">
        <v>431</v>
      </c>
      <c r="T107" s="106" t="s">
        <v>506</v>
      </c>
      <c r="U107" s="441">
        <f t="shared" ref="U107:AA107" ca="1" si="70">INDEX(INDIRECT($S$104 &amp; $S$105), MATCH($T$107, INDIRECT($S$104 &amp; $S$106), 0), MATCH(U$4,INDIRECT($S$104 &amp; $S$107),0))</f>
        <v>-4.726171504101262E-2</v>
      </c>
      <c r="V107" s="441">
        <f t="shared" ca="1" si="70"/>
        <v>-8.2409975195860796E-2</v>
      </c>
      <c r="W107" s="441">
        <f t="shared" ca="1" si="70"/>
        <v>-0.1162615516638914</v>
      </c>
      <c r="X107" s="441">
        <f t="shared" ca="1" si="70"/>
        <v>-0.14886428148102737</v>
      </c>
      <c r="Y107" s="441">
        <f t="shared" ca="1" si="70"/>
        <v>-0.18026423688732895</v>
      </c>
      <c r="Z107" s="441">
        <f t="shared" ca="1" si="70"/>
        <v>-0.21050579043354489</v>
      </c>
      <c r="AA107" s="441">
        <f t="shared" ca="1" si="70"/>
        <v>-0.23963167768576388</v>
      </c>
      <c r="AB107" s="411"/>
      <c r="AC107" s="139">
        <v>0</v>
      </c>
    </row>
    <row r="108" spans="1:29" collapsed="1">
      <c r="A108" s="150"/>
      <c r="B108" s="150" t="str">
        <f>LEFT($G$3,1) &amp; "S" &amp; C108</f>
        <v>HS_CompHardware</v>
      </c>
      <c r="C108" s="150" t="s">
        <v>507</v>
      </c>
      <c r="D108" s="209" t="s">
        <v>508</v>
      </c>
      <c r="E108" s="150"/>
      <c r="F108" s="374">
        <f ca="1">INDEX(INDIRECT($D$104 &amp; $D$105), MATCH($F$3, INDIRECT($D$104 &amp; $D$106),0), MATCH($D108, INDIRECT($D$104 &amp; $D$107),0))</f>
        <v>1096</v>
      </c>
      <c r="G108" s="1227" t="s">
        <v>509</v>
      </c>
      <c r="H108" s="271" t="s">
        <v>510</v>
      </c>
      <c r="I108" s="412">
        <f t="shared" ref="I108:O109" ca="1" si="71">INDEX(INDIRECT($B$104 &amp; $B$105), MATCH($B108, INDIRECT($B$104 &amp; $B$106),0), MATCH(I$4, INDIRECT($B$104 &amp; $B$107), 0))</f>
        <v>0.2</v>
      </c>
      <c r="J108" s="403">
        <f t="shared" ca="1" si="71"/>
        <v>0.2</v>
      </c>
      <c r="K108" s="403">
        <f t="shared" ca="1" si="71"/>
        <v>0.2</v>
      </c>
      <c r="L108" s="403">
        <f t="shared" ca="1" si="71"/>
        <v>0.25</v>
      </c>
      <c r="M108" s="403">
        <f t="shared" ca="1" si="71"/>
        <v>0.25</v>
      </c>
      <c r="N108" s="403">
        <f t="shared" ca="1" si="71"/>
        <v>0.2</v>
      </c>
      <c r="O108" s="413">
        <f t="shared" ca="1" si="71"/>
        <v>0.2</v>
      </c>
      <c r="P108" s="405">
        <f ca="1">INDEX(INDIRECT($Q$104 &amp; $Q$105), MATCH($Q108, INDIRECT($Q$104 &amp; $Q$106),0), MATCH($D108, INDIRECT($Q$104 &amp; $Q$107),0))</f>
        <v>501.85260551765964</v>
      </c>
      <c r="Q108" s="509" t="s">
        <v>511</v>
      </c>
      <c r="R108" s="509"/>
      <c r="S108" s="106"/>
      <c r="T108" s="425"/>
      <c r="U108" s="442">
        <f t="shared" ref="U108:AA109" ca="1" si="72">$F108*$P108*I108*(1+U$107)</f>
        <v>104807.01459773428</v>
      </c>
      <c r="V108" s="443">
        <f t="shared" ca="1" si="72"/>
        <v>100940.49188809769</v>
      </c>
      <c r="W108" s="443">
        <f t="shared" ca="1" si="72"/>
        <v>97216.612282279253</v>
      </c>
      <c r="X108" s="443">
        <f t="shared" ca="1" si="72"/>
        <v>117037.64176868234</v>
      </c>
      <c r="Y108" s="443">
        <f t="shared" ca="1" si="72"/>
        <v>112719.90882382367</v>
      </c>
      <c r="Z108" s="443">
        <f t="shared" ca="1" si="72"/>
        <v>86849.171963757137</v>
      </c>
      <c r="AA108" s="444">
        <f t="shared" ca="1" si="72"/>
        <v>83645.146956462835</v>
      </c>
      <c r="AB108" s="411"/>
      <c r="AC108" s="139">
        <v>1</v>
      </c>
    </row>
    <row r="109" spans="1:29" ht="15.75" thickBot="1">
      <c r="A109" s="150"/>
      <c r="B109" s="150" t="str">
        <f>LEFT($G$3,1) &amp; "S" &amp; C109</f>
        <v>HS_CompSoftware</v>
      </c>
      <c r="C109" s="150" t="s">
        <v>512</v>
      </c>
      <c r="D109" s="209" t="s">
        <v>508</v>
      </c>
      <c r="E109" s="150"/>
      <c r="F109" s="374">
        <f ca="1">INDEX(INDIRECT($D$104 &amp; $D$105), MATCH($F$3, INDIRECT($D$104 &amp; $D$106),0), MATCH($D109, INDIRECT($D$104 &amp; $D$107),0))</f>
        <v>1096</v>
      </c>
      <c r="G109" s="1229"/>
      <c r="H109" s="275" t="s">
        <v>513</v>
      </c>
      <c r="I109" s="414">
        <f t="shared" ca="1" si="71"/>
        <v>0.25</v>
      </c>
      <c r="J109" s="406">
        <f t="shared" ca="1" si="71"/>
        <v>0.25</v>
      </c>
      <c r="K109" s="406">
        <f t="shared" ca="1" si="71"/>
        <v>0.25</v>
      </c>
      <c r="L109" s="406">
        <f t="shared" ca="1" si="71"/>
        <v>0.5</v>
      </c>
      <c r="M109" s="406">
        <f t="shared" ca="1" si="71"/>
        <v>0.5</v>
      </c>
      <c r="N109" s="406">
        <f t="shared" ca="1" si="71"/>
        <v>0.25</v>
      </c>
      <c r="O109" s="415">
        <f t="shared" ca="1" si="71"/>
        <v>0.25</v>
      </c>
      <c r="P109" s="407">
        <f ca="1">INDEX(INDIRECT($Q$104 &amp; $Q$105), MATCH($Q109, INDIRECT($Q$104 &amp; $Q$106),0), MATCH($D109, INDIRECT($Q$104 &amp; $Q$107),0))</f>
        <v>500</v>
      </c>
      <c r="Q109" s="509" t="s">
        <v>514</v>
      </c>
      <c r="R109" s="509"/>
      <c r="S109" s="106"/>
      <c r="T109" s="425"/>
      <c r="U109" s="445">
        <f t="shared" ca="1" si="72"/>
        <v>130525.14503938127</v>
      </c>
      <c r="V109" s="29">
        <f t="shared" ca="1" si="72"/>
        <v>125709.83339816707</v>
      </c>
      <c r="W109" s="29">
        <f t="shared" ca="1" si="72"/>
        <v>121072.16742204687</v>
      </c>
      <c r="X109" s="29">
        <f t="shared" ca="1" si="72"/>
        <v>233211.18687419849</v>
      </c>
      <c r="Y109" s="29">
        <f t="shared" ca="1" si="72"/>
        <v>224607.59909287185</v>
      </c>
      <c r="Z109" s="29">
        <f t="shared" ca="1" si="72"/>
        <v>108160.70671060435</v>
      </c>
      <c r="AA109" s="30">
        <f t="shared" ca="1" si="72"/>
        <v>104170.46015705034</v>
      </c>
      <c r="AB109" s="411"/>
      <c r="AC109" s="139">
        <v>1</v>
      </c>
    </row>
    <row r="110" spans="1:29" ht="15" hidden="1" customHeight="1" outlineLevel="1">
      <c r="A110" s="150"/>
      <c r="B110" s="150"/>
      <c r="C110" s="150"/>
      <c r="D110" s="150"/>
      <c r="E110" s="150"/>
      <c r="F110" s="150"/>
      <c r="G110" s="376"/>
      <c r="H110" s="376"/>
      <c r="I110" s="376"/>
      <c r="J110" s="376"/>
      <c r="K110" s="376"/>
      <c r="L110" s="376"/>
      <c r="M110" s="376"/>
      <c r="N110" s="376"/>
      <c r="O110" s="376"/>
      <c r="P110" s="376"/>
      <c r="Q110" s="510"/>
      <c r="R110" s="510"/>
      <c r="S110" s="150"/>
      <c r="T110" s="150"/>
      <c r="U110" s="376"/>
      <c r="V110" s="376"/>
      <c r="W110" s="376"/>
      <c r="X110" s="376"/>
      <c r="Y110" s="376"/>
      <c r="Z110" s="376"/>
      <c r="AA110" s="376"/>
      <c r="AB110" s="256"/>
      <c r="AC110" s="139">
        <v>0</v>
      </c>
    </row>
    <row r="111" spans="1:29" ht="15.95" hidden="1" customHeight="1" outlineLevel="1" thickBot="1">
      <c r="A111" s="157"/>
      <c r="B111" s="157"/>
      <c r="C111" s="157"/>
      <c r="D111" s="157"/>
      <c r="E111" s="158"/>
      <c r="F111" s="158"/>
      <c r="G111" s="377"/>
      <c r="H111" s="377"/>
      <c r="I111" s="377"/>
      <c r="J111" s="377"/>
      <c r="K111" s="377"/>
      <c r="L111" s="377"/>
      <c r="M111" s="377"/>
      <c r="N111" s="377"/>
      <c r="O111" s="377"/>
      <c r="P111" s="377"/>
      <c r="Q111" s="511"/>
      <c r="R111" s="511"/>
      <c r="S111" s="116" t="s">
        <v>426</v>
      </c>
      <c r="T111" s="116" t="s">
        <v>515</v>
      </c>
      <c r="U111" s="446">
        <f ca="1">INDEX(INDIRECT($S$111 &amp; $S$112), MATCH($T$111, INDIRECT($S$111 &amp; $S$113), 0), MATCH(U$4,INDIRECT($S$111 &amp; $S$114),0))</f>
        <v>2.4143495093307266E-2</v>
      </c>
      <c r="V111" s="446">
        <f t="shared" ref="V111:AA111" ca="1" si="73">INDEX(INDIRECT($S$111 &amp; $S$112), MATCH($T$111, INDIRECT($S$111 &amp; $S$113), 0), MATCH(V$4,INDIRECT($S$111 &amp; $S$114),0))</f>
        <v>-4.4357521600177918E-3</v>
      </c>
      <c r="W111" s="446">
        <f t="shared" ca="1" si="73"/>
        <v>-3.2217480923521946E-2</v>
      </c>
      <c r="X111" s="446">
        <f t="shared" ca="1" si="73"/>
        <v>-5.9223946357950696E-2</v>
      </c>
      <c r="Y111" s="446">
        <f t="shared" ca="1" si="73"/>
        <v>-8.5476782582423305E-2</v>
      </c>
      <c r="Z111" s="446">
        <f t="shared" ca="1" si="73"/>
        <v>-0.11099702000491651</v>
      </c>
      <c r="AA111" s="446">
        <f t="shared" ca="1" si="73"/>
        <v>-0.13580510216913266</v>
      </c>
      <c r="AB111" s="446"/>
      <c r="AC111" s="139">
        <v>0</v>
      </c>
    </row>
    <row r="112" spans="1:29" collapsed="1">
      <c r="A112" s="157"/>
      <c r="B112" s="158" t="s">
        <v>398</v>
      </c>
      <c r="C112" s="91" t="str">
        <f>LEFT($G$3,1) &amp; "S" &amp; D112</f>
        <v>HS_TextsConsumables</v>
      </c>
      <c r="D112" s="158" t="s">
        <v>516</v>
      </c>
      <c r="E112" s="114"/>
      <c r="F112" s="130"/>
      <c r="G112" s="1227" t="s">
        <v>517</v>
      </c>
      <c r="H112" s="271" t="s">
        <v>518</v>
      </c>
      <c r="I112" s="259">
        <f t="shared" ref="I112:O112" ca="1" si="74">INDEX(INDIRECT($B$112 &amp; $B$113), MATCH($C112, INDIRECT($B$112 &amp; $B$114),0), MATCH(I$4, INDIRECT($B$112 &amp; $B$115), 0))</f>
        <v>108.2</v>
      </c>
      <c r="J112" s="260">
        <f t="shared" ca="1" si="74"/>
        <v>112.12605291314692</v>
      </c>
      <c r="K112" s="260">
        <f t="shared" ca="1" si="74"/>
        <v>112.12605291314692</v>
      </c>
      <c r="L112" s="260">
        <f t="shared" ca="1" si="74"/>
        <v>112.12605291314692</v>
      </c>
      <c r="M112" s="260">
        <f t="shared" ca="1" si="74"/>
        <v>112.12605291314692</v>
      </c>
      <c r="N112" s="260">
        <f t="shared" ca="1" si="74"/>
        <v>112.12605291314692</v>
      </c>
      <c r="O112" s="261">
        <f t="shared" ca="1" si="74"/>
        <v>112.12605291314692</v>
      </c>
      <c r="P112" s="583"/>
      <c r="Q112" s="511"/>
      <c r="R112" s="511"/>
      <c r="S112" s="116" t="s">
        <v>428</v>
      </c>
      <c r="T112" s="426"/>
      <c r="U112" s="442">
        <f t="shared" ref="U112:AA112" ca="1" si="75">I112*$H$2*(1+U$111)</f>
        <v>110812.32616909585</v>
      </c>
      <c r="V112" s="443">
        <f t="shared" ca="1" si="75"/>
        <v>111628.68953174316</v>
      </c>
      <c r="W112" s="443">
        <f t="shared" ca="1" si="75"/>
        <v>108513.63394238779</v>
      </c>
      <c r="X112" s="443">
        <f t="shared" ca="1" si="75"/>
        <v>105485.50557008997</v>
      </c>
      <c r="Y112" s="443">
        <f t="shared" ca="1" si="75"/>
        <v>102541.87866646457</v>
      </c>
      <c r="Z112" s="443">
        <f t="shared" ca="1" si="75"/>
        <v>99680.395174874022</v>
      </c>
      <c r="AA112" s="444">
        <f t="shared" ca="1" si="75"/>
        <v>96898.762841455435</v>
      </c>
      <c r="AB112" s="396"/>
      <c r="AC112" s="139">
        <v>1</v>
      </c>
    </row>
    <row r="113" spans="1:29" ht="15" hidden="1" customHeight="1" outlineLevel="1">
      <c r="A113" s="157"/>
      <c r="B113" s="158" t="s">
        <v>423</v>
      </c>
      <c r="C113" s="91"/>
      <c r="D113" s="158"/>
      <c r="E113" s="114"/>
      <c r="F113" s="130"/>
      <c r="G113" s="1228"/>
      <c r="H113" s="410"/>
      <c r="I113" s="550"/>
      <c r="J113" s="551"/>
      <c r="K113" s="551"/>
      <c r="L113" s="551"/>
      <c r="M113" s="551"/>
      <c r="N113" s="551"/>
      <c r="O113" s="552"/>
      <c r="P113" s="410"/>
      <c r="Q113" s="512"/>
      <c r="R113" s="512"/>
      <c r="S113" s="116" t="s">
        <v>429</v>
      </c>
      <c r="T113" s="427" t="s">
        <v>433</v>
      </c>
      <c r="U113" s="436">
        <f t="shared" ref="U113:Z113" ca="1" si="76">VLOOKUP($T113, $T$41:$AA$49, MATCH(U$4, $S$4:$AA$4,0),0)</f>
        <v>3.6285147071598134E-2</v>
      </c>
      <c r="V113" s="115">
        <f t="shared" ca="1" si="76"/>
        <v>5.6826863793245863E-2</v>
      </c>
      <c r="W113" s="115">
        <f t="shared" ca="1" si="76"/>
        <v>7.9744735487233376E-2</v>
      </c>
      <c r="X113" s="115">
        <f t="shared" ca="1" si="76"/>
        <v>0.10382197588462216</v>
      </c>
      <c r="Y113" s="115">
        <f t="shared" ca="1" si="76"/>
        <v>0.12900137929281041</v>
      </c>
      <c r="Z113" s="115">
        <f t="shared" ca="1" si="76"/>
        <v>0.15510094686014897</v>
      </c>
      <c r="AA113" s="437">
        <f ca="1">VLOOKUP($T113, $T$41:$AA$49, MATCH(AA$4, $T$4:$AA$4,0),0)</f>
        <v>0.15510094686014897</v>
      </c>
      <c r="AB113" s="396"/>
      <c r="AC113" s="139">
        <v>0</v>
      </c>
    </row>
    <row r="114" spans="1:29" collapsed="1">
      <c r="A114" s="157"/>
      <c r="B114" s="158" t="s">
        <v>424</v>
      </c>
      <c r="C114" s="91" t="str">
        <f>LEFT($G$3,1) &amp; "S" &amp; D114</f>
        <v>HS_CME</v>
      </c>
      <c r="D114" s="158" t="s">
        <v>519</v>
      </c>
      <c r="E114" s="114"/>
      <c r="F114" s="130"/>
      <c r="G114" s="1228"/>
      <c r="H114" s="272" t="s">
        <v>520</v>
      </c>
      <c r="I114" s="67">
        <f t="shared" ref="I114:O116" ca="1" si="77">INDEX(INDIRECT($B$112 &amp; $B$113), MATCH($C114, INDIRECT($B$112 &amp; $B$114),0), MATCH(I$4, INDIRECT($B$112 &amp; $B$115), 0))</f>
        <v>238.58</v>
      </c>
      <c r="J114" s="23">
        <f t="shared" ca="1" si="77"/>
        <v>247.2369103883419</v>
      </c>
      <c r="K114" s="23">
        <f t="shared" ca="1" si="77"/>
        <v>247.2369103883419</v>
      </c>
      <c r="L114" s="23">
        <f t="shared" ca="1" si="77"/>
        <v>247.2369103883419</v>
      </c>
      <c r="M114" s="23">
        <f t="shared" ca="1" si="77"/>
        <v>247.2369103883419</v>
      </c>
      <c r="N114" s="23">
        <f t="shared" ca="1" si="77"/>
        <v>247.2369103883419</v>
      </c>
      <c r="O114" s="24">
        <f t="shared" ca="1" si="77"/>
        <v>247.2369103883419</v>
      </c>
      <c r="P114" s="581"/>
      <c r="Q114" s="511"/>
      <c r="R114" s="511"/>
      <c r="S114" s="116" t="s">
        <v>431</v>
      </c>
      <c r="T114" s="427"/>
      <c r="U114" s="311">
        <f t="shared" ref="U114:AA116" ca="1" si="78">I114*$H$2*(1+U$113)</f>
        <v>247236.91038834187</v>
      </c>
      <c r="V114" s="25">
        <f t="shared" ca="1" si="78"/>
        <v>261286.60861964314</v>
      </c>
      <c r="W114" s="25">
        <f t="shared" ca="1" si="78"/>
        <v>266952.75240994105</v>
      </c>
      <c r="X114" s="25">
        <f t="shared" ca="1" si="78"/>
        <v>272905.53493646882</v>
      </c>
      <c r="Y114" s="25">
        <f t="shared" ca="1" si="78"/>
        <v>279130.812840531</v>
      </c>
      <c r="Z114" s="25">
        <f t="shared" ca="1" si="78"/>
        <v>285583.58928835153</v>
      </c>
      <c r="AA114" s="28">
        <f t="shared" ca="1" si="78"/>
        <v>285583.58928835153</v>
      </c>
      <c r="AB114" s="396"/>
      <c r="AC114" s="139">
        <v>1</v>
      </c>
    </row>
    <row r="115" spans="1:29">
      <c r="A115" s="157"/>
      <c r="B115" s="158" t="s">
        <v>425</v>
      </c>
      <c r="C115" s="91" t="str">
        <f>LEFT($G$3,1) &amp; "S" &amp; D115</f>
        <v>HS_MediaMaterials</v>
      </c>
      <c r="D115" s="158" t="s">
        <v>521</v>
      </c>
      <c r="E115" s="91"/>
      <c r="F115" s="92"/>
      <c r="G115" s="1228"/>
      <c r="H115" s="237" t="s">
        <v>522</v>
      </c>
      <c r="I115" s="67">
        <f t="shared" ca="1" si="77"/>
        <v>15.67</v>
      </c>
      <c r="J115" s="23">
        <f t="shared" ca="1" si="77"/>
        <v>16.238588254611944</v>
      </c>
      <c r="K115" s="23">
        <f t="shared" ca="1" si="77"/>
        <v>16.238588254611944</v>
      </c>
      <c r="L115" s="23">
        <f t="shared" ca="1" si="77"/>
        <v>40</v>
      </c>
      <c r="M115" s="23">
        <f t="shared" ca="1" si="77"/>
        <v>40</v>
      </c>
      <c r="N115" s="23">
        <f t="shared" ca="1" si="77"/>
        <v>16.238588254611944</v>
      </c>
      <c r="O115" s="24">
        <f t="shared" ca="1" si="77"/>
        <v>16.238588254611944</v>
      </c>
      <c r="P115" s="581"/>
      <c r="Q115" s="511"/>
      <c r="R115" s="511"/>
      <c r="S115" s="111"/>
      <c r="T115" s="427"/>
      <c r="U115" s="311">
        <f t="shared" ca="1" si="78"/>
        <v>16238.588254611943</v>
      </c>
      <c r="V115" s="25">
        <f t="shared" ca="1" si="78"/>
        <v>17161.376297551378</v>
      </c>
      <c r="W115" s="25">
        <f t="shared" ca="1" si="78"/>
        <v>17533.53017966207</v>
      </c>
      <c r="X115" s="25">
        <f t="shared" ca="1" si="78"/>
        <v>44152.879035384889</v>
      </c>
      <c r="Y115" s="25">
        <f t="shared" ca="1" si="78"/>
        <v>45160.055171712418</v>
      </c>
      <c r="Z115" s="25">
        <f t="shared" ca="1" si="78"/>
        <v>18757.208668574352</v>
      </c>
      <c r="AA115" s="28">
        <f t="shared" ca="1" si="78"/>
        <v>18757.208668574352</v>
      </c>
      <c r="AB115" s="396"/>
      <c r="AC115" s="139">
        <v>1</v>
      </c>
    </row>
    <row r="116" spans="1:29" ht="15.75" thickBot="1">
      <c r="A116" s="157"/>
      <c r="B116" s="157"/>
      <c r="C116" s="91" t="str">
        <f>LEFT($G$3,1) &amp; "S" &amp; D116</f>
        <v>HS_TeacherReimbExp</v>
      </c>
      <c r="D116" s="158" t="s">
        <v>523</v>
      </c>
      <c r="E116" s="91"/>
      <c r="F116" s="92"/>
      <c r="G116" s="1229"/>
      <c r="H116" s="275" t="s">
        <v>524</v>
      </c>
      <c r="I116" s="252">
        <f t="shared" ca="1" si="77"/>
        <v>0</v>
      </c>
      <c r="J116" s="65">
        <f t="shared" ca="1" si="77"/>
        <v>0</v>
      </c>
      <c r="K116" s="65">
        <f t="shared" ca="1" si="77"/>
        <v>0</v>
      </c>
      <c r="L116" s="65">
        <f t="shared" ca="1" si="77"/>
        <v>20.153571428571425</v>
      </c>
      <c r="M116" s="65">
        <f t="shared" ca="1" si="77"/>
        <v>20.153571428571425</v>
      </c>
      <c r="N116" s="65">
        <f t="shared" ca="1" si="77"/>
        <v>0</v>
      </c>
      <c r="O116" s="68">
        <f t="shared" ca="1" si="77"/>
        <v>0</v>
      </c>
      <c r="P116" s="582"/>
      <c r="Q116" s="511"/>
      <c r="R116" s="511"/>
      <c r="S116" s="111"/>
      <c r="T116" s="427"/>
      <c r="U116" s="445">
        <f t="shared" ca="1" si="78"/>
        <v>0</v>
      </c>
      <c r="V116" s="29">
        <f t="shared" ca="1" si="78"/>
        <v>0</v>
      </c>
      <c r="W116" s="29">
        <f t="shared" ca="1" si="78"/>
        <v>0</v>
      </c>
      <c r="X116" s="29">
        <f t="shared" ca="1" si="78"/>
        <v>22245.955035417577</v>
      </c>
      <c r="Y116" s="29">
        <f t="shared" ca="1" si="78"/>
        <v>22753.409940533315</v>
      </c>
      <c r="Z116" s="29">
        <f t="shared" ca="1" si="78"/>
        <v>0</v>
      </c>
      <c r="AA116" s="30">
        <f t="shared" ca="1" si="78"/>
        <v>0</v>
      </c>
      <c r="AB116" s="396"/>
      <c r="AC116" s="139">
        <v>1</v>
      </c>
    </row>
    <row r="117" spans="1:29" ht="15" hidden="1" customHeight="1" outlineLevel="1">
      <c r="A117" s="157"/>
      <c r="B117" s="157"/>
      <c r="C117" s="157"/>
      <c r="D117" s="157"/>
      <c r="E117" s="157"/>
      <c r="F117" s="157"/>
      <c r="G117" s="378"/>
      <c r="H117" s="378"/>
      <c r="I117" s="378"/>
      <c r="J117" s="378"/>
      <c r="K117" s="378"/>
      <c r="L117" s="378"/>
      <c r="M117" s="378"/>
      <c r="N117" s="378"/>
      <c r="O117" s="378"/>
      <c r="P117" s="378"/>
      <c r="Q117" s="513"/>
      <c r="R117" s="513"/>
      <c r="S117" s="157"/>
      <c r="T117" s="157"/>
      <c r="U117" s="378"/>
      <c r="V117" s="378"/>
      <c r="W117" s="378"/>
      <c r="X117" s="378"/>
      <c r="Y117" s="378"/>
      <c r="Z117" s="378"/>
      <c r="AA117" s="378"/>
      <c r="AB117" s="396"/>
      <c r="AC117" s="139">
        <v>0</v>
      </c>
    </row>
    <row r="118" spans="1:29" ht="15" hidden="1" customHeight="1" outlineLevel="1">
      <c r="A118" s="199"/>
      <c r="B118" s="200"/>
      <c r="C118" s="200"/>
      <c r="D118" s="200"/>
      <c r="E118" s="200"/>
      <c r="F118" s="200"/>
      <c r="G118" s="200"/>
      <c r="H118" s="200"/>
      <c r="I118" s="200"/>
      <c r="J118" s="200"/>
      <c r="K118" s="200"/>
      <c r="L118" s="200"/>
      <c r="M118" s="200"/>
      <c r="N118" s="200"/>
      <c r="O118" s="200"/>
      <c r="P118" s="200"/>
      <c r="Q118" s="514"/>
      <c r="R118" s="514"/>
      <c r="S118" s="200"/>
      <c r="T118" s="201" t="s">
        <v>433</v>
      </c>
      <c r="U118" s="119">
        <f t="shared" ref="U118:AA119" si="79">VLOOKUP($T118, $T$41:$AA$49, MATCH(U$4, $T$4:$AA$4,0),0)</f>
        <v>0</v>
      </c>
      <c r="V118" s="119">
        <f t="shared" ca="1" si="79"/>
        <v>3.6285147071598134E-2</v>
      </c>
      <c r="W118" s="119">
        <f t="shared" ca="1" si="79"/>
        <v>5.6826863793245863E-2</v>
      </c>
      <c r="X118" s="119">
        <f t="shared" ca="1" si="79"/>
        <v>7.9744735487233376E-2</v>
      </c>
      <c r="Y118" s="119">
        <f t="shared" ca="1" si="79"/>
        <v>0.10382197588462216</v>
      </c>
      <c r="Z118" s="119">
        <f t="shared" ca="1" si="79"/>
        <v>0.12900137929281041</v>
      </c>
      <c r="AA118" s="119">
        <f t="shared" ca="1" si="79"/>
        <v>0.15510094686014897</v>
      </c>
      <c r="AB118" s="397"/>
      <c r="AC118" s="139">
        <v>0</v>
      </c>
    </row>
    <row r="119" spans="1:29" ht="15.95" hidden="1" customHeight="1" outlineLevel="1" thickBot="1">
      <c r="A119" s="199"/>
      <c r="B119" s="200"/>
      <c r="C119" s="200"/>
      <c r="D119" s="200"/>
      <c r="E119" s="200"/>
      <c r="F119" s="200"/>
      <c r="G119" s="379"/>
      <c r="H119" s="379"/>
      <c r="I119" s="379"/>
      <c r="J119" s="379"/>
      <c r="K119" s="379"/>
      <c r="L119" s="379"/>
      <c r="M119" s="379"/>
      <c r="N119" s="379"/>
      <c r="O119" s="379"/>
      <c r="P119" s="379"/>
      <c r="Q119" s="514"/>
      <c r="R119" s="514"/>
      <c r="S119" s="200"/>
      <c r="T119" s="201" t="s">
        <v>427</v>
      </c>
      <c r="U119" s="546">
        <f t="shared" si="79"/>
        <v>0</v>
      </c>
      <c r="V119" s="546">
        <f t="shared" ca="1" si="79"/>
        <v>5.2675379955796853E-2</v>
      </c>
      <c r="W119" s="546">
        <f t="shared" ca="1" si="79"/>
        <v>8.6164329717592247E-2</v>
      </c>
      <c r="X119" s="546">
        <f t="shared" ca="1" si="79"/>
        <v>0.141531828972141</v>
      </c>
      <c r="Y119" s="546">
        <f t="shared" ca="1" si="79"/>
        <v>0.18034598488362574</v>
      </c>
      <c r="Z119" s="546">
        <f t="shared" ca="1" si="79"/>
        <v>0.22152036890501803</v>
      </c>
      <c r="AA119" s="546">
        <f t="shared" ca="1" si="79"/>
        <v>0.26521869628093553</v>
      </c>
      <c r="AB119" s="397"/>
      <c r="AC119" s="139">
        <v>0</v>
      </c>
    </row>
    <row r="120" spans="1:29" collapsed="1">
      <c r="A120" s="89"/>
      <c r="B120" s="81" t="s">
        <v>434</v>
      </c>
      <c r="C120" s="81" t="str">
        <f>LEFT($G$3,1) &amp; "S" &amp; D120</f>
        <v>HS_ExCurrExp</v>
      </c>
      <c r="D120" s="202" t="s">
        <v>525</v>
      </c>
      <c r="E120" s="81"/>
      <c r="F120" s="82">
        <f>IF(LEFT($F$3,1)="H",0,1)</f>
        <v>0</v>
      </c>
      <c r="G120" s="1215" t="s">
        <v>526</v>
      </c>
      <c r="H120" s="271" t="s">
        <v>527</v>
      </c>
      <c r="I120" s="323">
        <f t="shared" ref="I120:O123" ca="1" si="80">IFERROR(INDEX(INDIRECT($B$120 &amp; $B$121), MATCH($C120, INDIRECT($B$120 &amp; $B$122),0), MATCH(I$4, INDIRECT($B$120 &amp; $B$123), 0)),0)</f>
        <v>0</v>
      </c>
      <c r="J120" s="408">
        <f t="shared" ca="1" si="80"/>
        <v>0</v>
      </c>
      <c r="K120" s="408">
        <f t="shared" ca="1" si="80"/>
        <v>0</v>
      </c>
      <c r="L120" s="408">
        <f t="shared" ca="1" si="80"/>
        <v>0</v>
      </c>
      <c r="M120" s="408">
        <f t="shared" ca="1" si="80"/>
        <v>0</v>
      </c>
      <c r="N120" s="408">
        <f t="shared" ca="1" si="80"/>
        <v>0</v>
      </c>
      <c r="O120" s="416">
        <f t="shared" ca="1" si="80"/>
        <v>0</v>
      </c>
      <c r="P120" s="583"/>
      <c r="Q120" s="515"/>
      <c r="R120" s="515"/>
      <c r="S120" s="120"/>
      <c r="T120" s="348"/>
      <c r="U120" s="547">
        <f t="shared" ref="U120:AA120" ca="1" si="81">I120*$H$2*(1+U118)*$F120</f>
        <v>0</v>
      </c>
      <c r="V120" s="404">
        <f t="shared" ca="1" si="81"/>
        <v>0</v>
      </c>
      <c r="W120" s="404">
        <f t="shared" ca="1" si="81"/>
        <v>0</v>
      </c>
      <c r="X120" s="404">
        <f t="shared" ca="1" si="81"/>
        <v>0</v>
      </c>
      <c r="Y120" s="404">
        <f t="shared" ca="1" si="81"/>
        <v>0</v>
      </c>
      <c r="Z120" s="404">
        <f t="shared" ca="1" si="81"/>
        <v>0</v>
      </c>
      <c r="AA120" s="409">
        <f t="shared" ca="1" si="81"/>
        <v>0</v>
      </c>
      <c r="AB120" s="398"/>
      <c r="AC120" s="139">
        <v>1</v>
      </c>
    </row>
    <row r="121" spans="1:29">
      <c r="A121" s="89"/>
      <c r="B121" s="81" t="s">
        <v>617</v>
      </c>
      <c r="C121" s="81" t="str">
        <f>LEFT($G$3,1) &amp; "S" &amp; D121</f>
        <v>HS_Coach</v>
      </c>
      <c r="D121" s="202" t="s">
        <v>528</v>
      </c>
      <c r="E121" s="81"/>
      <c r="F121" s="82">
        <f>IF(LEFT($F$3,1)="H",1,0)</f>
        <v>1</v>
      </c>
      <c r="G121" s="1216"/>
      <c r="H121" s="272" t="s">
        <v>529</v>
      </c>
      <c r="I121" s="417">
        <f ca="1">IFERROR(INDEX(INDIRECT($B$120 &amp; $B$121), MATCH($C121, INDIRECT($B$120 &amp; $B$122),0), MATCH(I$4, INDIRECT($B$120 &amp; $B$123), 0)),0)</f>
        <v>37</v>
      </c>
      <c r="J121" s="198">
        <f t="shared" ca="1" si="80"/>
        <v>37</v>
      </c>
      <c r="K121" s="198">
        <f t="shared" ca="1" si="80"/>
        <v>37</v>
      </c>
      <c r="L121" s="198">
        <f t="shared" ca="1" si="80"/>
        <v>37</v>
      </c>
      <c r="M121" s="198">
        <f t="shared" ca="1" si="80"/>
        <v>37</v>
      </c>
      <c r="N121" s="198">
        <f t="shared" ca="1" si="80"/>
        <v>37</v>
      </c>
      <c r="O121" s="418">
        <f t="shared" ca="1" si="80"/>
        <v>37</v>
      </c>
      <c r="P121" s="579">
        <f ca="1">IFERROR(INDEX(INDIRECT($B$120 &amp; $B$121), MATCH($C121, INDIRECT($B$120 &amp; $B$122),0), MATCH(P$4, INDIRECT($B$120 &amp; $B$123), 0)),0)</f>
        <v>10500</v>
      </c>
      <c r="Q121" s="516" t="s">
        <v>398</v>
      </c>
      <c r="R121" s="516"/>
      <c r="S121" s="206"/>
      <c r="T121" s="428"/>
      <c r="U121" s="548">
        <f ca="1">I121*$P121*$F121</f>
        <v>388500</v>
      </c>
      <c r="V121" s="27">
        <f t="shared" ref="V121:AA121" ca="1" si="82">J121*$P121*(1+V119)*$F121</f>
        <v>408964.38511282706</v>
      </c>
      <c r="W121" s="27">
        <f t="shared" ca="1" si="82"/>
        <v>421974.84209528461</v>
      </c>
      <c r="X121" s="27">
        <f t="shared" ca="1" si="82"/>
        <v>443485.11555567681</v>
      </c>
      <c r="Y121" s="27">
        <f t="shared" ca="1" si="82"/>
        <v>458564.41512728861</v>
      </c>
      <c r="Z121" s="27">
        <f t="shared" ca="1" si="82"/>
        <v>474560.66331959952</v>
      </c>
      <c r="AA121" s="386">
        <f t="shared" ca="1" si="82"/>
        <v>491537.46350514347</v>
      </c>
      <c r="AB121" s="398"/>
      <c r="AC121" s="139">
        <v>1</v>
      </c>
    </row>
    <row r="122" spans="1:29">
      <c r="A122" s="89"/>
      <c r="B122" s="81" t="s">
        <v>439</v>
      </c>
      <c r="C122" s="81" t="str">
        <f>LEFT($G$3,1) &amp; "S" &amp; D122</f>
        <v>HS_AthlEventExp</v>
      </c>
      <c r="D122" s="202" t="s">
        <v>530</v>
      </c>
      <c r="E122" s="81"/>
      <c r="F122" s="82">
        <f>IF(LEFT($F$3,1)="H",1,0)</f>
        <v>1</v>
      </c>
      <c r="G122" s="1216"/>
      <c r="H122" s="272" t="s">
        <v>531</v>
      </c>
      <c r="I122" s="312">
        <f t="shared" ca="1" si="80"/>
        <v>0</v>
      </c>
      <c r="J122" s="102">
        <f t="shared" ca="1" si="80"/>
        <v>0</v>
      </c>
      <c r="K122" s="102">
        <f t="shared" ca="1" si="80"/>
        <v>0</v>
      </c>
      <c r="L122" s="102">
        <f t="shared" ca="1" si="80"/>
        <v>0</v>
      </c>
      <c r="M122" s="102">
        <f t="shared" ca="1" si="80"/>
        <v>0</v>
      </c>
      <c r="N122" s="102">
        <f t="shared" ca="1" si="80"/>
        <v>0</v>
      </c>
      <c r="O122" s="313">
        <f t="shared" ca="1" si="80"/>
        <v>0</v>
      </c>
      <c r="P122" s="584"/>
      <c r="Q122" s="516" t="s">
        <v>423</v>
      </c>
      <c r="R122" s="516"/>
      <c r="S122" s="206"/>
      <c r="T122" s="428"/>
      <c r="U122" s="548">
        <f t="shared" ref="U122:AA122" ca="1" si="83">I122*$H$2*(1+U118)*$F122</f>
        <v>0</v>
      </c>
      <c r="V122" s="27">
        <f t="shared" ca="1" si="83"/>
        <v>0</v>
      </c>
      <c r="W122" s="27">
        <f t="shared" ca="1" si="83"/>
        <v>0</v>
      </c>
      <c r="X122" s="27">
        <f t="shared" ca="1" si="83"/>
        <v>0</v>
      </c>
      <c r="Y122" s="27">
        <f t="shared" ca="1" si="83"/>
        <v>0</v>
      </c>
      <c r="Z122" s="27">
        <f t="shared" ca="1" si="83"/>
        <v>0</v>
      </c>
      <c r="AA122" s="386">
        <f t="shared" ca="1" si="83"/>
        <v>0</v>
      </c>
      <c r="AB122" s="398"/>
      <c r="AC122" s="139">
        <v>1</v>
      </c>
    </row>
    <row r="123" spans="1:29">
      <c r="A123" s="89"/>
      <c r="B123" s="81" t="s">
        <v>443</v>
      </c>
      <c r="C123" s="81" t="str">
        <f>LEFT($G$3,1) &amp; "S" &amp; D123</f>
        <v>HS_OtherExtCurExp</v>
      </c>
      <c r="D123" s="202" t="s">
        <v>532</v>
      </c>
      <c r="E123" s="81"/>
      <c r="F123" s="82">
        <f>IF(LEFT($F$3,1)="H",1,0)</f>
        <v>1</v>
      </c>
      <c r="G123" s="1216"/>
      <c r="H123" s="272" t="s">
        <v>533</v>
      </c>
      <c r="I123" s="312">
        <f t="shared" ca="1" si="80"/>
        <v>475</v>
      </c>
      <c r="J123" s="102">
        <f t="shared" ca="1" si="80"/>
        <v>475</v>
      </c>
      <c r="K123" s="102">
        <f t="shared" ca="1" si="80"/>
        <v>475</v>
      </c>
      <c r="L123" s="102">
        <f t="shared" ca="1" si="80"/>
        <v>475</v>
      </c>
      <c r="M123" s="102">
        <f t="shared" ca="1" si="80"/>
        <v>475</v>
      </c>
      <c r="N123" s="102">
        <f t="shared" ca="1" si="80"/>
        <v>475</v>
      </c>
      <c r="O123" s="313">
        <f t="shared" ca="1" si="80"/>
        <v>475</v>
      </c>
      <c r="P123" s="570"/>
      <c r="Q123" s="516" t="s">
        <v>424</v>
      </c>
      <c r="R123" s="516"/>
      <c r="S123" s="120"/>
      <c r="T123" s="429"/>
      <c r="U123" s="548">
        <f t="shared" ref="U123:AA123" ca="1" si="84">I123*$H$2*(1+U118)*$F123</f>
        <v>475000</v>
      </c>
      <c r="V123" s="27">
        <f t="shared" ca="1" si="84"/>
        <v>492235.44485900912</v>
      </c>
      <c r="W123" s="27">
        <f t="shared" ca="1" si="84"/>
        <v>501992.76030179177</v>
      </c>
      <c r="X123" s="27">
        <f t="shared" ca="1" si="84"/>
        <v>512878.74935643584</v>
      </c>
      <c r="Y123" s="27">
        <f t="shared" ca="1" si="84"/>
        <v>524315.4385451955</v>
      </c>
      <c r="Z123" s="27">
        <f t="shared" ca="1" si="84"/>
        <v>536275.65516408498</v>
      </c>
      <c r="AA123" s="386">
        <f t="shared" ca="1" si="84"/>
        <v>548672.94975857076</v>
      </c>
      <c r="AB123" s="398"/>
      <c r="AC123" s="139">
        <v>1</v>
      </c>
    </row>
    <row r="124" spans="1:29" ht="15.75" thickBot="1">
      <c r="A124" s="89"/>
      <c r="B124" s="203"/>
      <c r="C124" s="81" t="str">
        <f>LEFT($G$3,1) &amp; "S" &amp; D124</f>
        <v>HS_ExtraCurrSponsors</v>
      </c>
      <c r="D124" s="204" t="s">
        <v>534</v>
      </c>
      <c r="E124" s="81"/>
      <c r="F124" s="82">
        <f>IF(LEFT($F$3,1)="H",1,0)</f>
        <v>1</v>
      </c>
      <c r="G124" s="1217"/>
      <c r="H124" s="275" t="s">
        <v>535</v>
      </c>
      <c r="I124" s="419">
        <f t="shared" ref="I124:O124" ca="1" si="85">IFERROR(INDEX(INDIRECT($Q$121 &amp; $Q$122), MATCH($C124, INDIRECT($Q$121 &amp; $Q$123),0), MATCH(I$4, INDIRECT($Q$121 &amp; $Q$124), 0)),0)</f>
        <v>9</v>
      </c>
      <c r="J124" s="400">
        <f t="shared" ca="1" si="85"/>
        <v>9</v>
      </c>
      <c r="K124" s="400">
        <f t="shared" ca="1" si="85"/>
        <v>9</v>
      </c>
      <c r="L124" s="400">
        <f t="shared" ca="1" si="85"/>
        <v>12</v>
      </c>
      <c r="M124" s="400">
        <f t="shared" ca="1" si="85"/>
        <v>12</v>
      </c>
      <c r="N124" s="400">
        <f t="shared" ca="1" si="85"/>
        <v>9</v>
      </c>
      <c r="O124" s="420">
        <f t="shared" ca="1" si="85"/>
        <v>9</v>
      </c>
      <c r="P124" s="585">
        <f ca="1">IFERROR(INDEX(INDIRECT($B$120 &amp; $B$121), MATCH($C124, INDIRECT($B$120 &amp; $B$122),0), MATCH(P$4, INDIRECT($B$120 &amp; $B$123), 0)),0)</f>
        <v>6000</v>
      </c>
      <c r="Q124" s="517" t="s">
        <v>425</v>
      </c>
      <c r="R124" s="517"/>
      <c r="S124" s="120"/>
      <c r="T124" s="429"/>
      <c r="U124" s="549">
        <f ca="1">I124*$P124+25*1000*$F124</f>
        <v>79000</v>
      </c>
      <c r="V124" s="387">
        <f t="shared" ref="V124:AA124" ca="1" si="86">(J124*$P124+25*1000)*(1+V119)*$F124</f>
        <v>83161.35501650795</v>
      </c>
      <c r="W124" s="387">
        <f t="shared" ca="1" si="86"/>
        <v>85806.982047689788</v>
      </c>
      <c r="X124" s="387">
        <f t="shared" ca="1" si="86"/>
        <v>110728.58741029768</v>
      </c>
      <c r="Y124" s="387">
        <f t="shared" ca="1" si="86"/>
        <v>114493.5605337117</v>
      </c>
      <c r="Z124" s="387">
        <f t="shared" ca="1" si="86"/>
        <v>96500.109143496418</v>
      </c>
      <c r="AA124" s="388">
        <f t="shared" ca="1" si="86"/>
        <v>99952.277006193908</v>
      </c>
      <c r="AB124" s="398"/>
      <c r="AC124" s="139">
        <v>1</v>
      </c>
    </row>
    <row r="125" spans="1:29" ht="15" hidden="1" customHeight="1" outlineLevel="1">
      <c r="A125" s="89"/>
      <c r="B125" s="203"/>
      <c r="C125" s="202"/>
      <c r="D125" s="81"/>
      <c r="E125" s="81"/>
      <c r="F125" s="81"/>
      <c r="G125" s="205"/>
      <c r="H125" s="399"/>
      <c r="I125" s="350"/>
      <c r="J125" s="350"/>
      <c r="K125" s="350"/>
      <c r="L125" s="350"/>
      <c r="M125" s="350"/>
      <c r="N125" s="350"/>
      <c r="O125" s="350"/>
      <c r="P125" s="207"/>
      <c r="Q125" s="429"/>
      <c r="R125" s="429"/>
      <c r="S125" s="120"/>
      <c r="T125" s="120"/>
      <c r="U125" s="356"/>
      <c r="V125" s="207"/>
      <c r="W125" s="207"/>
      <c r="X125" s="207"/>
      <c r="Y125" s="207"/>
      <c r="Z125" s="207"/>
      <c r="AA125" s="207"/>
      <c r="AB125" s="398"/>
      <c r="AC125" s="139">
        <v>0</v>
      </c>
    </row>
    <row r="126" spans="1:29" ht="15" hidden="1" customHeight="1" outlineLevel="1">
      <c r="A126" s="589"/>
      <c r="B126" s="590"/>
      <c r="C126" s="591"/>
      <c r="D126" s="592"/>
      <c r="E126" s="592"/>
      <c r="F126" s="592"/>
      <c r="G126" s="593"/>
      <c r="H126" s="593"/>
      <c r="I126" s="593"/>
      <c r="J126" s="593"/>
      <c r="K126" s="593"/>
      <c r="L126" s="593"/>
      <c r="M126" s="593"/>
      <c r="N126" s="593"/>
      <c r="O126" s="593"/>
      <c r="P126" s="593"/>
      <c r="Q126" s="593"/>
      <c r="R126" s="593"/>
      <c r="S126" s="593"/>
      <c r="T126" s="593" t="s">
        <v>433</v>
      </c>
      <c r="U126" s="594">
        <f t="shared" ref="U126:AA126" si="87">VLOOKUP($T126, $T$41:$AA$49, MATCH(U$4, $T$4:$AA$4,0),0)</f>
        <v>0</v>
      </c>
      <c r="V126" s="594">
        <f t="shared" ca="1" si="87"/>
        <v>3.6285147071598134E-2</v>
      </c>
      <c r="W126" s="594">
        <f t="shared" ca="1" si="87"/>
        <v>5.6826863793245863E-2</v>
      </c>
      <c r="X126" s="594">
        <f t="shared" ca="1" si="87"/>
        <v>7.9744735487233376E-2</v>
      </c>
      <c r="Y126" s="594">
        <f t="shared" ca="1" si="87"/>
        <v>0.10382197588462216</v>
      </c>
      <c r="Z126" s="594">
        <f t="shared" ca="1" si="87"/>
        <v>0.12900137929281041</v>
      </c>
      <c r="AA126" s="594">
        <f t="shared" ca="1" si="87"/>
        <v>0.15510094686014897</v>
      </c>
      <c r="AB126" s="590"/>
      <c r="AC126" s="139">
        <v>0</v>
      </c>
    </row>
    <row r="127" spans="1:29" ht="15" hidden="1" customHeight="1" outlineLevel="1">
      <c r="A127" s="589"/>
      <c r="B127" s="590"/>
      <c r="C127" s="590" t="str">
        <f>LEFT($G$3,1) &amp; "S" &amp; D127</f>
        <v>HS_TeachProfDev</v>
      </c>
      <c r="D127" s="592" t="s">
        <v>536</v>
      </c>
      <c r="E127" s="592"/>
      <c r="F127" s="592"/>
      <c r="G127" s="593"/>
      <c r="H127" s="593"/>
      <c r="I127" s="593"/>
      <c r="J127" s="593"/>
      <c r="K127" s="593"/>
      <c r="L127" s="593"/>
      <c r="M127" s="593"/>
      <c r="N127" s="593"/>
      <c r="O127" s="593"/>
      <c r="P127" s="593"/>
      <c r="Q127" s="593"/>
      <c r="R127" s="593"/>
      <c r="S127" s="593"/>
      <c r="T127" s="593" t="str">
        <f>C127</f>
        <v>HS_TeachProfDev</v>
      </c>
      <c r="U127" s="595">
        <f t="shared" ref="U127:AA128" ca="1" si="88">INDEX(INDIRECT($B$129 &amp; $B$130), MATCH($C127, INDIRECT($B$129 &amp; $B$131),0), MATCH(U$4,INDIRECT($B$129 &amp; $B$132),0))</f>
        <v>5</v>
      </c>
      <c r="V127" s="595">
        <f t="shared" ca="1" si="88"/>
        <v>5</v>
      </c>
      <c r="W127" s="595">
        <f t="shared" ca="1" si="88"/>
        <v>5</v>
      </c>
      <c r="X127" s="595">
        <f t="shared" ca="1" si="88"/>
        <v>7</v>
      </c>
      <c r="Y127" s="595">
        <f t="shared" ca="1" si="88"/>
        <v>7</v>
      </c>
      <c r="Z127" s="595">
        <f t="shared" ca="1" si="88"/>
        <v>5</v>
      </c>
      <c r="AA127" s="595">
        <f t="shared" ca="1" si="88"/>
        <v>5</v>
      </c>
      <c r="AB127" s="590"/>
      <c r="AC127" s="139">
        <v>0</v>
      </c>
    </row>
    <row r="128" spans="1:29" ht="15.95" hidden="1" customHeight="1" outlineLevel="1" thickBot="1">
      <c r="A128" s="589"/>
      <c r="B128" s="590"/>
      <c r="C128" s="590" t="str">
        <f>LEFT($G$3,1) &amp; "S" &amp; D128</f>
        <v>HS_LeadershipDev</v>
      </c>
      <c r="D128" s="592" t="s">
        <v>537</v>
      </c>
      <c r="E128" s="592"/>
      <c r="F128" s="592"/>
      <c r="G128" s="601"/>
      <c r="H128" s="601"/>
      <c r="I128" s="601"/>
      <c r="J128" s="601"/>
      <c r="K128" s="601"/>
      <c r="L128" s="601"/>
      <c r="M128" s="601"/>
      <c r="N128" s="601"/>
      <c r="O128" s="601"/>
      <c r="P128" s="601"/>
      <c r="Q128" s="593"/>
      <c r="R128" s="593"/>
      <c r="S128" s="593"/>
      <c r="T128" s="593" t="str">
        <f>C128</f>
        <v>HS_LeadershipDev</v>
      </c>
      <c r="U128" s="627">
        <f t="shared" ca="1" si="88"/>
        <v>3</v>
      </c>
      <c r="V128" s="627">
        <f t="shared" ca="1" si="88"/>
        <v>3</v>
      </c>
      <c r="W128" s="627">
        <f t="shared" ca="1" si="88"/>
        <v>3</v>
      </c>
      <c r="X128" s="627">
        <f t="shared" ca="1" si="88"/>
        <v>4</v>
      </c>
      <c r="Y128" s="627">
        <f t="shared" ca="1" si="88"/>
        <v>4</v>
      </c>
      <c r="Z128" s="627">
        <f t="shared" ca="1" si="88"/>
        <v>3</v>
      </c>
      <c r="AA128" s="627">
        <f t="shared" ca="1" si="88"/>
        <v>3</v>
      </c>
      <c r="AB128" s="590"/>
      <c r="AC128" s="139">
        <v>0</v>
      </c>
    </row>
    <row r="129" spans="1:29" collapsed="1">
      <c r="A129" s="589"/>
      <c r="B129" s="592" t="s">
        <v>398</v>
      </c>
      <c r="C129" s="1212" t="s">
        <v>538</v>
      </c>
      <c r="D129" s="1213"/>
      <c r="E129" s="1213"/>
      <c r="F129" s="1214"/>
      <c r="G129" s="1227" t="s">
        <v>539</v>
      </c>
      <c r="H129" s="606" t="s">
        <v>540</v>
      </c>
      <c r="I129" s="611">
        <f ca="1">SUM(I23:I35)+I63</f>
        <v>55.25</v>
      </c>
      <c r="J129" s="559">
        <f t="shared" ref="J129:O129" ca="1" si="89">SUM(J23:J35)+J63</f>
        <v>55.25</v>
      </c>
      <c r="K129" s="559">
        <f t="shared" ca="1" si="89"/>
        <v>55.25</v>
      </c>
      <c r="L129" s="559">
        <f t="shared" ca="1" si="89"/>
        <v>61.25</v>
      </c>
      <c r="M129" s="559">
        <f t="shared" ca="1" si="89"/>
        <v>61.25</v>
      </c>
      <c r="N129" s="559">
        <f t="shared" ca="1" si="89"/>
        <v>55.25</v>
      </c>
      <c r="O129" s="612">
        <f t="shared" ca="1" si="89"/>
        <v>55.25</v>
      </c>
      <c r="P129" s="608">
        <f t="shared" ref="P129:P134" ca="1" si="90">IFERROR(INDEX(INDIRECT($B$120 &amp; $B$121), MATCH($Q129, INDIRECT($B$120 &amp; $B$122),0), MATCH(P$4, INDIRECT($B$120 &amp; $B$123), 0)),0)</f>
        <v>333</v>
      </c>
      <c r="Q129" s="600" t="str">
        <f>LEFT($G$3,1) &amp; "S_TchrProfDev"</f>
        <v>HS_TchrProfDev</v>
      </c>
      <c r="R129" s="600"/>
      <c r="S129" s="590"/>
      <c r="T129" s="624"/>
      <c r="U129" s="360">
        <f t="shared" ref="U129:AA129" ca="1" si="91">I129*$P129*U127*(1+U126)</f>
        <v>91991.25</v>
      </c>
      <c r="V129" s="361">
        <f t="shared" ca="1" si="91"/>
        <v>95329.166035550152</v>
      </c>
      <c r="W129" s="361">
        <f t="shared" ca="1" si="91"/>
        <v>97218.82423392043</v>
      </c>
      <c r="X129" s="361">
        <f t="shared" ca="1" si="91"/>
        <v>154159.2049282704</v>
      </c>
      <c r="Y129" s="361">
        <f t="shared" ca="1" si="91"/>
        <v>157596.80282945707</v>
      </c>
      <c r="Z129" s="361">
        <f t="shared" ca="1" si="91"/>
        <v>103858.24813286975</v>
      </c>
      <c r="AA129" s="362">
        <f t="shared" ca="1" si="91"/>
        <v>106259.17997784867</v>
      </c>
      <c r="AB129" s="600"/>
      <c r="AC129" s="139">
        <v>1</v>
      </c>
    </row>
    <row r="130" spans="1:29">
      <c r="A130" s="589"/>
      <c r="B130" s="592" t="s">
        <v>423</v>
      </c>
      <c r="C130" s="590" t="str">
        <f t="shared" ref="C130:C135" si="92">LEFT($G$3,1) &amp; "S" &amp; D130</f>
        <v>HS_TeacherCollab</v>
      </c>
      <c r="D130" s="592" t="s">
        <v>541</v>
      </c>
      <c r="E130" s="592"/>
      <c r="F130" s="599"/>
      <c r="G130" s="1228"/>
      <c r="H130" s="607" t="s">
        <v>542</v>
      </c>
      <c r="I130" s="613">
        <f t="shared" ref="I130:O130" ca="1" si="93">INDEX(INDIRECT($B$129 &amp; $B$130), MATCH($C130, INDIRECT($B$129 &amp; $B$131),0), MATCH(I$4, INDIRECT($B$129 &amp; $B$132), 0))</f>
        <v>1</v>
      </c>
      <c r="J130" s="103">
        <f t="shared" ca="1" si="93"/>
        <v>1</v>
      </c>
      <c r="K130" s="103">
        <f t="shared" ca="1" si="93"/>
        <v>1</v>
      </c>
      <c r="L130" s="103">
        <f t="shared" ca="1" si="93"/>
        <v>2</v>
      </c>
      <c r="M130" s="103">
        <f t="shared" ca="1" si="93"/>
        <v>2</v>
      </c>
      <c r="N130" s="103">
        <f t="shared" ca="1" si="93"/>
        <v>1</v>
      </c>
      <c r="O130" s="614">
        <f t="shared" ca="1" si="93"/>
        <v>1</v>
      </c>
      <c r="P130" s="609">
        <f t="shared" ca="1" si="90"/>
        <v>0</v>
      </c>
      <c r="Q130" s="600" t="str">
        <f>LEFT($G$3,1) &amp; "S_TeacherCollab"</f>
        <v>HS_TeacherCollab</v>
      </c>
      <c r="R130" s="600"/>
      <c r="S130" s="592">
        <v>1800</v>
      </c>
      <c r="T130" s="625"/>
      <c r="U130" s="548">
        <f t="shared" ref="U130:AA130" ca="1" si="94">U7*(1+U18)/$S130*I129*I130*36</f>
        <v>108794.4988</v>
      </c>
      <c r="V130" s="27">
        <f t="shared" ca="1" si="94"/>
        <v>115394.97317979889</v>
      </c>
      <c r="W130" s="27">
        <f t="shared" ca="1" si="94"/>
        <v>119066.05405920949</v>
      </c>
      <c r="X130" s="27">
        <f t="shared" ca="1" si="94"/>
        <v>276773.19143239927</v>
      </c>
      <c r="Y130" s="27">
        <f t="shared" ca="1" si="94"/>
        <v>286183.98273205961</v>
      </c>
      <c r="Z130" s="27">
        <f t="shared" ca="1" si="94"/>
        <v>133577.37454347665</v>
      </c>
      <c r="AA130" s="386">
        <f t="shared" ca="1" si="94"/>
        <v>138355.93410859373</v>
      </c>
      <c r="AB130" s="600"/>
      <c r="AC130" s="139">
        <v>1</v>
      </c>
    </row>
    <row r="131" spans="1:29">
      <c r="A131" s="589"/>
      <c r="B131" s="592" t="s">
        <v>424</v>
      </c>
      <c r="C131" s="590" t="str">
        <f t="shared" si="92"/>
        <v>HS_STEM_Stipend</v>
      </c>
      <c r="D131" s="592" t="s">
        <v>618</v>
      </c>
      <c r="E131" s="592"/>
      <c r="F131" s="599"/>
      <c r="G131" s="1228"/>
      <c r="H131" s="607" t="s">
        <v>544</v>
      </c>
      <c r="I131" s="613">
        <f ca="1">IF(LEFT($F$3,1)="E",0,I129*INDEX(INDIRECT($B$129 &amp; $B$130), MATCH($C131, INDIRECT($B$129 &amp; $B$131),0), MATCH(I$4, INDIRECT($B$129 &amp; $B$132), 0)))</f>
        <v>0</v>
      </c>
      <c r="J131" s="103">
        <f t="shared" ref="J131:O131" ca="1" si="95">IF(LEFT($F$3,1)="E",0,J129*INDEX(INDIRECT($B$129 &amp; $B$130), MATCH($C131, INDIRECT($B$129 &amp; $B$131),0), MATCH(J$4, INDIRECT($B$129 &amp; $B$132), 0)))</f>
        <v>0</v>
      </c>
      <c r="K131" s="103">
        <f t="shared" ca="1" si="95"/>
        <v>0</v>
      </c>
      <c r="L131" s="103">
        <f t="shared" ca="1" si="95"/>
        <v>3.0625</v>
      </c>
      <c r="M131" s="103">
        <f t="shared" ca="1" si="95"/>
        <v>3.0625</v>
      </c>
      <c r="N131" s="103">
        <f t="shared" ca="1" si="95"/>
        <v>0</v>
      </c>
      <c r="O131" s="614">
        <f t="shared" ca="1" si="95"/>
        <v>0</v>
      </c>
      <c r="P131" s="609">
        <f t="shared" ca="1" si="90"/>
        <v>5250</v>
      </c>
      <c r="Q131" s="600" t="str">
        <f>LEFT($G$3,1) &amp; "S_STEM_Stipend"</f>
        <v>HS_STEM_Stipend</v>
      </c>
      <c r="R131" s="600"/>
      <c r="S131" s="592"/>
      <c r="T131" s="624"/>
      <c r="U131" s="548">
        <f t="shared" ref="U131:AA131" ca="1" si="96">I131*$P131*(1+U126)</f>
        <v>0</v>
      </c>
      <c r="V131" s="27">
        <f t="shared" ca="1" si="96"/>
        <v>0</v>
      </c>
      <c r="W131" s="27">
        <f t="shared" ca="1" si="96"/>
        <v>0</v>
      </c>
      <c r="X131" s="27">
        <f t="shared" ca="1" si="96"/>
        <v>17360.270825255673</v>
      </c>
      <c r="Y131" s="27">
        <f t="shared" ca="1" si="96"/>
        <v>17747.387706019941</v>
      </c>
      <c r="Z131" s="27">
        <f t="shared" ca="1" si="96"/>
        <v>0</v>
      </c>
      <c r="AA131" s="386">
        <f t="shared" ca="1" si="96"/>
        <v>0</v>
      </c>
      <c r="AB131" s="600"/>
      <c r="AC131" s="139">
        <v>1</v>
      </c>
    </row>
    <row r="132" spans="1:29">
      <c r="A132" s="589"/>
      <c r="B132" s="592" t="s">
        <v>425</v>
      </c>
      <c r="C132" s="590" t="str">
        <f t="shared" si="92"/>
        <v>HS_ConsStaffDev</v>
      </c>
      <c r="D132" s="592" t="s">
        <v>545</v>
      </c>
      <c r="E132" s="592"/>
      <c r="F132" s="599"/>
      <c r="G132" s="1228"/>
      <c r="H132" s="272" t="s">
        <v>546</v>
      </c>
      <c r="I132" s="67">
        <f t="shared" ref="I132:O132" ca="1" si="97">INDEX(INDIRECT($B$129 &amp; $B$130), MATCH($C132, INDIRECT($B$129 &amp; $B$131),0), MATCH(I$4, INDIRECT($B$129 &amp; $B$132), 0))</f>
        <v>5500</v>
      </c>
      <c r="J132" s="23">
        <f t="shared" ca="1" si="97"/>
        <v>5500</v>
      </c>
      <c r="K132" s="23">
        <f t="shared" ca="1" si="97"/>
        <v>5500</v>
      </c>
      <c r="L132" s="23">
        <f t="shared" ca="1" si="97"/>
        <v>12000</v>
      </c>
      <c r="M132" s="23">
        <f t="shared" ca="1" si="97"/>
        <v>12000</v>
      </c>
      <c r="N132" s="23">
        <f t="shared" ca="1" si="97"/>
        <v>5500</v>
      </c>
      <c r="O132" s="24">
        <f t="shared" ca="1" si="97"/>
        <v>5500</v>
      </c>
      <c r="P132" s="609">
        <f t="shared" ca="1" si="90"/>
        <v>0</v>
      </c>
      <c r="Q132" s="600" t="str">
        <f>LEFT($G$3,1) &amp; "S_ConsStaffDev"</f>
        <v>HS_ConsStaffDev</v>
      </c>
      <c r="R132" s="600"/>
      <c r="S132" s="592"/>
      <c r="T132" s="624"/>
      <c r="U132" s="548">
        <f t="shared" ref="U132:AA132" ca="1" si="98">I132*(1+U126)</f>
        <v>5500</v>
      </c>
      <c r="V132" s="27">
        <f t="shared" ca="1" si="98"/>
        <v>5699.5683088937894</v>
      </c>
      <c r="W132" s="27">
        <f t="shared" ca="1" si="98"/>
        <v>5812.5477508628519</v>
      </c>
      <c r="X132" s="27">
        <f ca="1">L132*(1+X126)</f>
        <v>12956.9368258468</v>
      </c>
      <c r="Y132" s="27">
        <f t="shared" ca="1" si="98"/>
        <v>13245.863710615466</v>
      </c>
      <c r="Z132" s="27">
        <f t="shared" ca="1" si="98"/>
        <v>6209.5075861104569</v>
      </c>
      <c r="AA132" s="386">
        <f t="shared" ca="1" si="98"/>
        <v>6353.0552077308193</v>
      </c>
      <c r="AB132" s="600"/>
      <c r="AC132" s="139">
        <v>1</v>
      </c>
    </row>
    <row r="133" spans="1:29">
      <c r="A133" s="589"/>
      <c r="B133" s="592"/>
      <c r="C133" s="590" t="str">
        <f t="shared" si="92"/>
        <v>HS_TeachProfDev</v>
      </c>
      <c r="D133" s="592" t="s">
        <v>536</v>
      </c>
      <c r="E133" s="592"/>
      <c r="F133" s="599"/>
      <c r="G133" s="1228"/>
      <c r="H133" s="272" t="s">
        <v>547</v>
      </c>
      <c r="I133" s="613">
        <f ca="1">I69+I71</f>
        <v>10.5</v>
      </c>
      <c r="J133" s="103">
        <f t="shared" ref="J133:O133" ca="1" si="99">J69+J71</f>
        <v>10.5</v>
      </c>
      <c r="K133" s="103">
        <f t="shared" ca="1" si="99"/>
        <v>10.5</v>
      </c>
      <c r="L133" s="103">
        <f t="shared" ca="1" si="99"/>
        <v>10.5</v>
      </c>
      <c r="M133" s="103">
        <f t="shared" ca="1" si="99"/>
        <v>10.5</v>
      </c>
      <c r="N133" s="103">
        <f t="shared" ca="1" si="99"/>
        <v>10.5</v>
      </c>
      <c r="O133" s="614">
        <f t="shared" ca="1" si="99"/>
        <v>10.5</v>
      </c>
      <c r="P133" s="609">
        <f t="shared" ca="1" si="90"/>
        <v>111</v>
      </c>
      <c r="Q133" s="600" t="str">
        <f>LEFT($G$3,1) &amp; "S_SpEdSupport"</f>
        <v>HS_SpEdSupport</v>
      </c>
      <c r="R133" s="600"/>
      <c r="S133" s="592"/>
      <c r="T133" s="626"/>
      <c r="U133" s="548">
        <f t="shared" ref="U133:AA133" ca="1" si="100">I133*$P133*U127*(1+U126)</f>
        <v>5827.5</v>
      </c>
      <c r="V133" s="27">
        <f t="shared" ca="1" si="100"/>
        <v>6038.9516945597379</v>
      </c>
      <c r="W133" s="27">
        <f t="shared" ca="1" si="100"/>
        <v>6158.6585487551401</v>
      </c>
      <c r="X133" s="27">
        <f t="shared" ca="1" si="100"/>
        <v>8809.097424472593</v>
      </c>
      <c r="Y133" s="27">
        <f t="shared" ca="1" si="100"/>
        <v>9005.5315902546899</v>
      </c>
      <c r="Z133" s="27">
        <f t="shared" ca="1" si="100"/>
        <v>6579.2555378288525</v>
      </c>
      <c r="AA133" s="386">
        <f t="shared" ca="1" si="100"/>
        <v>6731.3507678275182</v>
      </c>
      <c r="AB133" s="600"/>
      <c r="AC133" s="139">
        <v>1</v>
      </c>
    </row>
    <row r="134" spans="1:29" ht="15.75" thickBot="1">
      <c r="A134" s="589"/>
      <c r="B134" s="592"/>
      <c r="C134" s="590" t="str">
        <f t="shared" si="92"/>
        <v>HS_LeadershipDev</v>
      </c>
      <c r="D134" s="592" t="s">
        <v>537</v>
      </c>
      <c r="E134" s="592"/>
      <c r="F134" s="599"/>
      <c r="G134" s="1228"/>
      <c r="H134" s="454" t="s">
        <v>548</v>
      </c>
      <c r="I134" s="615">
        <f ca="1">SUM(I90:I91)</f>
        <v>3</v>
      </c>
      <c r="J134" s="616">
        <f t="shared" ref="J134:O134" ca="1" si="101">SUM(J90:J91)</f>
        <v>3</v>
      </c>
      <c r="K134" s="616">
        <f t="shared" ca="1" si="101"/>
        <v>3</v>
      </c>
      <c r="L134" s="616">
        <f t="shared" ca="1" si="101"/>
        <v>3</v>
      </c>
      <c r="M134" s="616">
        <f t="shared" ca="1" si="101"/>
        <v>3</v>
      </c>
      <c r="N134" s="616">
        <f t="shared" ca="1" si="101"/>
        <v>3</v>
      </c>
      <c r="O134" s="617">
        <f t="shared" ca="1" si="101"/>
        <v>3</v>
      </c>
      <c r="P134" s="618">
        <f t="shared" ca="1" si="90"/>
        <v>350</v>
      </c>
      <c r="Q134" s="600" t="str">
        <f>LEFT($G$3,1) &amp; "S_PrinLeadership"</f>
        <v>HS_PrinLeadership</v>
      </c>
      <c r="R134" s="600"/>
      <c r="S134" s="592"/>
      <c r="T134" s="624"/>
      <c r="U134" s="549">
        <f t="shared" ref="U134:AA134" ca="1" si="102">I134*$P134*U128*(1+U126)</f>
        <v>3150</v>
      </c>
      <c r="V134" s="387">
        <f t="shared" ca="1" si="102"/>
        <v>3264.2982132755342</v>
      </c>
      <c r="W134" s="387">
        <f t="shared" ca="1" si="102"/>
        <v>3329.0046209487246</v>
      </c>
      <c r="X134" s="387">
        <f t="shared" ca="1" si="102"/>
        <v>4534.9278890463802</v>
      </c>
      <c r="Y134" s="387">
        <f t="shared" ca="1" si="102"/>
        <v>4636.0522987154127</v>
      </c>
      <c r="Z134" s="387">
        <f t="shared" ca="1" si="102"/>
        <v>3556.3543447723528</v>
      </c>
      <c r="AA134" s="388">
        <f t="shared" ca="1" si="102"/>
        <v>3638.5679826094693</v>
      </c>
      <c r="AB134" s="600"/>
      <c r="AC134" s="139">
        <v>1</v>
      </c>
    </row>
    <row r="135" spans="1:29" ht="15.75" thickBot="1">
      <c r="A135" s="589"/>
      <c r="B135" s="592"/>
      <c r="C135" s="590" t="str">
        <f t="shared" si="92"/>
        <v>HS_MaterTrav</v>
      </c>
      <c r="D135" s="592" t="s">
        <v>549</v>
      </c>
      <c r="E135" s="592"/>
      <c r="F135" s="599"/>
      <c r="G135" s="1229"/>
      <c r="H135" s="619" t="s">
        <v>550</v>
      </c>
      <c r="I135" s="620"/>
      <c r="J135" s="621"/>
      <c r="K135" s="621"/>
      <c r="L135" s="621"/>
      <c r="M135" s="621"/>
      <c r="N135" s="621"/>
      <c r="O135" s="622"/>
      <c r="P135" s="623">
        <f ca="1">IFERROR(INDEX(INDIRECT($B$120 &amp; $B$121), MATCH($Q135, INDIRECT($B$120 &amp; $B$122),0), MATCH(P$4, INDIRECT($B$120 &amp; $B$123), 0)),0)</f>
        <v>288</v>
      </c>
      <c r="Q135" s="600" t="str">
        <f>LEFT($G$3,1) &amp; "S_MaterTrav"</f>
        <v>HS_MaterTrav</v>
      </c>
      <c r="R135" s="600"/>
      <c r="S135" s="592"/>
      <c r="T135" s="624"/>
      <c r="U135" s="438">
        <f t="shared" ref="U135:AA135" ca="1" si="103">I129*$P135*(1+U126)</f>
        <v>15912</v>
      </c>
      <c r="V135" s="439">
        <f t="shared" ca="1" si="103"/>
        <v>16489.369260203268</v>
      </c>
      <c r="W135" s="439">
        <f t="shared" ca="1" si="103"/>
        <v>16816.229056678127</v>
      </c>
      <c r="X135" s="439">
        <f t="shared" ca="1" si="103"/>
        <v>19046.697133994796</v>
      </c>
      <c r="Y135" s="439">
        <f t="shared" ca="1" si="103"/>
        <v>19471.419654604735</v>
      </c>
      <c r="Z135" s="439">
        <f t="shared" ca="1" si="103"/>
        <v>17964.6699473072</v>
      </c>
      <c r="AA135" s="440">
        <f t="shared" ca="1" si="103"/>
        <v>18379.966266438689</v>
      </c>
      <c r="AB135" s="600"/>
      <c r="AC135" s="139">
        <v>1</v>
      </c>
    </row>
    <row r="136" spans="1:29" ht="15" hidden="1" customHeight="1" outlineLevel="1">
      <c r="A136" s="589"/>
      <c r="B136" s="592"/>
      <c r="C136" s="590"/>
      <c r="D136" s="592"/>
      <c r="E136" s="592"/>
      <c r="F136" s="592"/>
      <c r="G136" s="602"/>
      <c r="H136" s="603"/>
      <c r="I136" s="604"/>
      <c r="J136" s="604"/>
      <c r="K136" s="604"/>
      <c r="L136" s="604"/>
      <c r="M136" s="604"/>
      <c r="N136" s="604"/>
      <c r="O136" s="604"/>
      <c r="P136" s="605"/>
      <c r="Q136" s="590"/>
      <c r="R136" s="590"/>
      <c r="S136" s="592"/>
      <c r="T136" s="596"/>
      <c r="U136" s="628"/>
      <c r="V136" s="629"/>
      <c r="W136" s="629"/>
      <c r="X136" s="629"/>
      <c r="Y136" s="629"/>
      <c r="Z136" s="629"/>
      <c r="AA136" s="629"/>
      <c r="AB136" s="590"/>
      <c r="AC136" s="139">
        <v>0</v>
      </c>
    </row>
    <row r="137" spans="1:29" ht="15" hidden="1" customHeight="1" outlineLevel="1">
      <c r="A137" s="90"/>
      <c r="B137" s="75"/>
      <c r="C137" s="213"/>
      <c r="D137" s="75"/>
      <c r="E137" s="75"/>
      <c r="F137" s="75"/>
      <c r="G137" s="639"/>
      <c r="H137" s="640"/>
      <c r="I137" s="641"/>
      <c r="J137" s="641"/>
      <c r="K137" s="641"/>
      <c r="L137" s="641"/>
      <c r="M137" s="641"/>
      <c r="N137" s="641"/>
      <c r="O137" s="641"/>
      <c r="P137" s="642"/>
      <c r="Q137" s="643" t="s">
        <v>551</v>
      </c>
      <c r="R137" s="384"/>
      <c r="S137" s="75"/>
      <c r="T137" s="644" t="s">
        <v>552</v>
      </c>
      <c r="U137" s="645">
        <f t="shared" ref="U137:AA137" ca="1" si="104">INDEX(INDIRECT($S$138 &amp; $S$139), MATCH($T$137, INDIRECT($S$138 &amp; $S$140), 0), MATCH(U$4,INDIRECT($S$138 &amp; $S$141),0))</f>
        <v>3.6680755717442282E-2</v>
      </c>
      <c r="V137" s="645">
        <f t="shared" ca="1" si="104"/>
        <v>7.4706989274887059E-2</v>
      </c>
      <c r="W137" s="645">
        <f t="shared" ca="1" si="104"/>
        <v>0.11412805381630697</v>
      </c>
      <c r="X137" s="645">
        <f t="shared" ca="1" si="104"/>
        <v>0.1549951127962923</v>
      </c>
      <c r="Y137" s="645">
        <f t="shared" ca="1" si="104"/>
        <v>0.19736120638361276</v>
      </c>
      <c r="Z137" s="645">
        <f t="shared" ca="1" si="104"/>
        <v>0.24128132030051197</v>
      </c>
      <c r="AA137" s="645">
        <f t="shared" ca="1" si="104"/>
        <v>0.28681245718707915</v>
      </c>
      <c r="AB137" s="213"/>
      <c r="AC137" s="139">
        <v>0</v>
      </c>
    </row>
    <row r="138" spans="1:29" ht="15" hidden="1" customHeight="1" outlineLevel="1">
      <c r="A138" s="90"/>
      <c r="B138" s="75"/>
      <c r="C138" s="213"/>
      <c r="D138" s="75"/>
      <c r="E138" s="75"/>
      <c r="F138" s="75"/>
      <c r="G138" s="639"/>
      <c r="H138" s="640"/>
      <c r="I138" s="641"/>
      <c r="J138" s="641"/>
      <c r="K138" s="641"/>
      <c r="L138" s="641"/>
      <c r="M138" s="641"/>
      <c r="N138" s="641"/>
      <c r="O138" s="641"/>
      <c r="P138" s="642"/>
      <c r="Q138" s="384" t="s">
        <v>553</v>
      </c>
      <c r="R138" s="384"/>
      <c r="S138" s="75" t="s">
        <v>426</v>
      </c>
      <c r="T138" s="646" t="s">
        <v>554</v>
      </c>
      <c r="U138" s="645">
        <f t="shared" ref="U138:AA138" ca="1" si="105">INDEX(INDIRECT($S$138 &amp; $S$139), MATCH($T$138, INDIRECT($S$138 &amp; $S$140), 0), MATCH(U$4,INDIRECT($S$138 &amp; $S$141),0))</f>
        <v>5.0972785334547827E-2</v>
      </c>
      <c r="V138" s="645">
        <f t="shared" ca="1" si="105"/>
        <v>0.10454379551385751</v>
      </c>
      <c r="W138" s="645">
        <f t="shared" ca="1" si="105"/>
        <v>0.16084546929519217</v>
      </c>
      <c r="X138" s="645">
        <f t="shared" ca="1" si="105"/>
        <v>0.2200169962081584</v>
      </c>
      <c r="Y138" s="645">
        <f t="shared" ca="1" si="105"/>
        <v>0.28220466066037675</v>
      </c>
      <c r="Z138" s="645">
        <f t="shared" ca="1" si="105"/>
        <v>0.34756220358317491</v>
      </c>
      <c r="AA138" s="645">
        <f t="shared" ca="1" si="105"/>
        <v>0.41625120251137027</v>
      </c>
      <c r="AB138" s="213"/>
      <c r="AC138" s="139">
        <v>0</v>
      </c>
    </row>
    <row r="139" spans="1:29" ht="15.95" hidden="1" customHeight="1" outlineLevel="1" thickBot="1">
      <c r="A139" s="90"/>
      <c r="B139" s="75" t="s">
        <v>411</v>
      </c>
      <c r="C139" s="213"/>
      <c r="D139" s="75"/>
      <c r="E139" s="75"/>
      <c r="F139" s="75"/>
      <c r="G139" s="647"/>
      <c r="H139" s="648"/>
      <c r="I139" s="649"/>
      <c r="J139" s="649"/>
      <c r="K139" s="649"/>
      <c r="L139" s="649"/>
      <c r="M139" s="649"/>
      <c r="N139" s="649"/>
      <c r="O139" s="649"/>
      <c r="P139" s="383"/>
      <c r="Q139" s="384" t="s">
        <v>555</v>
      </c>
      <c r="R139" s="384" t="s">
        <v>556</v>
      </c>
      <c r="S139" s="650" t="s">
        <v>428</v>
      </c>
      <c r="T139" s="118" t="s">
        <v>433</v>
      </c>
      <c r="U139" s="651">
        <f t="shared" ref="U139:AA139" si="106">VLOOKUP($T139, $T$41:$AA$49, MATCH(U$4, $T$4:$AA$4,0),0)</f>
        <v>0</v>
      </c>
      <c r="V139" s="651">
        <f t="shared" ca="1" si="106"/>
        <v>3.6285147071598134E-2</v>
      </c>
      <c r="W139" s="651">
        <f t="shared" ca="1" si="106"/>
        <v>5.6826863793245863E-2</v>
      </c>
      <c r="X139" s="651">
        <f t="shared" ca="1" si="106"/>
        <v>7.9744735487233376E-2</v>
      </c>
      <c r="Y139" s="651">
        <f t="shared" ca="1" si="106"/>
        <v>0.10382197588462216</v>
      </c>
      <c r="Z139" s="651">
        <f t="shared" ca="1" si="106"/>
        <v>0.12900137929281041</v>
      </c>
      <c r="AA139" s="651">
        <f t="shared" ca="1" si="106"/>
        <v>0.15510094686014897</v>
      </c>
      <c r="AB139" s="213"/>
      <c r="AC139" s="139">
        <v>0</v>
      </c>
    </row>
    <row r="140" spans="1:29" collapsed="1">
      <c r="A140" s="90"/>
      <c r="B140" s="75" t="s">
        <v>413</v>
      </c>
      <c r="C140" s="652" t="s">
        <v>557</v>
      </c>
      <c r="D140" s="218"/>
      <c r="E140" s="218"/>
      <c r="F140" s="371"/>
      <c r="G140" s="1215" t="s">
        <v>558</v>
      </c>
      <c r="H140" s="632" t="s">
        <v>559</v>
      </c>
      <c r="I140" s="259">
        <f t="shared" ref="I140:O140" ca="1" si="107">IFERROR(INDEX(INDIRECT($B$139 &amp; $B$140), MATCH($C140, INDIRECT($B$139 &amp; $B$142),0), MATCH($G$3, INDIRECT($B$139 &amp; $B$143), 0)),0)</f>
        <v>467.16802690027714</v>
      </c>
      <c r="J140" s="260">
        <f t="shared" ca="1" si="107"/>
        <v>467.16802690027714</v>
      </c>
      <c r="K140" s="260">
        <f t="shared" ca="1" si="107"/>
        <v>467.16802690027714</v>
      </c>
      <c r="L140" s="260">
        <f t="shared" ca="1" si="107"/>
        <v>467.16802690027714</v>
      </c>
      <c r="M140" s="260">
        <f t="shared" ca="1" si="107"/>
        <v>467.16802690027714</v>
      </c>
      <c r="N140" s="260">
        <f t="shared" ca="1" si="107"/>
        <v>467.16802690027714</v>
      </c>
      <c r="O140" s="260">
        <f t="shared" ca="1" si="107"/>
        <v>467.16802690027714</v>
      </c>
      <c r="P140" s="653"/>
      <c r="Q140" s="654" t="s">
        <v>560</v>
      </c>
      <c r="R140" s="655">
        <v>1</v>
      </c>
      <c r="S140" s="656" t="s">
        <v>429</v>
      </c>
      <c r="T140" s="657" t="s">
        <v>552</v>
      </c>
      <c r="U140" s="547">
        <f t="shared" ref="U140:AA140" ca="1" si="108">I140*$H$2*(1+VLOOKUP($T140, $T$137:$AA$139, MATCH(U$4, $T$4:$AA$4,0),0)*$R140)</f>
        <v>484304.10317400569</v>
      </c>
      <c r="V140" s="404">
        <f t="shared" ca="1" si="108"/>
        <v>502068.7436754863</v>
      </c>
      <c r="W140" s="404">
        <f t="shared" ca="1" si="108"/>
        <v>520485.00461560988</v>
      </c>
      <c r="X140" s="404">
        <f t="shared" ca="1" si="108"/>
        <v>539576.78792450693</v>
      </c>
      <c r="Y140" s="404">
        <f t="shared" ca="1" si="108"/>
        <v>559368.87227316783</v>
      </c>
      <c r="Z140" s="404">
        <f t="shared" ca="1" si="108"/>
        <v>579886.94523296109</v>
      </c>
      <c r="AA140" s="409">
        <f t="shared" ca="1" si="108"/>
        <v>601157.63661478506</v>
      </c>
      <c r="AB140" s="381"/>
      <c r="AC140" s="139">
        <v>1</v>
      </c>
    </row>
    <row r="141" spans="1:29" ht="15" hidden="1" customHeight="1" outlineLevel="1">
      <c r="A141" s="90"/>
      <c r="B141" s="75"/>
      <c r="C141" s="652"/>
      <c r="D141" s="218"/>
      <c r="E141" s="218"/>
      <c r="F141" s="371"/>
      <c r="G141" s="1216"/>
      <c r="H141" s="637"/>
      <c r="I141" s="67"/>
      <c r="J141" s="23"/>
      <c r="K141" s="23"/>
      <c r="L141" s="23"/>
      <c r="M141" s="23"/>
      <c r="N141" s="23"/>
      <c r="O141" s="23"/>
      <c r="P141" s="658"/>
      <c r="Q141" s="654"/>
      <c r="R141" s="655"/>
      <c r="S141" s="656" t="s">
        <v>431</v>
      </c>
      <c r="T141" s="657" t="s">
        <v>561</v>
      </c>
      <c r="U141" s="249">
        <f ca="1">INDEX(INDIRECT($S$146 &amp; $S$147), MATCH($T141, INDIRECT($S$146 &amp; $S$148),0), MATCH(U$4, INDIRECT($S$146 &amp; $S$149),0))</f>
        <v>0</v>
      </c>
      <c r="V141" s="105">
        <f t="shared" ref="V141:AA141" ca="1" si="109">INDEX(INDIRECT($S$146 &amp; $S$147), MATCH($T141, INDIRECT($S$146 &amp; $S$148),0), MATCH(V$4, INDIRECT($S$146 &amp; $S$149),0))</f>
        <v>3.4443168771526977E-2</v>
      </c>
      <c r="W141" s="105">
        <f t="shared" ca="1" si="109"/>
        <v>0</v>
      </c>
      <c r="X141" s="105">
        <f t="shared" ca="1" si="109"/>
        <v>-1.2208657047724669E-2</v>
      </c>
      <c r="Y141" s="105">
        <f t="shared" ca="1" si="109"/>
        <v>0</v>
      </c>
      <c r="Z141" s="105">
        <f t="shared" ca="1" si="109"/>
        <v>0</v>
      </c>
      <c r="AA141" s="250">
        <f t="shared" ca="1" si="109"/>
        <v>0</v>
      </c>
      <c r="AB141" s="381"/>
      <c r="AC141" s="139">
        <v>0</v>
      </c>
    </row>
    <row r="142" spans="1:29" collapsed="1">
      <c r="A142" s="90"/>
      <c r="B142" s="75" t="s">
        <v>415</v>
      </c>
      <c r="C142" s="652" t="s">
        <v>562</v>
      </c>
      <c r="D142" s="218"/>
      <c r="E142" s="218"/>
      <c r="F142" s="371"/>
      <c r="G142" s="1216"/>
      <c r="H142" s="633" t="s">
        <v>563</v>
      </c>
      <c r="I142" s="67">
        <f t="shared" ref="I142:O142" ca="1" si="110">IFERROR(INDEX(INDIRECT($B$139 &amp; $B$140), MATCH($C142, INDIRECT($B$139 &amp; $B$142),0), MATCH($G$3, INDIRECT($B$139 &amp; $B$143), 0)),0)</f>
        <v>848.07101547910929</v>
      </c>
      <c r="J142" s="23">
        <f t="shared" ca="1" si="110"/>
        <v>848.07101547910929</v>
      </c>
      <c r="K142" s="23">
        <f t="shared" ca="1" si="110"/>
        <v>848.07101547910929</v>
      </c>
      <c r="L142" s="23">
        <f t="shared" ca="1" si="110"/>
        <v>848.07101547910929</v>
      </c>
      <c r="M142" s="23">
        <f t="shared" ca="1" si="110"/>
        <v>848.07101547910929</v>
      </c>
      <c r="N142" s="23">
        <f t="shared" ca="1" si="110"/>
        <v>848.07101547910929</v>
      </c>
      <c r="O142" s="23">
        <f t="shared" ca="1" si="110"/>
        <v>848.07101547910929</v>
      </c>
      <c r="P142" s="659"/>
      <c r="Q142" s="660" t="s">
        <v>564</v>
      </c>
      <c r="R142" s="655">
        <f ca="1">INDEX(INDIRECT($Q$137 &amp; $Q$138), MATCH($Q142, INDIRECT($Q$137 &amp; $Q$139),0), MATCH($R$139, INDIRECT($Q$137 &amp; $Q$140),0))</f>
        <v>0.26100755370709905</v>
      </c>
      <c r="S142" s="90"/>
      <c r="T142" s="424" t="s">
        <v>433</v>
      </c>
      <c r="U142" s="548">
        <f ca="1">I142*$H$2*(1+VLOOKUP($T142,$T$137:$AA$139,MATCH(U$4,$T$4:$AA$4,0),0))*(1+U$141*$R142)</f>
        <v>848071.01547910925</v>
      </c>
      <c r="V142" s="27">
        <f ca="1">J142*$H$2*(1+VLOOKUP($T142,$T$137:$AA$139,MATCH(V$4,$T$4:$AA$4,0),0))*(1+V$141*$R142)</f>
        <v>886744.13518237846</v>
      </c>
      <c r="W142" s="27">
        <f t="shared" ref="W142:AA149" ca="1" si="111">K142*$H$2*(1+VLOOKUP($T142,$T$137:$AA$139,MATCH(W$4,$T$4:$AA$4,0),0))*(1+W$141*$R142)</f>
        <v>896264.23156274029</v>
      </c>
      <c r="X142" s="27">
        <f t="shared" ca="1" si="111"/>
        <v>912782.28819914057</v>
      </c>
      <c r="Y142" s="27">
        <f t="shared" ca="1" si="111"/>
        <v>936119.42399662838</v>
      </c>
      <c r="Z142" s="27">
        <f t="shared" ca="1" si="111"/>
        <v>957473.34621416871</v>
      </c>
      <c r="AA142" s="386">
        <f t="shared" ca="1" si="111"/>
        <v>979607.6329845672</v>
      </c>
      <c r="AB142" s="381"/>
      <c r="AC142" s="139">
        <v>1</v>
      </c>
    </row>
    <row r="143" spans="1:29">
      <c r="A143" s="90"/>
      <c r="B143" s="75" t="s">
        <v>418</v>
      </c>
      <c r="C143" s="213" t="str">
        <f t="shared" ref="C143:C148" si="112">LEFT($G$3,1) &amp; "S" &amp; D143</f>
        <v>HS_TechServices</v>
      </c>
      <c r="D143" s="652" t="s">
        <v>565</v>
      </c>
      <c r="E143" s="75"/>
      <c r="F143" s="76"/>
      <c r="G143" s="1216"/>
      <c r="H143" s="634" t="s">
        <v>566</v>
      </c>
      <c r="I143" s="67">
        <f ca="1">IFERROR(INDEX(INDIRECT($B$144 &amp; $B$145), MATCH($C143, INDIRECT($B$144 &amp; $B$146),0), MATCH(I$4, INDIRECT($B$144 &amp; $B$147), 0)),0)</f>
        <v>385.25</v>
      </c>
      <c r="J143" s="23">
        <f t="shared" ref="J143:O144" ca="1" si="113">IFERROR(INDEX(INDIRECT($B$144 &amp; $B$145), MATCH($C143, INDIRECT($B$144 &amp; $B$146),0), MATCH(J$4, INDIRECT($B$144 &amp; $B$147), 0)),0)</f>
        <v>399.22885290933317</v>
      </c>
      <c r="K143" s="23">
        <f t="shared" ca="1" si="113"/>
        <v>399.22885290933317</v>
      </c>
      <c r="L143" s="23">
        <f t="shared" ca="1" si="113"/>
        <v>399.22885290933317</v>
      </c>
      <c r="M143" s="23">
        <f t="shared" ca="1" si="113"/>
        <v>399.22885290933317</v>
      </c>
      <c r="N143" s="23">
        <f t="shared" ca="1" si="113"/>
        <v>399.22885290933317</v>
      </c>
      <c r="O143" s="23">
        <f t="shared" ca="1" si="113"/>
        <v>399.22885290933317</v>
      </c>
      <c r="P143" s="659"/>
      <c r="Q143" s="660" t="s">
        <v>567</v>
      </c>
      <c r="R143" s="655">
        <f ca="1">INDEX(INDIRECT($Q$137 &amp; $Q$138), MATCH($Q143, INDIRECT($Q$137 &amp; $Q$139),0), MATCH($R$139, INDIRECT($Q$137 &amp; $Q$140),0))</f>
        <v>0.32173688539196554</v>
      </c>
      <c r="S143" s="588"/>
      <c r="T143" s="424" t="s">
        <v>433</v>
      </c>
      <c r="U143" s="548">
        <f t="shared" ref="U143:V149" ca="1" si="114">I143*$H$2*(1+VLOOKUP($T143,$T$137:$AA$139,MATCH(U$4,$T$4:$AA$4,0),0))*(1+U$141*$R143)</f>
        <v>385250</v>
      </c>
      <c r="V143" s="27">
        <f t="shared" ca="1" si="114"/>
        <v>418299.5695832374</v>
      </c>
      <c r="W143" s="27">
        <f t="shared" ca="1" si="111"/>
        <v>421915.77655594563</v>
      </c>
      <c r="X143" s="27">
        <f t="shared" ca="1" si="111"/>
        <v>429372.03852305969</v>
      </c>
      <c r="Y143" s="27">
        <f t="shared" ca="1" si="111"/>
        <v>440677.58124853135</v>
      </c>
      <c r="Z143" s="27">
        <f t="shared" ca="1" si="111"/>
        <v>450729.92558812367</v>
      </c>
      <c r="AA143" s="386">
        <f t="shared" ca="1" si="111"/>
        <v>461149.62600946188</v>
      </c>
      <c r="AB143" s="381"/>
      <c r="AC143" s="139">
        <v>1</v>
      </c>
    </row>
    <row r="144" spans="1:29">
      <c r="A144" s="90"/>
      <c r="B144" s="75" t="s">
        <v>398</v>
      </c>
      <c r="C144" s="213" t="str">
        <f t="shared" si="112"/>
        <v>HS_O&amp;M</v>
      </c>
      <c r="D144" s="652" t="s">
        <v>568</v>
      </c>
      <c r="E144" s="75"/>
      <c r="F144" s="76"/>
      <c r="G144" s="1216"/>
      <c r="H144" s="634" t="s">
        <v>569</v>
      </c>
      <c r="I144" s="67">
        <f ca="1">IFERROR(INDEX(INDIRECT($B$144 &amp; $B$145), MATCH($C144, INDIRECT($B$144 &amp; $B$146),0), MATCH(I$4, INDIRECT($B$144 &amp; $B$147), 0)),0)</f>
        <v>1422.33</v>
      </c>
      <c r="J144" s="23">
        <f t="shared" ca="1" si="113"/>
        <v>1473.939453234346</v>
      </c>
      <c r="K144" s="23">
        <f t="shared" ca="1" si="113"/>
        <v>1473.939453234346</v>
      </c>
      <c r="L144" s="23">
        <f t="shared" ca="1" si="113"/>
        <v>1473.939453234346</v>
      </c>
      <c r="M144" s="23">
        <f t="shared" ca="1" si="113"/>
        <v>1473.939453234346</v>
      </c>
      <c r="N144" s="23">
        <f t="shared" ca="1" si="113"/>
        <v>1473.939453234346</v>
      </c>
      <c r="O144" s="23">
        <f t="shared" ca="1" si="113"/>
        <v>1473.939453234346</v>
      </c>
      <c r="P144" s="659"/>
      <c r="Q144" s="660" t="s">
        <v>570</v>
      </c>
      <c r="R144" s="655">
        <f ca="1">INDEX(INDIRECT($Q$137 &amp; $Q$138), MATCH($Q144, INDIRECT($Q$137 &amp; $Q$139),0), MATCH($R$139, INDIRECT($Q$137 &amp; $Q$140),0))</f>
        <v>0.30611628145856251</v>
      </c>
      <c r="S144" s="90"/>
      <c r="T144" s="424" t="s">
        <v>433</v>
      </c>
      <c r="U144" s="548">
        <f t="shared" ca="1" si="114"/>
        <v>1422330</v>
      </c>
      <c r="V144" s="27">
        <f t="shared" ca="1" si="114"/>
        <v>1543526.1075853079</v>
      </c>
      <c r="W144" s="27">
        <f t="shared" ca="1" si="111"/>
        <v>1557698.8097827856</v>
      </c>
      <c r="X144" s="27">
        <f t="shared" ca="1" si="111"/>
        <v>1585530.5827809537</v>
      </c>
      <c r="Y144" s="27">
        <f t="shared" ca="1" si="111"/>
        <v>1626966.7596034356</v>
      </c>
      <c r="Z144" s="27">
        <f t="shared" ca="1" si="111"/>
        <v>1664079.6756956675</v>
      </c>
      <c r="AA144" s="386">
        <f t="shared" ca="1" si="111"/>
        <v>1702548.8580455235</v>
      </c>
      <c r="AB144" s="381"/>
      <c r="AC144" s="139">
        <v>1</v>
      </c>
    </row>
    <row r="145" spans="1:29">
      <c r="A145" s="213"/>
      <c r="B145" s="75" t="s">
        <v>423</v>
      </c>
      <c r="C145" s="213" t="str">
        <f t="shared" si="112"/>
        <v>HS_OtherSuppServ</v>
      </c>
      <c r="D145" s="652" t="s">
        <v>571</v>
      </c>
      <c r="E145" s="75"/>
      <c r="F145" s="76"/>
      <c r="G145" s="1216"/>
      <c r="H145" s="634" t="s">
        <v>572</v>
      </c>
      <c r="I145" s="638">
        <f ca="1">IFERROR(INDEX(INDIRECT($B$120 &amp; $B$121), MATCH($C145, INDIRECT($B$120 &amp; $B$122),0), MATCH(I$4, INDIRECT($B$120 &amp; $B$123), 0)),0)</f>
        <v>290</v>
      </c>
      <c r="J145" s="23">
        <f t="shared" ref="J145:O146" ca="1" si="115">IFERROR(INDEX(INDIRECT($B$120 &amp; $B$121), MATCH($C145, INDIRECT($B$120 &amp; $B$122),0), MATCH(J$4, INDIRECT($B$120 &amp; $B$123), 0)),0)</f>
        <v>290</v>
      </c>
      <c r="K145" s="23">
        <f t="shared" ca="1" si="115"/>
        <v>290</v>
      </c>
      <c r="L145" s="23">
        <f t="shared" ca="1" si="115"/>
        <v>290</v>
      </c>
      <c r="M145" s="23">
        <f t="shared" ca="1" si="115"/>
        <v>290</v>
      </c>
      <c r="N145" s="23">
        <f t="shared" ca="1" si="115"/>
        <v>290</v>
      </c>
      <c r="O145" s="864">
        <f t="shared" ca="1" si="115"/>
        <v>290</v>
      </c>
      <c r="P145" s="659"/>
      <c r="Q145" s="660" t="s">
        <v>573</v>
      </c>
      <c r="R145" s="655">
        <f ca="1">INDEX(INDIRECT($Q$137 &amp; $Q$138), MATCH($Q145, INDIRECT($Q$137 &amp; $Q$139),0), MATCH($R$139, INDIRECT($Q$137 &amp; $Q$140),0))</f>
        <v>0.47025107893712281</v>
      </c>
      <c r="S145" s="588"/>
      <c r="T145" s="424" t="s">
        <v>433</v>
      </c>
      <c r="U145" s="548">
        <f t="shared" ca="1" si="114"/>
        <v>290000</v>
      </c>
      <c r="V145" s="27">
        <f t="shared" ca="1" si="114"/>
        <v>305390.23985389009</v>
      </c>
      <c r="W145" s="27">
        <f t="shared" ca="1" si="111"/>
        <v>306479.79050004127</v>
      </c>
      <c r="X145" s="27">
        <f t="shared" ca="1" si="111"/>
        <v>311328.27507307555</v>
      </c>
      <c r="Y145" s="27">
        <f t="shared" ca="1" si="111"/>
        <v>320108.37300654041</v>
      </c>
      <c r="Z145" s="27">
        <f t="shared" ca="1" si="111"/>
        <v>327410.399994915</v>
      </c>
      <c r="AA145" s="386">
        <f t="shared" ca="1" si="111"/>
        <v>334979.27458944323</v>
      </c>
      <c r="AB145" s="381"/>
      <c r="AC145" s="139">
        <v>1</v>
      </c>
    </row>
    <row r="146" spans="1:29">
      <c r="A146" s="213"/>
      <c r="B146" s="75" t="s">
        <v>424</v>
      </c>
      <c r="C146" s="213" t="str">
        <f t="shared" si="112"/>
        <v>HS_CentSpEd</v>
      </c>
      <c r="D146" s="652" t="s">
        <v>574</v>
      </c>
      <c r="E146" s="75"/>
      <c r="F146" s="76"/>
      <c r="G146" s="1216"/>
      <c r="H146" s="634" t="s">
        <v>619</v>
      </c>
      <c r="I146" s="638">
        <f ca="1">IFERROR(INDEX(INDIRECT($B$120 &amp; $B$121), MATCH($C146, INDIRECT($B$120 &amp; $B$122),0), MATCH(I$4, INDIRECT($B$120 &amp; $B$123), 0)),0)</f>
        <v>203.23</v>
      </c>
      <c r="J146" s="23">
        <f t="shared" ca="1" si="115"/>
        <v>203.23</v>
      </c>
      <c r="K146" s="23">
        <f t="shared" ca="1" si="115"/>
        <v>203.23</v>
      </c>
      <c r="L146" s="23">
        <f t="shared" ca="1" si="115"/>
        <v>203.23</v>
      </c>
      <c r="M146" s="23">
        <f t="shared" ca="1" si="115"/>
        <v>203.23</v>
      </c>
      <c r="N146" s="23">
        <f t="shared" ca="1" si="115"/>
        <v>203.23</v>
      </c>
      <c r="O146" s="864">
        <f t="shared" ca="1" si="115"/>
        <v>203.23</v>
      </c>
      <c r="P146" s="659"/>
      <c r="Q146" s="660" t="s">
        <v>575</v>
      </c>
      <c r="R146" s="655">
        <f ca="1">INDEX(INDIRECT($Q$137 &amp; $Q$138), MATCH($Q146, INDIRECT($Q$137 &amp; $Q$139),0), MATCH($R$139, INDIRECT($Q$137 &amp; $Q$140),0))</f>
        <v>0.55648051681771649</v>
      </c>
      <c r="S146" s="384" t="s">
        <v>385</v>
      </c>
      <c r="T146" s="661" t="s">
        <v>554</v>
      </c>
      <c r="U146" s="548">
        <f t="shared" ca="1" si="114"/>
        <v>213589.19916354015</v>
      </c>
      <c r="V146" s="27">
        <f t="shared" ca="1" si="114"/>
        <v>228778.96470838104</v>
      </c>
      <c r="W146" s="27">
        <f t="shared" ca="1" si="111"/>
        <v>235918.6247248619</v>
      </c>
      <c r="X146" s="27">
        <f t="shared" ca="1" si="111"/>
        <v>246259.55204251056</v>
      </c>
      <c r="Y146" s="27">
        <f t="shared" ca="1" si="111"/>
        <v>260582.45318600838</v>
      </c>
      <c r="Z146" s="27">
        <f t="shared" ca="1" si="111"/>
        <v>273865.06663420866</v>
      </c>
      <c r="AA146" s="386">
        <f t="shared" ca="1" si="111"/>
        <v>287824.73188638577</v>
      </c>
      <c r="AB146" s="381"/>
      <c r="AC146" s="139">
        <v>1</v>
      </c>
    </row>
    <row r="147" spans="1:29" ht="15.95" hidden="1" customHeight="1" outlineLevel="1" thickBot="1">
      <c r="A147" s="90"/>
      <c r="B147" s="75" t="s">
        <v>425</v>
      </c>
      <c r="C147" s="213" t="str">
        <f t="shared" si="112"/>
        <v>HS_AssessCurDev</v>
      </c>
      <c r="D147" s="75" t="s">
        <v>576</v>
      </c>
      <c r="E147" s="75"/>
      <c r="F147" s="76"/>
      <c r="G147" s="1216"/>
      <c r="H147" s="635"/>
      <c r="I147" s="67">
        <f t="shared" ref="I147:O148" ca="1" si="116">IFERROR(INDEX(INDIRECT($B$144 &amp; $B$145), MATCH($C147, INDIRECT($B$144 &amp; $B$146),0), MATCH(I$4, INDIRECT($B$144 &amp; $B$147), 0)),0)</f>
        <v>302.45</v>
      </c>
      <c r="J147" s="23">
        <f t="shared" ca="1" si="116"/>
        <v>313.42444273180485</v>
      </c>
      <c r="K147" s="23">
        <f t="shared" ca="1" si="116"/>
        <v>313.42444273180485</v>
      </c>
      <c r="L147" s="23">
        <f t="shared" ca="1" si="116"/>
        <v>313.42444273180485</v>
      </c>
      <c r="M147" s="23">
        <f t="shared" ca="1" si="116"/>
        <v>313.42444273180485</v>
      </c>
      <c r="N147" s="23">
        <f t="shared" ca="1" si="116"/>
        <v>313.42444273180485</v>
      </c>
      <c r="O147" s="23">
        <f t="shared" ca="1" si="116"/>
        <v>313.42444273180485</v>
      </c>
      <c r="P147" s="662"/>
      <c r="Q147" s="90"/>
      <c r="R147" s="663"/>
      <c r="S147" s="384" t="s">
        <v>390</v>
      </c>
      <c r="T147" s="424"/>
      <c r="U147" s="548"/>
      <c r="V147" s="27"/>
      <c r="W147" s="27"/>
      <c r="X147" s="27"/>
      <c r="Y147" s="27"/>
      <c r="Z147" s="27"/>
      <c r="AA147" s="386"/>
      <c r="AB147" s="381"/>
      <c r="AC147" s="139">
        <v>0</v>
      </c>
    </row>
    <row r="148" spans="1:29" ht="15" hidden="1" customHeight="1" outlineLevel="1">
      <c r="A148" s="90"/>
      <c r="B148" s="213"/>
      <c r="C148" s="213" t="str">
        <f t="shared" si="112"/>
        <v>HS_FormAssess</v>
      </c>
      <c r="D148" s="75" t="s">
        <v>577</v>
      </c>
      <c r="E148" s="75"/>
      <c r="F148" s="76"/>
      <c r="G148" s="1216"/>
      <c r="H148" s="635"/>
      <c r="I148" s="67">
        <f t="shared" ca="1" si="116"/>
        <v>39</v>
      </c>
      <c r="J148" s="23">
        <f t="shared" ca="1" si="116"/>
        <v>39</v>
      </c>
      <c r="K148" s="23">
        <f t="shared" ca="1" si="116"/>
        <v>39</v>
      </c>
      <c r="L148" s="23">
        <f t="shared" ca="1" si="116"/>
        <v>39</v>
      </c>
      <c r="M148" s="23">
        <f t="shared" ca="1" si="116"/>
        <v>39</v>
      </c>
      <c r="N148" s="23">
        <f t="shared" ca="1" si="116"/>
        <v>39</v>
      </c>
      <c r="O148" s="23">
        <f t="shared" ca="1" si="116"/>
        <v>39</v>
      </c>
      <c r="P148" s="664"/>
      <c r="Q148" s="665"/>
      <c r="R148" s="663"/>
      <c r="S148" s="384" t="s">
        <v>578</v>
      </c>
      <c r="T148" s="424"/>
      <c r="U148" s="548"/>
      <c r="V148" s="27"/>
      <c r="W148" s="27"/>
      <c r="X148" s="27"/>
      <c r="Y148" s="27"/>
      <c r="Z148" s="27"/>
      <c r="AA148" s="386"/>
      <c r="AB148" s="380"/>
      <c r="AC148" s="139">
        <v>0</v>
      </c>
    </row>
    <row r="149" spans="1:29" ht="15.75" collapsed="1" thickBot="1">
      <c r="A149" s="90"/>
      <c r="B149" s="75"/>
      <c r="C149" s="156"/>
      <c r="D149" s="75"/>
      <c r="E149" s="75"/>
      <c r="F149" s="667"/>
      <c r="G149" s="1217"/>
      <c r="H149" s="631" t="s">
        <v>579</v>
      </c>
      <c r="I149" s="252">
        <f ca="1">I147+I148</f>
        <v>341.45</v>
      </c>
      <c r="J149" s="65">
        <f t="shared" ref="J149:P149" ca="1" si="117">J147+J148</f>
        <v>352.42444273180485</v>
      </c>
      <c r="K149" s="65">
        <f t="shared" ca="1" si="117"/>
        <v>352.42444273180485</v>
      </c>
      <c r="L149" s="65">
        <f t="shared" ca="1" si="117"/>
        <v>352.42444273180485</v>
      </c>
      <c r="M149" s="65">
        <f t="shared" ca="1" si="117"/>
        <v>352.42444273180485</v>
      </c>
      <c r="N149" s="65">
        <f t="shared" ca="1" si="117"/>
        <v>352.42444273180485</v>
      </c>
      <c r="O149" s="65">
        <f t="shared" ca="1" si="117"/>
        <v>352.42444273180485</v>
      </c>
      <c r="P149" s="666">
        <f t="shared" si="117"/>
        <v>0</v>
      </c>
      <c r="Q149" s="668" t="s">
        <v>580</v>
      </c>
      <c r="R149" s="669">
        <f ca="1">INDEX(INDIRECT($Q$137 &amp; $Q$138), MATCH($Q149, INDIRECT($Q$137 &amp; $Q$139),0), MATCH($R$139, INDIRECT($Q$137 &amp; $Q$140),0))</f>
        <v>0.50988907892040225</v>
      </c>
      <c r="S149" s="669" t="s">
        <v>395</v>
      </c>
      <c r="T149" s="670" t="s">
        <v>433</v>
      </c>
      <c r="U149" s="549">
        <f t="shared" ca="1" si="114"/>
        <v>341450</v>
      </c>
      <c r="V149" s="387">
        <f t="shared" ca="1" si="114"/>
        <v>371626.14383151702</v>
      </c>
      <c r="W149" s="387">
        <f t="shared" ca="1" si="111"/>
        <v>372451.61853633571</v>
      </c>
      <c r="X149" s="387">
        <f t="shared" ca="1" si="111"/>
        <v>378159.62400524179</v>
      </c>
      <c r="Y149" s="387">
        <f t="shared" ca="1" si="111"/>
        <v>389013.84472625772</v>
      </c>
      <c r="Z149" s="387">
        <f t="shared" ca="1" si="111"/>
        <v>397887.68194070773</v>
      </c>
      <c r="AA149" s="388">
        <f t="shared" ca="1" si="111"/>
        <v>407085.80749616813</v>
      </c>
      <c r="AB149" s="671"/>
      <c r="AC149" s="672">
        <v>1</v>
      </c>
    </row>
    <row r="150" spans="1:29" ht="15" hidden="1" customHeight="1" outlineLevel="1">
      <c r="A150" s="90"/>
      <c r="B150" s="75"/>
      <c r="C150" s="156"/>
      <c r="D150" s="75"/>
      <c r="E150" s="75"/>
      <c r="F150" s="75"/>
      <c r="G150" s="674"/>
      <c r="H150" s="675"/>
      <c r="I150" s="676"/>
      <c r="J150" s="676"/>
      <c r="K150" s="676"/>
      <c r="L150" s="676"/>
      <c r="M150" s="676"/>
      <c r="N150" s="676"/>
      <c r="O150" s="676"/>
      <c r="P150" s="646"/>
      <c r="Q150" s="673"/>
      <c r="R150" s="655"/>
      <c r="S150" s="655"/>
      <c r="T150" s="118"/>
      <c r="U150" s="646"/>
      <c r="V150" s="646"/>
      <c r="W150" s="646"/>
      <c r="X150" s="646"/>
      <c r="Y150" s="646"/>
      <c r="Z150" s="646"/>
      <c r="AA150" s="646"/>
      <c r="AB150" s="118"/>
      <c r="AC150" s="139">
        <v>1</v>
      </c>
    </row>
    <row r="151" spans="1:29" ht="15.95" hidden="1" customHeight="1" outlineLevel="1" thickBot="1">
      <c r="A151" s="698"/>
      <c r="B151" s="197"/>
      <c r="C151" s="690"/>
      <c r="D151" s="197"/>
      <c r="E151" s="197"/>
      <c r="F151" s="197"/>
      <c r="G151" s="691"/>
      <c r="H151" s="692"/>
      <c r="I151" s="693"/>
      <c r="J151" s="693"/>
      <c r="K151" s="693"/>
      <c r="L151" s="693"/>
      <c r="M151" s="693"/>
      <c r="N151" s="693"/>
      <c r="O151" s="693"/>
      <c r="P151" s="694"/>
      <c r="Q151" s="695"/>
      <c r="R151" s="696"/>
      <c r="S151" s="696"/>
      <c r="T151" s="697"/>
      <c r="U151" s="694"/>
      <c r="V151" s="694"/>
      <c r="W151" s="694"/>
      <c r="X151" s="694"/>
      <c r="Y151" s="694"/>
      <c r="Z151" s="694"/>
      <c r="AA151" s="694"/>
      <c r="AB151" s="697"/>
      <c r="AC151" s="139">
        <v>1</v>
      </c>
    </row>
    <row r="152" spans="1:29" collapsed="1">
      <c r="A152" s="698"/>
      <c r="B152" s="698" t="s">
        <v>411</v>
      </c>
      <c r="C152" s="698" t="s">
        <v>581</v>
      </c>
      <c r="D152" s="197"/>
      <c r="E152" s="197"/>
      <c r="F152" s="699"/>
      <c r="G152" s="1218" t="s">
        <v>582</v>
      </c>
      <c r="H152" s="271" t="s">
        <v>583</v>
      </c>
      <c r="I152" s="630">
        <f ca="1">IFERROR(INDEX(INDIRECT($B$152 &amp; $B$153), MATCH($C152, INDIRECT($B$139 &amp; $B$154),0), MATCH($G$3, INDIRECT($B$139 &amp; $B$155), 0)),0)</f>
        <v>207.74289346702776</v>
      </c>
      <c r="J152" s="260">
        <f t="shared" ref="J152:O152" ca="1" si="118">IFERROR(INDEX(INDIRECT($B$152 &amp; $B$153), MATCH($C152, INDIRECT($B$139 &amp; $B$154),0), MATCH($G$3, INDIRECT($B$139 &amp; $B$155), 0)),0)</f>
        <v>207.74289346702776</v>
      </c>
      <c r="K152" s="260">
        <f t="shared" ca="1" si="118"/>
        <v>207.74289346702776</v>
      </c>
      <c r="L152" s="260">
        <f t="shared" ca="1" si="118"/>
        <v>207.74289346702776</v>
      </c>
      <c r="M152" s="260">
        <f t="shared" ca="1" si="118"/>
        <v>207.74289346702776</v>
      </c>
      <c r="N152" s="260">
        <f t="shared" ca="1" si="118"/>
        <v>207.74289346702776</v>
      </c>
      <c r="O152" s="260">
        <f t="shared" ca="1" si="118"/>
        <v>207.74289346702776</v>
      </c>
      <c r="P152" s="261"/>
      <c r="Q152" s="721" t="s">
        <v>584</v>
      </c>
      <c r="R152" s="722">
        <f ca="1">INDEX(INDIRECT($S$152 &amp; $S$153), MATCH($Q152, INDIRECT($S$152 &amp; $S$154),0), MATCH($R$139, INDIRECT($S$152 &amp; $S$155),0))</f>
        <v>0.44641177674553434</v>
      </c>
      <c r="S152" s="696" t="s">
        <v>551</v>
      </c>
      <c r="T152" s="719" t="s">
        <v>433</v>
      </c>
      <c r="U152" s="547">
        <f t="shared" ref="U152:AA155" ca="1" si="119">I152*$H$2*(1+VLOOKUP($T152,$T$137:$AA$139,MATCH(U$4,$T$4:$AA$4,0),0))*(1+U$141*$R152)</f>
        <v>207742.89346702775</v>
      </c>
      <c r="V152" s="404">
        <f t="shared" ca="1" si="119"/>
        <v>218590.99837228065</v>
      </c>
      <c r="W152" s="404">
        <f t="shared" ca="1" si="119"/>
        <v>219548.27057809333</v>
      </c>
      <c r="X152" s="404">
        <f t="shared" ca="1" si="119"/>
        <v>223086.79009212795</v>
      </c>
      <c r="Y152" s="404">
        <f t="shared" ca="1" si="119"/>
        <v>229311.17114276314</v>
      </c>
      <c r="Z152" s="404">
        <f t="shared" ca="1" si="119"/>
        <v>234542.01326255369</v>
      </c>
      <c r="AA152" s="409">
        <f t="shared" ca="1" si="119"/>
        <v>239964.0129472308</v>
      </c>
      <c r="AB152" s="705"/>
      <c r="AC152" s="139">
        <v>1</v>
      </c>
    </row>
    <row r="153" spans="1:29">
      <c r="A153" s="698"/>
      <c r="B153" s="698" t="s">
        <v>413</v>
      </c>
      <c r="C153" s="698" t="s">
        <v>585</v>
      </c>
      <c r="D153" s="197"/>
      <c r="E153" s="197"/>
      <c r="F153" s="699"/>
      <c r="G153" s="1230"/>
      <c r="H153" s="272" t="s">
        <v>586</v>
      </c>
      <c r="I153" s="22">
        <f t="shared" ref="I153:O155" ca="1" si="120">IFERROR(INDEX(INDIRECT($B$152 &amp; $B$153), MATCH($C153, INDIRECT($B$139 &amp; $B$154),0), MATCH($G$3, INDIRECT($B$139 &amp; $B$155), 0)),0)</f>
        <v>287.3810454865399</v>
      </c>
      <c r="J153" s="23">
        <f t="shared" ca="1" si="120"/>
        <v>287.3810454865399</v>
      </c>
      <c r="K153" s="23">
        <f t="shared" ca="1" si="120"/>
        <v>287.3810454865399</v>
      </c>
      <c r="L153" s="23">
        <f t="shared" ca="1" si="120"/>
        <v>287.3810454865399</v>
      </c>
      <c r="M153" s="23">
        <f t="shared" ca="1" si="120"/>
        <v>287.3810454865399</v>
      </c>
      <c r="N153" s="23">
        <f t="shared" ca="1" si="120"/>
        <v>287.3810454865399</v>
      </c>
      <c r="O153" s="23">
        <f t="shared" ca="1" si="120"/>
        <v>287.3810454865399</v>
      </c>
      <c r="P153" s="24"/>
      <c r="Q153" s="721" t="s">
        <v>587</v>
      </c>
      <c r="R153" s="722">
        <f ca="1">INDEX(INDIRECT($S$152 &amp; $S$153), MATCH($Q153, INDIRECT($S$152 &amp; $S$154),0), MATCH($R$139, INDIRECT($S$152 &amp; $S$155),0))</f>
        <v>0.35842276390039168</v>
      </c>
      <c r="S153" s="696" t="s">
        <v>553</v>
      </c>
      <c r="T153" s="719" t="s">
        <v>433</v>
      </c>
      <c r="U153" s="548">
        <f t="shared" ca="1" si="119"/>
        <v>287381.04548653989</v>
      </c>
      <c r="V153" s="27">
        <f t="shared" ca="1" si="119"/>
        <v>301485.22175186622</v>
      </c>
      <c r="W153" s="27">
        <f t="shared" ca="1" si="119"/>
        <v>303712.00901516411</v>
      </c>
      <c r="X153" s="27">
        <f t="shared" ca="1" si="119"/>
        <v>308940.3494016339</v>
      </c>
      <c r="Y153" s="27">
        <f t="shared" ca="1" si="119"/>
        <v>317217.51346074097</v>
      </c>
      <c r="Z153" s="27">
        <f t="shared" ca="1" si="119"/>
        <v>324453.59673691343</v>
      </c>
      <c r="AA153" s="386">
        <f t="shared" ca="1" si="119"/>
        <v>331954.11775116174</v>
      </c>
      <c r="AB153" s="705"/>
      <c r="AC153" s="139">
        <v>1</v>
      </c>
    </row>
    <row r="154" spans="1:29">
      <c r="A154" s="698"/>
      <c r="B154" s="698" t="s">
        <v>415</v>
      </c>
      <c r="C154" s="698" t="s">
        <v>588</v>
      </c>
      <c r="D154" s="197"/>
      <c r="E154" s="197"/>
      <c r="F154" s="699"/>
      <c r="G154" s="1230"/>
      <c r="H154" s="272" t="s">
        <v>589</v>
      </c>
      <c r="I154" s="22">
        <f t="shared" ca="1" si="120"/>
        <v>128.41620751494605</v>
      </c>
      <c r="J154" s="23">
        <f t="shared" ca="1" si="120"/>
        <v>128.41620751494605</v>
      </c>
      <c r="K154" s="23">
        <f t="shared" ca="1" si="120"/>
        <v>128.41620751494605</v>
      </c>
      <c r="L154" s="23">
        <f t="shared" ca="1" si="120"/>
        <v>128.41620751494605</v>
      </c>
      <c r="M154" s="23">
        <f t="shared" ca="1" si="120"/>
        <v>128.41620751494605</v>
      </c>
      <c r="N154" s="23">
        <f t="shared" ca="1" si="120"/>
        <v>128.41620751494605</v>
      </c>
      <c r="O154" s="23">
        <f t="shared" ca="1" si="120"/>
        <v>128.41620751494605</v>
      </c>
      <c r="P154" s="24"/>
      <c r="Q154" s="721" t="s">
        <v>590</v>
      </c>
      <c r="R154" s="722">
        <f ca="1">INDEX(INDIRECT($S$152 &amp; $S$153), MATCH($Q154, INDIRECT($S$152 &amp; $S$154),0), MATCH($R$139, INDIRECT($S$152 &amp; $S$155),0))</f>
        <v>0.56889621416585201</v>
      </c>
      <c r="S154" s="696" t="s">
        <v>555</v>
      </c>
      <c r="T154" s="719" t="s">
        <v>433</v>
      </c>
      <c r="U154" s="548">
        <f t="shared" ca="1" si="119"/>
        <v>128416.20751494606</v>
      </c>
      <c r="V154" s="27">
        <f t="shared" ca="1" si="119"/>
        <v>135683.37417346856</v>
      </c>
      <c r="W154" s="27">
        <f t="shared" ca="1" si="119"/>
        <v>135713.69784824309</v>
      </c>
      <c r="X154" s="27">
        <f t="shared" ca="1" si="119"/>
        <v>137693.68945504227</v>
      </c>
      <c r="Y154" s="27">
        <f t="shared" ca="1" si="119"/>
        <v>141748.63191475742</v>
      </c>
      <c r="Z154" s="27">
        <f t="shared" ca="1" si="119"/>
        <v>144982.07540792588</v>
      </c>
      <c r="AA154" s="386">
        <f t="shared" ca="1" si="119"/>
        <v>148333.68289270357</v>
      </c>
      <c r="AB154" s="705"/>
      <c r="AC154" s="139">
        <v>1</v>
      </c>
    </row>
    <row r="155" spans="1:29" ht="15.75" thickBot="1">
      <c r="A155" s="698"/>
      <c r="B155" s="698" t="s">
        <v>418</v>
      </c>
      <c r="C155" s="698" t="s">
        <v>591</v>
      </c>
      <c r="D155" s="197"/>
      <c r="E155" s="197"/>
      <c r="F155" s="701"/>
      <c r="G155" s="1231"/>
      <c r="H155" s="275" t="s">
        <v>592</v>
      </c>
      <c r="I155" s="78">
        <f t="shared" ca="1" si="120"/>
        <v>46.007457289868704</v>
      </c>
      <c r="J155" s="65">
        <f t="shared" ca="1" si="120"/>
        <v>46.007457289868704</v>
      </c>
      <c r="K155" s="65">
        <f t="shared" ca="1" si="120"/>
        <v>46.007457289868704</v>
      </c>
      <c r="L155" s="65">
        <f t="shared" ca="1" si="120"/>
        <v>46.007457289868704</v>
      </c>
      <c r="M155" s="65">
        <f t="shared" ca="1" si="120"/>
        <v>46.007457289868704</v>
      </c>
      <c r="N155" s="65">
        <f t="shared" ca="1" si="120"/>
        <v>46.007457289868704</v>
      </c>
      <c r="O155" s="65">
        <f t="shared" ca="1" si="120"/>
        <v>46.007457289868704</v>
      </c>
      <c r="P155" s="68"/>
      <c r="Q155" s="721" t="s">
        <v>591</v>
      </c>
      <c r="R155" s="722">
        <f ca="1">INDEX(INDIRECT($S$152 &amp; $S$153), MATCH($Q155, INDIRECT($S$152 &amp; $S$154),0), MATCH($R$139, INDIRECT($S$152 &amp; $S$155),0))</f>
        <v>0.54694038119016553</v>
      </c>
      <c r="S155" s="696" t="s">
        <v>560</v>
      </c>
      <c r="T155" s="719" t="s">
        <v>433</v>
      </c>
      <c r="U155" s="549">
        <f t="shared" ca="1" si="119"/>
        <v>46007.457289868704</v>
      </c>
      <c r="V155" s="387">
        <f t="shared" ca="1" si="119"/>
        <v>48574.998200286347</v>
      </c>
      <c r="W155" s="387">
        <f t="shared" ca="1" si="119"/>
        <v>48621.916798753649</v>
      </c>
      <c r="X155" s="387">
        <f t="shared" ca="1" si="119"/>
        <v>49344.600836283666</v>
      </c>
      <c r="Y155" s="387">
        <f t="shared" ca="1" si="119"/>
        <v>50784.042411130235</v>
      </c>
      <c r="Z155" s="387">
        <f t="shared" ca="1" si="119"/>
        <v>51942.482738016835</v>
      </c>
      <c r="AA155" s="388">
        <f t="shared" ca="1" si="119"/>
        <v>53143.257478155203</v>
      </c>
      <c r="AB155" s="705"/>
      <c r="AC155" s="139">
        <v>1</v>
      </c>
    </row>
    <row r="156" spans="1:29" ht="15" hidden="1" customHeight="1" outlineLevel="1" thickBot="1">
      <c r="A156" s="698"/>
      <c r="B156" s="698"/>
      <c r="C156" s="698"/>
      <c r="D156" s="197"/>
      <c r="E156" s="197"/>
      <c r="F156" s="197"/>
      <c r="G156" s="752"/>
      <c r="H156" s="703"/>
      <c r="I156" s="744"/>
      <c r="J156" s="744"/>
      <c r="K156" s="744"/>
      <c r="L156" s="744"/>
      <c r="M156" s="744"/>
      <c r="N156" s="744"/>
      <c r="O156" s="744"/>
      <c r="P156" s="744"/>
      <c r="Q156" s="700"/>
      <c r="R156" s="700"/>
      <c r="S156" s="700"/>
      <c r="T156" s="700"/>
      <c r="U156" s="723"/>
      <c r="V156" s="720"/>
      <c r="W156" s="720"/>
      <c r="X156" s="720"/>
      <c r="Y156" s="720"/>
      <c r="Z156" s="720"/>
      <c r="AA156" s="720"/>
      <c r="AB156" s="705"/>
      <c r="AC156" s="139">
        <v>0</v>
      </c>
    </row>
    <row r="157" spans="1:29" ht="15.75" collapsed="1" thickBot="1">
      <c r="A157" s="164"/>
      <c r="B157" s="161" t="str">
        <f>'K-12_assumptions'!K5</f>
        <v>Full QEM</v>
      </c>
      <c r="C157" s="161" t="s">
        <v>81</v>
      </c>
      <c r="D157" s="161">
        <v>190</v>
      </c>
      <c r="E157" s="161"/>
      <c r="F157" s="266"/>
      <c r="G157" s="1221" t="s">
        <v>593</v>
      </c>
      <c r="H157" s="751" t="s">
        <v>594</v>
      </c>
      <c r="I157" s="755" t="s">
        <v>595</v>
      </c>
      <c r="J157" s="756"/>
      <c r="K157" s="756"/>
      <c r="L157" s="756"/>
      <c r="M157" s="756"/>
      <c r="N157" s="756"/>
      <c r="O157" s="757"/>
      <c r="P157" s="743">
        <f ca="1">(SUM($U$23:$U$35)+$U$63-((SUM(I$23:I$35)+I$63)*U$17))/$H$2/$H$158</f>
        <v>28.905806225487598</v>
      </c>
      <c r="Q157" s="264"/>
      <c r="R157" s="164"/>
      <c r="S157" s="164"/>
      <c r="T157" s="164"/>
      <c r="U157" s="548"/>
      <c r="V157" s="548"/>
      <c r="W157" s="548"/>
      <c r="X157" s="548"/>
      <c r="Y157" s="548"/>
      <c r="Z157" s="548"/>
      <c r="AA157" s="548"/>
      <c r="AB157" s="164"/>
      <c r="AC157" s="139"/>
    </row>
    <row r="158" spans="1:29">
      <c r="A158" s="164"/>
      <c r="B158" s="161"/>
      <c r="C158" s="161" t="s">
        <v>195</v>
      </c>
      <c r="D158" s="161">
        <v>193</v>
      </c>
      <c r="E158" s="161"/>
      <c r="F158" s="266"/>
      <c r="G158" s="1222"/>
      <c r="H158" s="753">
        <f>VLOOKUP($B$157, $C$157:$D$160,2,0)</f>
        <v>193</v>
      </c>
      <c r="I158" s="758" t="s">
        <v>596</v>
      </c>
      <c r="O158" s="759"/>
      <c r="P158" s="742">
        <f ca="1">(SUM($U$68:$U$86)+$U$63-((SUM(I$68:I$86)+I$63)*U$17))/$H$2/$H$158</f>
        <v>8.2560455223233493</v>
      </c>
      <c r="Q158" s="264"/>
      <c r="R158" s="164"/>
      <c r="S158" s="164"/>
      <c r="T158" s="164"/>
      <c r="U158" s="548"/>
      <c r="V158" s="548"/>
      <c r="W158" s="548"/>
      <c r="X158" s="548"/>
      <c r="Y158" s="548"/>
      <c r="Z158" s="548"/>
      <c r="AA158" s="548"/>
      <c r="AB158" s="164"/>
      <c r="AC158" s="139"/>
    </row>
    <row r="159" spans="1:29">
      <c r="A159" s="164"/>
      <c r="B159" s="161"/>
      <c r="C159" s="161" t="s">
        <v>194</v>
      </c>
      <c r="D159" s="161">
        <v>190</v>
      </c>
      <c r="E159" s="161"/>
      <c r="F159" s="266"/>
      <c r="G159" s="1222"/>
      <c r="H159" s="586"/>
      <c r="I159" s="758" t="s">
        <v>597</v>
      </c>
      <c r="O159" s="759"/>
      <c r="P159" s="742">
        <f ca="1">($U$90-(I$90*U$17))/$H$2/$H$158</f>
        <v>0.9226407051328267</v>
      </c>
      <c r="Q159" s="264"/>
      <c r="R159" s="164"/>
      <c r="S159" s="164"/>
      <c r="T159" s="164"/>
      <c r="U159" s="548"/>
      <c r="V159" s="548"/>
      <c r="W159" s="548"/>
      <c r="X159" s="548"/>
      <c r="Y159" s="548"/>
      <c r="Z159" s="548"/>
      <c r="AA159" s="548"/>
      <c r="AB159" s="164"/>
      <c r="AC159" s="139"/>
    </row>
    <row r="160" spans="1:29">
      <c r="A160" s="164"/>
      <c r="B160" s="161"/>
      <c r="C160" s="161" t="s">
        <v>87</v>
      </c>
      <c r="D160" s="161">
        <v>190</v>
      </c>
      <c r="E160" s="161"/>
      <c r="F160" s="266"/>
      <c r="G160" s="1222"/>
      <c r="H160" s="751" t="s">
        <v>598</v>
      </c>
      <c r="I160" s="758" t="s">
        <v>599</v>
      </c>
      <c r="O160" s="759"/>
      <c r="P160" s="741">
        <f ca="1">SUMIFS(U$140:U$149, $AC$140:$AC$149,1)/$H$2/$H$161</f>
        <v>15.326901222371751</v>
      </c>
      <c r="Q160" s="264"/>
      <c r="R160" s="164"/>
      <c r="S160" s="164"/>
      <c r="T160" s="164"/>
      <c r="U160" s="548"/>
      <c r="V160" s="548"/>
      <c r="W160" s="548"/>
      <c r="X160" s="548"/>
      <c r="Y160" s="548"/>
      <c r="Z160" s="548"/>
      <c r="AA160" s="548"/>
      <c r="AB160" s="164"/>
      <c r="AC160" s="139"/>
    </row>
    <row r="161" spans="1:29" ht="15.75" thickBot="1">
      <c r="A161" s="164"/>
      <c r="B161" s="161"/>
      <c r="C161" s="161"/>
      <c r="D161" s="161"/>
      <c r="E161" s="161"/>
      <c r="F161" s="266"/>
      <c r="G161" s="1222"/>
      <c r="H161" s="754">
        <v>260</v>
      </c>
      <c r="I161" s="760" t="s">
        <v>600</v>
      </c>
      <c r="J161" s="64"/>
      <c r="K161" s="64"/>
      <c r="L161" s="64"/>
      <c r="M161" s="64"/>
      <c r="N161" s="64"/>
      <c r="O161" s="761"/>
      <c r="P161" s="749">
        <f ca="1">SUMIFS(U$152:U$155, $AC$152:$AC$155,1)/$H$2/$H$161</f>
        <v>2.5751830913783937</v>
      </c>
      <c r="Q161" s="264"/>
      <c r="R161" s="164"/>
      <c r="S161" s="164"/>
      <c r="T161" s="164"/>
      <c r="U161" s="548"/>
      <c r="V161" s="548"/>
      <c r="W161" s="548"/>
      <c r="X161" s="548"/>
      <c r="Y161" s="548"/>
      <c r="Z161" s="548"/>
      <c r="AA161" s="548"/>
      <c r="AB161" s="164"/>
      <c r="AC161" s="139"/>
    </row>
    <row r="162" spans="1:29" ht="16.5" thickTop="1" thickBot="1">
      <c r="A162" s="164"/>
      <c r="B162" s="161"/>
      <c r="C162" s="161"/>
      <c r="D162" s="161"/>
      <c r="E162" s="161"/>
      <c r="F162" s="266"/>
      <c r="G162" s="1223"/>
      <c r="H162" s="586"/>
      <c r="I162" s="762" t="s">
        <v>601</v>
      </c>
      <c r="J162" s="61"/>
      <c r="K162" s="61"/>
      <c r="L162" s="61"/>
      <c r="M162" s="61"/>
      <c r="N162" s="61"/>
      <c r="O162" s="763"/>
      <c r="P162" s="750">
        <f ca="1">SUM(P157:P161)</f>
        <v>55.986576766693922</v>
      </c>
      <c r="Q162" s="264"/>
      <c r="R162" s="164"/>
      <c r="S162" s="164"/>
      <c r="T162" s="164"/>
      <c r="U162" s="548"/>
      <c r="V162" s="548"/>
      <c r="W162" s="548"/>
      <c r="X162" s="548"/>
      <c r="Y162" s="548"/>
      <c r="Z162" s="548"/>
      <c r="AA162" s="548"/>
      <c r="AB162" s="164"/>
      <c r="AC162" s="139"/>
    </row>
    <row r="163" spans="1:29" ht="15" hidden="1" customHeight="1" outlineLevel="1">
      <c r="A163" s="684"/>
      <c r="B163" s="684"/>
      <c r="C163" s="684"/>
      <c r="D163" s="79"/>
      <c r="E163" s="79"/>
      <c r="F163" s="79"/>
      <c r="G163" s="686"/>
      <c r="H163" s="140"/>
      <c r="I163" s="341"/>
      <c r="J163" s="341"/>
      <c r="K163" s="341"/>
      <c r="L163" s="341"/>
      <c r="M163" s="341"/>
      <c r="N163" s="341"/>
      <c r="O163" s="341"/>
      <c r="P163" s="341"/>
      <c r="Q163" s="598"/>
      <c r="R163" s="598"/>
      <c r="S163" s="598"/>
      <c r="T163" s="598"/>
      <c r="U163" s="688"/>
      <c r="V163" s="685"/>
      <c r="W163" s="685"/>
      <c r="X163" s="685"/>
      <c r="Y163" s="685"/>
      <c r="Z163" s="685"/>
      <c r="AA163" s="685"/>
      <c r="AB163" s="689"/>
      <c r="AC163" s="139">
        <v>0</v>
      </c>
    </row>
    <row r="164" spans="1:29" ht="15" hidden="1" customHeight="1" outlineLevel="1">
      <c r="A164" s="684"/>
      <c r="B164" s="597"/>
      <c r="C164" s="597" t="str">
        <f>LEFT($G$3,1) &amp; "S" &amp; D164</f>
        <v>HS_InstructionDays</v>
      </c>
      <c r="D164" s="79" t="s">
        <v>602</v>
      </c>
      <c r="E164" s="79"/>
      <c r="F164" s="79"/>
      <c r="G164" s="706"/>
      <c r="H164" s="140"/>
      <c r="I164" s="707">
        <f t="shared" ref="I164:O164" ca="1" si="121">INDEX(INDIRECT($B$166 &amp; $B$167), MATCH($C164, INDIRECT($B$166 &amp; $B$168),0), MATCH(I$4, INDIRECT($B$166 &amp; $B$169), 0))</f>
        <v>172</v>
      </c>
      <c r="J164" s="707">
        <f t="shared" ca="1" si="121"/>
        <v>172</v>
      </c>
      <c r="K164" s="707">
        <f t="shared" ca="1" si="121"/>
        <v>172</v>
      </c>
      <c r="L164" s="707">
        <f t="shared" ca="1" si="121"/>
        <v>172</v>
      </c>
      <c r="M164" s="707">
        <f t="shared" ca="1" si="121"/>
        <v>172</v>
      </c>
      <c r="N164" s="707">
        <f t="shared" ca="1" si="121"/>
        <v>172</v>
      </c>
      <c r="O164" s="707">
        <f t="shared" ca="1" si="121"/>
        <v>172</v>
      </c>
      <c r="P164" s="598"/>
      <c r="Q164" s="598"/>
      <c r="R164" s="598"/>
      <c r="S164" s="598"/>
      <c r="T164" s="598"/>
      <c r="U164" s="688"/>
      <c r="V164" s="685"/>
      <c r="W164" s="685"/>
      <c r="X164" s="685"/>
      <c r="Y164" s="685"/>
      <c r="Z164" s="685"/>
      <c r="AA164" s="685"/>
      <c r="AB164" s="689"/>
      <c r="AC164" s="139">
        <v>0</v>
      </c>
    </row>
    <row r="165" spans="1:29" ht="15.95" hidden="1" customHeight="1" outlineLevel="1" thickBot="1">
      <c r="A165" s="684"/>
      <c r="B165" s="79"/>
      <c r="C165" s="597" t="str">
        <f>LEFT($G$3,1) &amp; "S" &amp; D165</f>
        <v>HS_InstructionDays</v>
      </c>
      <c r="D165" s="79" t="s">
        <v>602</v>
      </c>
      <c r="E165" s="79" t="s">
        <v>197</v>
      </c>
      <c r="F165" s="79"/>
      <c r="G165" s="708"/>
      <c r="H165" s="683"/>
      <c r="I165" s="709">
        <f ca="1">INDEX(INDIRECT($B$166 &amp; $B$167), MATCH($C165, INDIRECT($B$166 &amp; $B$168),0), MATCH($E$165, INDIRECT($B$166 &amp; $B$169), 0))</f>
        <v>172</v>
      </c>
      <c r="J165" s="709">
        <f t="shared" ref="J165:O165" ca="1" si="122">INDEX(INDIRECT($B$166 &amp; $B$167), MATCH($C165, INDIRECT($B$166 &amp; $B$168),0), MATCH($E$165, INDIRECT($B$166 &amp; $B$169), 0))</f>
        <v>172</v>
      </c>
      <c r="K165" s="709">
        <f t="shared" ca="1" si="122"/>
        <v>172</v>
      </c>
      <c r="L165" s="709">
        <f t="shared" ca="1" si="122"/>
        <v>172</v>
      </c>
      <c r="M165" s="709">
        <f t="shared" ca="1" si="122"/>
        <v>172</v>
      </c>
      <c r="N165" s="709">
        <f t="shared" ca="1" si="122"/>
        <v>172</v>
      </c>
      <c r="O165" s="709">
        <f t="shared" ca="1" si="122"/>
        <v>172</v>
      </c>
      <c r="P165" s="710"/>
      <c r="Q165" s="598"/>
      <c r="R165" s="598"/>
      <c r="S165" s="598"/>
      <c r="T165" s="598"/>
      <c r="U165" s="728"/>
      <c r="V165" s="729"/>
      <c r="W165" s="729"/>
      <c r="X165" s="729"/>
      <c r="Y165" s="729"/>
      <c r="Z165" s="729"/>
      <c r="AA165" s="729"/>
      <c r="AB165" s="689"/>
      <c r="AC165" s="139">
        <v>0</v>
      </c>
    </row>
    <row r="166" spans="1:29" ht="15.75" collapsed="1" thickBot="1">
      <c r="A166" s="684"/>
      <c r="B166" s="79" t="s">
        <v>398</v>
      </c>
      <c r="C166" s="597"/>
      <c r="D166" s="79"/>
      <c r="E166" s="79"/>
      <c r="F166" s="292"/>
      <c r="G166" s="680" t="s">
        <v>603</v>
      </c>
      <c r="H166" s="619"/>
      <c r="I166" s="682">
        <f ca="1">I164-I165</f>
        <v>0</v>
      </c>
      <c r="J166" s="681">
        <f t="shared" ref="J166:O166" ca="1" si="123">J164-J165</f>
        <v>0</v>
      </c>
      <c r="K166" s="681">
        <f t="shared" ca="1" si="123"/>
        <v>0</v>
      </c>
      <c r="L166" s="681">
        <f t="shared" ca="1" si="123"/>
        <v>0</v>
      </c>
      <c r="M166" s="681">
        <f t="shared" ca="1" si="123"/>
        <v>0</v>
      </c>
      <c r="N166" s="681">
        <f t="shared" ca="1" si="123"/>
        <v>0</v>
      </c>
      <c r="O166" s="351">
        <f t="shared" ca="1" si="123"/>
        <v>0</v>
      </c>
      <c r="P166" s="68"/>
      <c r="Q166" s="711"/>
      <c r="R166" s="712"/>
      <c r="S166" s="712"/>
      <c r="T166" s="727"/>
      <c r="U166" s="731">
        <f ca="1">I$166*$P$162 * $H$2</f>
        <v>0</v>
      </c>
      <c r="V166" s="732">
        <f t="shared" ref="V166:AA166" ca="1" si="124">J$166*$P$162 * $H$2</f>
        <v>0</v>
      </c>
      <c r="W166" s="732">
        <f t="shared" ca="1" si="124"/>
        <v>0</v>
      </c>
      <c r="X166" s="732">
        <f t="shared" ca="1" si="124"/>
        <v>0</v>
      </c>
      <c r="Y166" s="732">
        <f t="shared" ca="1" si="124"/>
        <v>0</v>
      </c>
      <c r="Z166" s="732">
        <f t="shared" ca="1" si="124"/>
        <v>0</v>
      </c>
      <c r="AA166" s="733">
        <f t="shared" ca="1" si="124"/>
        <v>0</v>
      </c>
      <c r="AB166" s="689"/>
      <c r="AC166" s="139">
        <v>1</v>
      </c>
    </row>
    <row r="167" spans="1:29" ht="15.95" hidden="1" customHeight="1" outlineLevel="1" thickBot="1">
      <c r="A167" s="684"/>
      <c r="B167" s="79" t="s">
        <v>423</v>
      </c>
      <c r="C167" s="597"/>
      <c r="D167" s="79"/>
      <c r="E167" s="79"/>
      <c r="F167" s="79"/>
      <c r="G167" s="85"/>
      <c r="H167" s="687"/>
      <c r="I167" s="713"/>
      <c r="J167" s="713"/>
      <c r="K167" s="713"/>
      <c r="L167" s="713"/>
      <c r="M167" s="713"/>
      <c r="N167" s="713"/>
      <c r="O167" s="713"/>
      <c r="P167" s="713"/>
      <c r="Q167" s="712"/>
      <c r="R167" s="712"/>
      <c r="S167" s="712"/>
      <c r="T167" s="712"/>
      <c r="U167" s="730"/>
      <c r="V167" s="730"/>
      <c r="W167" s="730"/>
      <c r="X167" s="730"/>
      <c r="Y167" s="730"/>
      <c r="Z167" s="730"/>
      <c r="AA167" s="730"/>
      <c r="AB167" s="689"/>
      <c r="AC167" s="139">
        <v>0</v>
      </c>
    </row>
    <row r="168" spans="1:29" ht="15.75" collapsed="1" thickBot="1">
      <c r="A168" s="684" t="s">
        <v>604</v>
      </c>
      <c r="B168" s="597" t="s">
        <v>424</v>
      </c>
      <c r="C168" s="597"/>
      <c r="D168" s="597"/>
      <c r="E168" s="597"/>
      <c r="F168" s="734"/>
      <c r="G168" s="736" t="s">
        <v>604</v>
      </c>
      <c r="H168" s="608"/>
      <c r="I168" s="608"/>
      <c r="J168" s="608"/>
      <c r="K168" s="608"/>
      <c r="L168" s="608"/>
      <c r="M168" s="608"/>
      <c r="N168" s="608"/>
      <c r="O168" s="608"/>
      <c r="P168" s="608"/>
      <c r="Q168" s="712"/>
      <c r="R168" s="712"/>
      <c r="S168" s="712"/>
      <c r="T168" s="712"/>
      <c r="U168" s="764">
        <f t="shared" ref="U168:AA168" ca="1" si="125">SUMIFS(U$23:U$167, $AC$23:$AC$167, 1)</f>
        <v>16713825.01375968</v>
      </c>
      <c r="V168" s="765">
        <f t="shared" ca="1" si="125"/>
        <v>17618616.672395129</v>
      </c>
      <c r="W168" s="765">
        <f t="shared" ca="1" si="125"/>
        <v>18042977.52119736</v>
      </c>
      <c r="X168" s="765">
        <f t="shared" ca="1" si="125"/>
        <v>20076734.21719921</v>
      </c>
      <c r="Y168" s="765">
        <f t="shared" ca="1" si="125"/>
        <v>20669609.037271105</v>
      </c>
      <c r="Z168" s="765">
        <f t="shared" ca="1" si="125"/>
        <v>19752499.767025795</v>
      </c>
      <c r="AA168" s="766">
        <f t="shared" ca="1" si="125"/>
        <v>20268142.888109092</v>
      </c>
      <c r="AB168" s="689"/>
      <c r="AC168" s="139"/>
    </row>
    <row r="169" spans="1:29" ht="15.75" thickBot="1">
      <c r="A169" s="684" t="s">
        <v>134</v>
      </c>
      <c r="B169" s="597" t="s">
        <v>425</v>
      </c>
      <c r="C169" s="597"/>
      <c r="D169" s="597"/>
      <c r="E169" s="597"/>
      <c r="F169" s="734"/>
      <c r="G169" s="737" t="s">
        <v>134</v>
      </c>
      <c r="H169" s="608"/>
      <c r="I169" s="608"/>
      <c r="J169" s="608"/>
      <c r="K169" s="608"/>
      <c r="L169" s="608"/>
      <c r="M169" s="608"/>
      <c r="N169" s="608"/>
      <c r="O169" s="608"/>
      <c r="P169" s="608"/>
      <c r="Q169" s="712"/>
      <c r="R169" s="712"/>
      <c r="S169" s="712"/>
      <c r="T169" s="712"/>
      <c r="U169" s="767">
        <f ca="1">U168/$H$2</f>
        <v>16713.825013759681</v>
      </c>
      <c r="V169" s="768">
        <f t="shared" ref="V169:AA169" ca="1" si="126">V168/$H$2</f>
        <v>17618.616672395128</v>
      </c>
      <c r="W169" s="768">
        <f t="shared" ca="1" si="126"/>
        <v>18042.977521197361</v>
      </c>
      <c r="X169" s="768">
        <f t="shared" ca="1" si="126"/>
        <v>20076.73421719921</v>
      </c>
      <c r="Y169" s="768">
        <f t="shared" ca="1" si="126"/>
        <v>20669.609037271104</v>
      </c>
      <c r="Z169" s="768">
        <f t="shared" ca="1" si="126"/>
        <v>19752.499767025794</v>
      </c>
      <c r="AA169" s="769">
        <f t="shared" ca="1" si="126"/>
        <v>20268.142888109091</v>
      </c>
      <c r="AB169" s="689"/>
      <c r="AC169" s="139"/>
    </row>
    <row r="170" spans="1:29" ht="15.95" hidden="1" customHeight="1" outlineLevel="1" thickBot="1">
      <c r="A170" s="716"/>
      <c r="B170" s="716"/>
      <c r="C170" s="716"/>
      <c r="D170" s="716"/>
      <c r="E170" s="716"/>
      <c r="F170" s="716"/>
      <c r="G170" s="735"/>
      <c r="H170" s="717"/>
      <c r="I170" s="717"/>
      <c r="J170" s="717"/>
      <c r="K170" s="717"/>
      <c r="L170" s="717"/>
      <c r="M170" s="717"/>
      <c r="N170" s="717"/>
      <c r="O170" s="717"/>
      <c r="P170" s="717"/>
      <c r="Q170" s="716"/>
      <c r="R170" s="716"/>
      <c r="S170" s="716"/>
      <c r="T170" s="740" t="s">
        <v>561</v>
      </c>
      <c r="U170" s="745">
        <f ca="1">INDEX(INDIRECT($S$146 &amp; $S$147), MATCH($T170, INDIRECT($S$146 &amp; $S$148),0), MATCH(U$4, INDIRECT($S$146 &amp; $S$149),0))</f>
        <v>0</v>
      </c>
      <c r="V170" s="247">
        <f t="shared" ref="V170:AA170" ca="1" si="127">INDEX(INDIRECT($S$146 &amp; $S$147), MATCH($T170, INDIRECT($S$146 &amp; $S$148),0), MATCH(V$4, INDIRECT($S$146 &amp; $S$149),0))</f>
        <v>3.4443168771526977E-2</v>
      </c>
      <c r="W170" s="247">
        <f t="shared" ca="1" si="127"/>
        <v>0</v>
      </c>
      <c r="X170" s="247">
        <f t="shared" ca="1" si="127"/>
        <v>-1.2208657047724669E-2</v>
      </c>
      <c r="Y170" s="247">
        <f t="shared" ca="1" si="127"/>
        <v>0</v>
      </c>
      <c r="Z170" s="247">
        <f t="shared" ca="1" si="127"/>
        <v>0</v>
      </c>
      <c r="AA170" s="248">
        <f t="shared" ca="1" si="127"/>
        <v>0</v>
      </c>
      <c r="AB170" s="747"/>
      <c r="AC170" s="139"/>
    </row>
    <row r="171" spans="1:29" collapsed="1">
      <c r="A171" s="716"/>
      <c r="B171" s="714"/>
      <c r="C171" s="724" t="s">
        <v>346</v>
      </c>
      <c r="D171" s="715"/>
      <c r="E171" s="715"/>
      <c r="F171" s="714"/>
      <c r="G171" s="1218" t="s">
        <v>605</v>
      </c>
      <c r="H171" s="679" t="s">
        <v>606</v>
      </c>
      <c r="I171" s="259">
        <f t="shared" ref="I171:O175" ca="1" si="128">INDEX(INDIRECT($B$166 &amp; $B$167), MATCH($C171, INDIRECT($B$166 &amp; $B$168),0), MATCH(I$4, INDIRECT($B$166 &amp; $B$169),0))</f>
        <v>561.69148625945911</v>
      </c>
      <c r="J171" s="260">
        <f t="shared" ca="1" si="128"/>
        <v>582.07254444724811</v>
      </c>
      <c r="K171" s="260">
        <f t="shared" ca="1" si="128"/>
        <v>582.07254444724811</v>
      </c>
      <c r="L171" s="260">
        <f t="shared" ca="1" si="128"/>
        <v>582.07254444724811</v>
      </c>
      <c r="M171" s="260">
        <f t="shared" ca="1" si="128"/>
        <v>582.07254444724811</v>
      </c>
      <c r="N171" s="260">
        <f t="shared" ca="1" si="128"/>
        <v>582.07254444724811</v>
      </c>
      <c r="O171" s="261">
        <f t="shared" ca="1" si="128"/>
        <v>582.07254444724811</v>
      </c>
      <c r="P171" s="608"/>
      <c r="Q171" s="724" t="s">
        <v>346</v>
      </c>
      <c r="R171" s="739">
        <f ca="1">INDEX(INDIRECT($S$171 &amp; $S$172), MATCH($Q171, INDIRECT($S$171 &amp; $S$173),0), MATCH($R$139, INDIRECT($S$171 &amp; $S$174),0))</f>
        <v>0.48168145861323125</v>
      </c>
      <c r="S171" s="587" t="s">
        <v>551</v>
      </c>
      <c r="T171" s="748" t="s">
        <v>554</v>
      </c>
      <c r="U171" s="548">
        <f ca="1">I171*$H$2*(1+VLOOKUP($T171,$T$137:$AA$139,MATCH(U$4,$T$4:$AA$4,0),0))*(1+U$141*$R171)</f>
        <v>590322.46581280569</v>
      </c>
      <c r="V171" s="27">
        <f t="shared" ref="V171:AA171" ca="1" si="129">J171*$H$2*(1+VLOOKUP($T171,$T$137:$AA$139,MATCH(V$4,$T$4:$AA$4,0),0))*(1+V$141*$R171)</f>
        <v>653591.14566682954</v>
      </c>
      <c r="W171" s="27">
        <f t="shared" ca="1" si="129"/>
        <v>675696.27602271235</v>
      </c>
      <c r="X171" s="27">
        <f t="shared" ca="1" si="129"/>
        <v>705962.29792983981</v>
      </c>
      <c r="Y171" s="27">
        <f t="shared" ca="1" si="129"/>
        <v>746336.12933270587</v>
      </c>
      <c r="Z171" s="27">
        <f t="shared" ca="1" si="129"/>
        <v>784378.96064059914</v>
      </c>
      <c r="AA171" s="386">
        <f t="shared" ca="1" si="129"/>
        <v>824360.94102226815</v>
      </c>
      <c r="AB171" s="746"/>
      <c r="AC171" s="139"/>
    </row>
    <row r="172" spans="1:29">
      <c r="A172" s="716"/>
      <c r="B172" s="714"/>
      <c r="C172" s="724" t="s">
        <v>348</v>
      </c>
      <c r="D172" s="715"/>
      <c r="E172" s="715"/>
      <c r="F172" s="714"/>
      <c r="G172" s="1219"/>
      <c r="H172" s="677" t="s">
        <v>607</v>
      </c>
      <c r="I172" s="67">
        <f t="shared" ca="1" si="128"/>
        <v>269.59081319019515</v>
      </c>
      <c r="J172" s="23">
        <f t="shared" ca="1" si="128"/>
        <v>272.47233708458509</v>
      </c>
      <c r="K172" s="23">
        <f t="shared" ca="1" si="128"/>
        <v>272.47233708458509</v>
      </c>
      <c r="L172" s="23">
        <f t="shared" ca="1" si="128"/>
        <v>272.47233708458509</v>
      </c>
      <c r="M172" s="23">
        <f t="shared" ca="1" si="128"/>
        <v>272.47233708458509</v>
      </c>
      <c r="N172" s="23">
        <f t="shared" ca="1" si="128"/>
        <v>272.47233708458509</v>
      </c>
      <c r="O172" s="24">
        <f t="shared" ca="1" si="128"/>
        <v>272.47233708458509</v>
      </c>
      <c r="P172" s="609"/>
      <c r="Q172" s="724" t="s">
        <v>608</v>
      </c>
      <c r="R172" s="739">
        <f ca="1">INDEX(INDIRECT($S$171 &amp; $S$172), MATCH($Q172, INDIRECT($S$171 &amp; $S$173),0), MATCH($R$139, INDIRECT($S$171 &amp; $S$174),0))</f>
        <v>0.38816766217148979</v>
      </c>
      <c r="S172" s="587" t="s">
        <v>553</v>
      </c>
      <c r="T172" s="748" t="s">
        <v>433</v>
      </c>
      <c r="U172" s="548">
        <f ca="1">I172*$H$2*(1+VLOOKUP($T172,$T$137:$AA$139,MATCH(U$4,$T$4:$AA$4,0),0))*(1+U$141*$R172)</f>
        <v>269590.81319019513</v>
      </c>
      <c r="V172" s="27">
        <f t="shared" ref="V172:AA172" ca="1" si="130">J172*$H$2*(1+VLOOKUP($T172,$T$137:$AA$139,MATCH(V$4,$T$4:$AA$4,0),0))*(1+V$141*$R172)</f>
        <v>286134.0983723033</v>
      </c>
      <c r="W172" s="27">
        <f t="shared" ca="1" si="130"/>
        <v>287956.08547151822</v>
      </c>
      <c r="X172" s="27">
        <f t="shared" ca="1" si="130"/>
        <v>292806.35329915874</v>
      </c>
      <c r="Y172" s="27">
        <f t="shared" ca="1" si="130"/>
        <v>300760.95349460753</v>
      </c>
      <c r="Z172" s="27">
        <f t="shared" ca="1" si="130"/>
        <v>307621.64438763214</v>
      </c>
      <c r="AA172" s="386">
        <f t="shared" ca="1" si="130"/>
        <v>314733.05455960194</v>
      </c>
      <c r="AB172" s="746"/>
      <c r="AC172" s="139"/>
    </row>
    <row r="173" spans="1:29">
      <c r="A173" s="716"/>
      <c r="B173" s="714"/>
      <c r="C173" s="724" t="s">
        <v>350</v>
      </c>
      <c r="D173" s="715"/>
      <c r="E173" s="715"/>
      <c r="F173" s="714"/>
      <c r="G173" s="1219"/>
      <c r="H173" s="677" t="s">
        <v>609</v>
      </c>
      <c r="I173" s="67">
        <f t="shared" ca="1" si="128"/>
        <v>92.31574193489989</v>
      </c>
      <c r="J173" s="23">
        <f t="shared" ca="1" si="128"/>
        <v>95.665432208031433</v>
      </c>
      <c r="K173" s="23">
        <f t="shared" ca="1" si="128"/>
        <v>95.665432208031433</v>
      </c>
      <c r="L173" s="23">
        <f t="shared" ca="1" si="128"/>
        <v>95.665432208031433</v>
      </c>
      <c r="M173" s="23">
        <f t="shared" ca="1" si="128"/>
        <v>95.665432208031433</v>
      </c>
      <c r="N173" s="23">
        <f t="shared" ca="1" si="128"/>
        <v>95.665432208031433</v>
      </c>
      <c r="O173" s="24">
        <f t="shared" ca="1" si="128"/>
        <v>95.665432208031433</v>
      </c>
      <c r="P173" s="609"/>
      <c r="Q173" s="724" t="s">
        <v>610</v>
      </c>
      <c r="R173" s="739">
        <f ca="1">INDEX(INDIRECT($S$171 &amp; $S$172), MATCH($Q173, INDIRECT($S$171 &amp; $S$173),0), MATCH($R$139, INDIRECT($S$171 &amp; $S$174),0))</f>
        <v>0.32189984698010743</v>
      </c>
      <c r="S173" s="587" t="s">
        <v>555</v>
      </c>
      <c r="T173" s="748" t="s">
        <v>433</v>
      </c>
      <c r="U173" s="548">
        <f t="shared" ref="U173:AA174" ca="1" si="131">I173*$H$2*(1+VLOOKUP($T173,$T$137:$AA$139,MATCH(U$4,$T$4:$AA$4,0),0))*(1+U$141*$R173)</f>
        <v>92315.741934899896</v>
      </c>
      <c r="V173" s="27">
        <f t="shared" ca="1" si="131"/>
        <v>100235.8195659106</v>
      </c>
      <c r="W173" s="27">
        <f t="shared" ca="1" si="131"/>
        <v>101101.79869383923</v>
      </c>
      <c r="X173" s="27">
        <f t="shared" ca="1" si="131"/>
        <v>102888.3040371205</v>
      </c>
      <c r="Y173" s="27">
        <f t="shared" ca="1" si="131"/>
        <v>105597.60640372563</v>
      </c>
      <c r="Z173" s="27">
        <f t="shared" ca="1" si="131"/>
        <v>108006.40491351034</v>
      </c>
      <c r="AA173" s="386">
        <f t="shared" ca="1" si="131"/>
        <v>110503.2313252825</v>
      </c>
      <c r="AB173" s="746"/>
      <c r="AC173" s="139"/>
    </row>
    <row r="174" spans="1:29">
      <c r="A174" s="716"/>
      <c r="B174" s="714"/>
      <c r="C174" s="724" t="s">
        <v>352</v>
      </c>
      <c r="D174" s="715"/>
      <c r="E174" s="715"/>
      <c r="F174" s="714"/>
      <c r="G174" s="1219"/>
      <c r="H174" s="677" t="s">
        <v>611</v>
      </c>
      <c r="I174" s="67">
        <f t="shared" ca="1" si="128"/>
        <v>71.20107681306348</v>
      </c>
      <c r="J174" s="23">
        <f t="shared" ca="1" si="128"/>
        <v>71.20107681306348</v>
      </c>
      <c r="K174" s="23">
        <f t="shared" ca="1" si="128"/>
        <v>71.20107681306348</v>
      </c>
      <c r="L174" s="23">
        <f t="shared" ca="1" si="128"/>
        <v>71.20107681306348</v>
      </c>
      <c r="M174" s="23">
        <f t="shared" ca="1" si="128"/>
        <v>71.20107681306348</v>
      </c>
      <c r="N174" s="23">
        <f t="shared" ca="1" si="128"/>
        <v>71.20107681306348</v>
      </c>
      <c r="O174" s="24">
        <f t="shared" ca="1" si="128"/>
        <v>71.20107681306348</v>
      </c>
      <c r="P174" s="609"/>
      <c r="Q174" s="724" t="s">
        <v>612</v>
      </c>
      <c r="R174" s="739">
        <f ca="1">INDEX(INDIRECT($S$171 &amp; $S$172), MATCH($Q174, INDIRECT($S$171 &amp; $S$173),0), MATCH($R$139, INDIRECT($S$171 &amp; $S$174),0))</f>
        <v>0.33230012846919521</v>
      </c>
      <c r="S174" s="587" t="s">
        <v>560</v>
      </c>
      <c r="T174" s="748" t="s">
        <v>433</v>
      </c>
      <c r="U174" s="548">
        <f t="shared" ca="1" si="131"/>
        <v>71201.076813063482</v>
      </c>
      <c r="V174" s="27">
        <f t="shared" ca="1" si="131"/>
        <v>74629.117949041552</v>
      </c>
      <c r="W174" s="27">
        <f t="shared" ca="1" si="131"/>
        <v>75247.210707051883</v>
      </c>
      <c r="X174" s="27">
        <f t="shared" ca="1" si="131"/>
        <v>76567.094539239042</v>
      </c>
      <c r="Y174" s="27">
        <f t="shared" ca="1" si="131"/>
        <v>78593.313292908497</v>
      </c>
      <c r="Z174" s="27">
        <f t="shared" ca="1" si="131"/>
        <v>80386.113929082014</v>
      </c>
      <c r="AA174" s="386">
        <f t="shared" ca="1" si="131"/>
        <v>82244.431244231833</v>
      </c>
      <c r="AB174" s="746"/>
      <c r="AC174" s="139"/>
    </row>
    <row r="175" spans="1:29" ht="15.75" thickBot="1">
      <c r="A175" s="716"/>
      <c r="B175" s="714"/>
      <c r="C175" s="724" t="s">
        <v>354</v>
      </c>
      <c r="D175" s="715"/>
      <c r="E175" s="715"/>
      <c r="F175" s="714"/>
      <c r="G175" s="1220"/>
      <c r="H175" s="678" t="s">
        <v>613</v>
      </c>
      <c r="I175" s="252">
        <f t="shared" ca="1" si="128"/>
        <v>144.06795322060901</v>
      </c>
      <c r="J175" s="65">
        <f t="shared" ca="1" si="128"/>
        <v>138.75302258360577</v>
      </c>
      <c r="K175" s="65">
        <f t="shared" ca="1" si="128"/>
        <v>138.75302258360577</v>
      </c>
      <c r="L175" s="65">
        <f t="shared" ca="1" si="128"/>
        <v>138.75302258360577</v>
      </c>
      <c r="M175" s="65">
        <f t="shared" ca="1" si="128"/>
        <v>138.75302258360577</v>
      </c>
      <c r="N175" s="65">
        <f t="shared" ca="1" si="128"/>
        <v>138.75302258360577</v>
      </c>
      <c r="O175" s="68">
        <f t="shared" ca="1" si="128"/>
        <v>138.75302258360577</v>
      </c>
      <c r="P175" s="610"/>
      <c r="Q175" s="724" t="s">
        <v>354</v>
      </c>
      <c r="R175" s="739">
        <f ca="1">INDEX(INDIRECT($S$171 &amp; $S$172), MATCH($Q175, INDIRECT($S$171 &amp; $S$173),0), MATCH($R$139, INDIRECT($S$171 &amp; $S$174),0))</f>
        <v>0.4172258505928908</v>
      </c>
      <c r="S175" s="587"/>
      <c r="T175" s="748" t="s">
        <v>433</v>
      </c>
      <c r="U175" s="549">
        <f t="shared" ref="U175:AA175" ca="1" si="132">I175*$H$2*(1+VLOOKUP($T175,$T$137:$AA$139,MATCH(U$4,$T$4:$AA$4,0),0))*(1+U$141*$R175)</f>
        <v>144067.95322060902</v>
      </c>
      <c r="V175" s="387">
        <f t="shared" ca="1" si="132"/>
        <v>145854.00906478657</v>
      </c>
      <c r="W175" s="387">
        <f t="shared" ca="1" si="132"/>
        <v>146637.92169886551</v>
      </c>
      <c r="X175" s="387">
        <f t="shared" ca="1" si="132"/>
        <v>149054.70842117534</v>
      </c>
      <c r="Y175" s="387">
        <f t="shared" ca="1" si="132"/>
        <v>153158.63554819932</v>
      </c>
      <c r="Z175" s="387">
        <f t="shared" ca="1" si="132"/>
        <v>156652.35387793739</v>
      </c>
      <c r="AA175" s="388">
        <f t="shared" ca="1" si="132"/>
        <v>160273.74776603066</v>
      </c>
      <c r="AB175" s="746"/>
      <c r="AC175" s="139"/>
    </row>
    <row r="176" spans="1:29" ht="15.95" hidden="1" customHeight="1" outlineLevel="1" thickBot="1">
      <c r="A176" s="716"/>
      <c r="B176" s="714"/>
      <c r="C176" s="724"/>
      <c r="D176" s="715"/>
      <c r="E176" s="715"/>
      <c r="F176" s="715"/>
      <c r="G176" s="735"/>
      <c r="H176" s="718"/>
      <c r="I176" s="718"/>
      <c r="J176" s="718"/>
      <c r="K176" s="718"/>
      <c r="L176" s="718"/>
      <c r="M176" s="718"/>
      <c r="N176" s="718"/>
      <c r="O176" s="718"/>
      <c r="P176" s="718"/>
      <c r="Q176" s="716"/>
      <c r="R176" s="716"/>
      <c r="S176" s="716"/>
      <c r="T176" s="716"/>
      <c r="U176" s="735"/>
      <c r="V176" s="735"/>
      <c r="W176" s="735"/>
      <c r="X176" s="735"/>
      <c r="Y176" s="735"/>
      <c r="Z176" s="735"/>
      <c r="AA176" s="735"/>
      <c r="AB176" s="716"/>
      <c r="AC176" s="139"/>
    </row>
    <row r="177" spans="1:29" ht="15.75" collapsed="1" thickBot="1">
      <c r="A177" s="776" t="s">
        <v>614</v>
      </c>
      <c r="B177" s="714"/>
      <c r="C177" s="724"/>
      <c r="D177" s="715"/>
      <c r="E177" s="715"/>
      <c r="F177" s="714"/>
      <c r="G177" s="738" t="s">
        <v>614</v>
      </c>
      <c r="H177" s="608"/>
      <c r="I177" s="608"/>
      <c r="J177" s="608"/>
      <c r="K177" s="608"/>
      <c r="L177" s="608"/>
      <c r="M177" s="608"/>
      <c r="N177" s="608"/>
      <c r="O177" s="608"/>
      <c r="P177" s="608"/>
      <c r="Q177" s="716"/>
      <c r="R177" s="716"/>
      <c r="S177" s="716"/>
      <c r="T177" s="716"/>
      <c r="U177" s="764">
        <f ca="1">U168+SUM(U171:U175)</f>
        <v>17881323.064731255</v>
      </c>
      <c r="V177" s="765">
        <f t="shared" ref="V177:AA177" ca="1" si="133">V168+SUM(V171:V175)</f>
        <v>18879060.863014001</v>
      </c>
      <c r="W177" s="765">
        <f t="shared" ca="1" si="133"/>
        <v>19329616.813791346</v>
      </c>
      <c r="X177" s="765">
        <f t="shared" ca="1" si="133"/>
        <v>21404012.975425743</v>
      </c>
      <c r="Y177" s="765">
        <f t="shared" ca="1" si="133"/>
        <v>22054055.675343253</v>
      </c>
      <c r="Z177" s="765">
        <f t="shared" ca="1" si="133"/>
        <v>21189545.244774558</v>
      </c>
      <c r="AA177" s="766">
        <f t="shared" ca="1" si="133"/>
        <v>21760258.294026505</v>
      </c>
      <c r="AB177" s="716"/>
      <c r="AC177" s="139"/>
    </row>
    <row r="178" spans="1:29" ht="15.75" thickBot="1">
      <c r="A178" s="776" t="s">
        <v>615</v>
      </c>
      <c r="B178" s="714"/>
      <c r="C178" s="724"/>
      <c r="D178" s="715"/>
      <c r="E178" s="715"/>
      <c r="F178" s="714"/>
      <c r="G178" s="472" t="s">
        <v>615</v>
      </c>
      <c r="H178" s="608"/>
      <c r="I178" s="608"/>
      <c r="J178" s="608"/>
      <c r="K178" s="608"/>
      <c r="L178" s="608"/>
      <c r="M178" s="608"/>
      <c r="N178" s="608"/>
      <c r="O178" s="608"/>
      <c r="P178" s="608"/>
      <c r="Q178" s="716"/>
      <c r="R178" s="716"/>
      <c r="S178" s="716"/>
      <c r="T178" s="716"/>
      <c r="U178" s="767">
        <f ca="1">U177/$H$2</f>
        <v>17881.323064731256</v>
      </c>
      <c r="V178" s="768">
        <f t="shared" ref="V178:AA178" ca="1" si="134">V177/$H$2</f>
        <v>18879.060863014001</v>
      </c>
      <c r="W178" s="768">
        <f t="shared" ca="1" si="134"/>
        <v>19329.616813791345</v>
      </c>
      <c r="X178" s="768">
        <f t="shared" ca="1" si="134"/>
        <v>21404.012975425743</v>
      </c>
      <c r="Y178" s="768">
        <f t="shared" ca="1" si="134"/>
        <v>22054.055675343254</v>
      </c>
      <c r="Z178" s="768">
        <f t="shared" ca="1" si="134"/>
        <v>21189.545244774559</v>
      </c>
      <c r="AA178" s="769">
        <f t="shared" ca="1" si="134"/>
        <v>21760.258294026506</v>
      </c>
      <c r="AB178" s="716"/>
      <c r="AC178" s="139"/>
    </row>
    <row r="179" spans="1:29">
      <c r="A179" t="s">
        <v>616</v>
      </c>
      <c r="U179" s="4"/>
      <c r="V179" s="4"/>
      <c r="W179" s="4"/>
      <c r="X179" s="4"/>
      <c r="Y179" s="4"/>
      <c r="Z179" s="4"/>
      <c r="AA179" s="4"/>
    </row>
    <row r="180" spans="1:29">
      <c r="H180" s="725"/>
    </row>
    <row r="181" spans="1:29">
      <c r="H181" s="726"/>
      <c r="AA181" s="791"/>
    </row>
    <row r="182" spans="1:29">
      <c r="H182" s="726"/>
      <c r="U182" s="4"/>
      <c r="V182" s="4"/>
      <c r="W182" s="4"/>
      <c r="X182" s="4"/>
      <c r="Y182" s="4"/>
    </row>
    <row r="183" spans="1:29">
      <c r="H183" s="726"/>
    </row>
    <row r="184" spans="1:29">
      <c r="H184" s="726"/>
      <c r="U184" s="4"/>
      <c r="V184" s="4"/>
      <c r="W184" s="4"/>
      <c r="X184" s="4"/>
      <c r="Y184" s="4"/>
    </row>
    <row r="185" spans="1:29">
      <c r="H185" s="726"/>
    </row>
    <row r="186" spans="1:29">
      <c r="H186" s="726"/>
    </row>
    <row r="187" spans="1:29">
      <c r="H187" s="726"/>
    </row>
    <row r="188" spans="1:29">
      <c r="H188" s="726"/>
    </row>
    <row r="189" spans="1:29">
      <c r="H189" s="726"/>
    </row>
  </sheetData>
  <sheetProtection algorithmName="SHA-512" hashValue="XV4N3rLhhUcPRmQDxz3eSxyS5tOOcKA7qgL8dAAbtlN1zJS1VTxayirRgkmFekdDYqQTT4wfI+KwZU7+wVyUiQ==" saltValue="0o3Qa2tTRpHu2WMq/be2tQ==" spinCount="100000" sheet="1" objects="1" scenarios="1" formatColumns="0" formatRows="0"/>
  <conditionalFormatting sqref="H159 H162">
    <cfRule type="cellIs" dxfId="23" priority="12" operator="equal">
      <formula>0</formula>
    </cfRule>
  </conditionalFormatting>
  <conditionalFormatting sqref="H168:P169">
    <cfRule type="cellIs" dxfId="22" priority="14" operator="equal">
      <formula>0</formula>
    </cfRule>
    <cfRule type="cellIs" dxfId="21" priority="15" operator="equal">
      <formula>0</formula>
    </cfRule>
  </conditionalFormatting>
  <conditionalFormatting sqref="H177:P178">
    <cfRule type="cellIs" dxfId="20" priority="16" operator="equal">
      <formula>0</formula>
    </cfRule>
    <cfRule type="cellIs" dxfId="19" priority="17" operator="equal">
      <formula>0</formula>
    </cfRule>
  </conditionalFormatting>
  <conditionalFormatting sqref="I164:O165">
    <cfRule type="cellIs" dxfId="18" priority="23" operator="equal">
      <formula>0</formula>
    </cfRule>
    <cfRule type="cellIs" dxfId="17" priority="24" operator="equal">
      <formula>0</formula>
    </cfRule>
  </conditionalFormatting>
  <conditionalFormatting sqref="I7:P13">
    <cfRule type="cellIs" dxfId="16" priority="32" operator="equal">
      <formula>0</formula>
    </cfRule>
  </conditionalFormatting>
  <conditionalFormatting sqref="I17:P19">
    <cfRule type="cellIs" dxfId="15" priority="31" operator="equal">
      <formula>0</formula>
    </cfRule>
  </conditionalFormatting>
  <conditionalFormatting sqref="I23:P38 I52:P54 I57:P57 I63:P63 I68:P87 I90:P92 I97:P97 I102:P102 I108:P109 I112:P112 I114:P116 I120:P124 I129:P135 I148:O148">
    <cfRule type="cellIs" dxfId="14" priority="30" operator="equal">
      <formula>0</formula>
    </cfRule>
  </conditionalFormatting>
  <conditionalFormatting sqref="I140:P147">
    <cfRule type="cellIs" dxfId="13" priority="3" operator="equal">
      <formula>0</formula>
    </cfRule>
  </conditionalFormatting>
  <conditionalFormatting sqref="I140:P149">
    <cfRule type="cellIs" dxfId="12" priority="2" operator="equal">
      <formula>0</formula>
    </cfRule>
  </conditionalFormatting>
  <conditionalFormatting sqref="I152:P155">
    <cfRule type="cellIs" dxfId="11" priority="25" operator="equal">
      <formula>0</formula>
    </cfRule>
    <cfRule type="cellIs" dxfId="10" priority="26" operator="equal">
      <formula>0</formula>
    </cfRule>
  </conditionalFormatting>
  <conditionalFormatting sqref="I171:P175">
    <cfRule type="cellIs" dxfId="9" priority="21" operator="equal">
      <formula>0</formula>
    </cfRule>
    <cfRule type="cellIs" dxfId="8" priority="22" operator="equal">
      <formula>0</formula>
    </cfRule>
  </conditionalFormatting>
  <conditionalFormatting sqref="P166">
    <cfRule type="cellIs" dxfId="7" priority="19" operator="equal">
      <formula>0</formula>
    </cfRule>
    <cfRule type="cellIs" dxfId="6" priority="20" operator="equal">
      <formula>0</formula>
    </cfRule>
  </conditionalFormatting>
  <conditionalFormatting sqref="U16:AA19 U23:AA38 U41:AA49 U52:AA54 U57:AA57 U63:AA63 U68:AA87 U90:AA92 U97:AA97 U102:AA102 U108:AA109 U112:AA112 U114:AA116 U120:AA124 U129:AA135">
    <cfRule type="cellIs" dxfId="5" priority="10" operator="equal">
      <formula>0</formula>
    </cfRule>
  </conditionalFormatting>
  <conditionalFormatting sqref="U140:AA140">
    <cfRule type="cellIs" dxfId="4" priority="9" operator="equal">
      <formula>0</formula>
    </cfRule>
  </conditionalFormatting>
  <conditionalFormatting sqref="U142:AA149">
    <cfRule type="cellIs" dxfId="3" priority="1" operator="equal">
      <formula>0</formula>
    </cfRule>
  </conditionalFormatting>
  <conditionalFormatting sqref="U152:AA155">
    <cfRule type="cellIs" dxfId="2" priority="8" operator="equal">
      <formula>0</formula>
    </cfRule>
  </conditionalFormatting>
  <conditionalFormatting sqref="U157:AA162">
    <cfRule type="cellIs" dxfId="1" priority="6" operator="equal">
      <formula>0</formula>
    </cfRule>
  </conditionalFormatting>
  <conditionalFormatting sqref="U171:AA175">
    <cfRule type="cellIs" dxfId="0" priority="7" operator="equal">
      <formula>0</formula>
    </cfRule>
  </conditionalFormatting>
  <dataValidations disablePrompts="1" count="1">
    <dataValidation type="list" allowBlank="1" showInputMessage="1" showErrorMessage="1" sqref="F3" xr:uid="{00000000-0002-0000-1000-000000000000}">
      <formula1>$B$3:$B$5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G10"/>
  <sheetViews>
    <sheetView workbookViewId="0"/>
  </sheetViews>
  <sheetFormatPr defaultRowHeight="15" outlineLevelRow="1"/>
  <sheetData>
    <row r="1" spans="1:7">
      <c r="A1" s="1" t="s">
        <v>620</v>
      </c>
    </row>
    <row r="2" spans="1:7">
      <c r="A2" s="1" t="s">
        <v>621</v>
      </c>
    </row>
    <row r="4" spans="1:7" ht="15.75" thickBot="1">
      <c r="A4" s="2" t="s">
        <v>622</v>
      </c>
      <c r="B4" s="2" t="s">
        <v>623</v>
      </c>
      <c r="C4" s="2" t="s">
        <v>624</v>
      </c>
      <c r="D4" s="2" t="s">
        <v>625</v>
      </c>
      <c r="E4" s="2" t="s">
        <v>626</v>
      </c>
      <c r="F4" s="2" t="s">
        <v>627</v>
      </c>
      <c r="G4" s="2" t="s">
        <v>628</v>
      </c>
    </row>
    <row r="5" spans="1:7" hidden="1" outlineLevel="1">
      <c r="A5" s="2" t="str">
        <f>LEFT(A7,4)</f>
        <v>2022</v>
      </c>
      <c r="B5" s="2">
        <f t="shared" ref="B5:G5" si="0">A5+1</f>
        <v>2023</v>
      </c>
      <c r="C5" s="2">
        <f t="shared" si="0"/>
        <v>2024</v>
      </c>
      <c r="D5" s="2">
        <f t="shared" si="0"/>
        <v>2025</v>
      </c>
      <c r="E5" s="2">
        <f t="shared" si="0"/>
        <v>2026</v>
      </c>
      <c r="F5" s="2">
        <f t="shared" si="0"/>
        <v>2027</v>
      </c>
      <c r="G5" s="2">
        <f t="shared" si="0"/>
        <v>2028</v>
      </c>
    </row>
    <row r="6" spans="1:7" ht="15.75" hidden="1" outlineLevel="1" thickBot="1">
      <c r="A6" s="2">
        <f t="shared" ref="A6:G6" si="1">RIGHT(A5,2)+1</f>
        <v>23</v>
      </c>
      <c r="B6" s="2">
        <f t="shared" si="1"/>
        <v>24</v>
      </c>
      <c r="C6" s="2">
        <f t="shared" si="1"/>
        <v>25</v>
      </c>
      <c r="D6" s="2">
        <f t="shared" si="1"/>
        <v>26</v>
      </c>
      <c r="E6" s="2">
        <f t="shared" si="1"/>
        <v>27</v>
      </c>
      <c r="F6" s="2">
        <f t="shared" si="1"/>
        <v>28</v>
      </c>
      <c r="G6" s="2">
        <f t="shared" si="1"/>
        <v>29</v>
      </c>
    </row>
    <row r="7" spans="1:7" ht="15.75" collapsed="1" thickBot="1">
      <c r="A7" s="918" t="s">
        <v>629</v>
      </c>
      <c r="B7" s="2" t="str">
        <f t="shared" ref="B7:G7" si="2">B5 &amp; "-" &amp; B6</f>
        <v>2023-24</v>
      </c>
      <c r="C7" s="2" t="str">
        <f t="shared" si="2"/>
        <v>2024-25</v>
      </c>
      <c r="D7" s="2" t="str">
        <f t="shared" si="2"/>
        <v>2025-26</v>
      </c>
      <c r="E7" s="2" t="str">
        <f t="shared" si="2"/>
        <v>2026-27</v>
      </c>
      <c r="F7" s="2" t="str">
        <f t="shared" si="2"/>
        <v>2027-28</v>
      </c>
      <c r="G7" s="2" t="str">
        <f t="shared" si="2"/>
        <v>2028-29</v>
      </c>
    </row>
    <row r="9" spans="1:7">
      <c r="A9" s="1172" t="s">
        <v>630</v>
      </c>
      <c r="B9" s="1173"/>
      <c r="C9" s="1173"/>
      <c r="D9" s="1173"/>
      <c r="E9" s="1173"/>
      <c r="F9" s="1173"/>
      <c r="G9" s="1173"/>
    </row>
    <row r="10" spans="1:7">
      <c r="A10" s="1" t="s">
        <v>631</v>
      </c>
    </row>
  </sheetData>
  <sheetProtection algorithmName="SHA-512" hashValue="IYP6cNuU4su9809Cx+GZYyvaq6gTjUQRpJ86GX2c9Jpna0jszm7xva6uiC2N486+nkNU4oUKXDuFk9/k+K1QfA==" saltValue="UAfFfRbRecjtKOzfEEGjUQ==" spinCount="100000" sheet="1" objects="1" scenarios="1" formatColumns="0" forma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CF9C4BCACE3B469E79562631E94AAE" ma:contentTypeVersion="7" ma:contentTypeDescription="Create a new document." ma:contentTypeScope="" ma:versionID="531f27065dd335838bbb377a76fcea00">
  <xsd:schema xmlns:xsd="http://www.w3.org/2001/XMLSchema" xmlns:xs="http://www.w3.org/2001/XMLSchema" xmlns:p="http://schemas.microsoft.com/office/2006/metadata/properties" xmlns:ns1="http://schemas.microsoft.com/sharepoint/v3" xmlns:ns2="ef831af2-fec2-4cb3-8c78-855c7bbc6bb0" xmlns:ns3="54031767-dd6d-417c-ab73-583408f47564" targetNamespace="http://schemas.microsoft.com/office/2006/metadata/properties" ma:root="true" ma:fieldsID="ba1927736c8f8737de165eb8ae152453" ns1:_="" ns2:_="" ns3:_="">
    <xsd:import namespace="http://schemas.microsoft.com/sharepoint/v3"/>
    <xsd:import namespace="ef831af2-fec2-4cb3-8c78-855c7bbc6bb0"/>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831af2-fec2-4cb3-8c78-855c7bbc6bb0"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mediation_x0020_Date xmlns="ef831af2-fec2-4cb3-8c78-855c7bbc6bb0">2024-08-02T07:00:00+00:00</Remediation_x0020_Date>
    <PublishingExpirationDate xmlns="http://schemas.microsoft.com/sharepoint/v3" xsi:nil="true"/>
    <Estimated_x0020_Creation_x0020_Date xmlns="ef831af2-fec2-4cb3-8c78-855c7bbc6bb0" xsi:nil="true"/>
    <Priority xmlns="ef831af2-fec2-4cb3-8c78-855c7bbc6bb0">New</Priority>
    <PublishingStartDate xmlns="http://schemas.microsoft.com/sharepoint/v3" xsi:nil="true"/>
  </documentManagement>
</p:properties>
</file>

<file path=customXml/itemProps1.xml><?xml version="1.0" encoding="utf-8"?>
<ds:datastoreItem xmlns:ds="http://schemas.openxmlformats.org/officeDocument/2006/customXml" ds:itemID="{5F8D7D39-D529-45D4-8831-303881718EDE}"/>
</file>

<file path=customXml/itemProps2.xml><?xml version="1.0" encoding="utf-8"?>
<ds:datastoreItem xmlns:ds="http://schemas.openxmlformats.org/officeDocument/2006/customXml" ds:itemID="{97279254-6AF0-42A9-B190-721AF41E005C}"/>
</file>

<file path=customXml/itemProps3.xml><?xml version="1.0" encoding="utf-8"?>
<ds:datastoreItem xmlns:ds="http://schemas.openxmlformats.org/officeDocument/2006/customXml" ds:itemID="{9C72A93F-578E-4131-A118-EA426850F6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vt:i4>
      </vt:variant>
    </vt:vector>
  </HeadingPairs>
  <TitlesOfParts>
    <vt:vector size="31" baseType="lpstr">
      <vt:lpstr>Notes</vt:lpstr>
      <vt:lpstr>K-12 Output Tables</vt:lpstr>
      <vt:lpstr>Scale-Up</vt:lpstr>
      <vt:lpstr>Staffing_ClassSize_Report</vt:lpstr>
      <vt:lpstr>K-12_assumptions</vt:lpstr>
      <vt:lpstr>ES_Detail</vt:lpstr>
      <vt:lpstr>MS_Detail</vt:lpstr>
      <vt:lpstr>HS_Detail</vt:lpstr>
      <vt:lpstr>1.Years</vt:lpstr>
      <vt:lpstr>2.StudentAssumptions</vt:lpstr>
      <vt:lpstr>11.Enrollment</vt:lpstr>
      <vt:lpstr>3.SalaryHistory</vt:lpstr>
      <vt:lpstr>Salary_Assumptions</vt:lpstr>
      <vt:lpstr>District total salaries</vt:lpstr>
      <vt:lpstr>7.PayrollBenefits</vt:lpstr>
      <vt:lpstr>RIPROS</vt:lpstr>
      <vt:lpstr>4.PerStudentExpenditures</vt:lpstr>
      <vt:lpstr>centralized sped expenditures</vt:lpstr>
      <vt:lpstr>5.LocalAndFedRevenues</vt:lpstr>
      <vt:lpstr>Food service</vt:lpstr>
      <vt:lpstr>12.RevenueForecasts</vt:lpstr>
      <vt:lpstr>6.GrowthFactors</vt:lpstr>
      <vt:lpstr>computer cost growth</vt:lpstr>
      <vt:lpstr>textbook cost growth</vt:lpstr>
      <vt:lpstr>8.OtherStaffingAssumptions</vt:lpstr>
      <vt:lpstr>9.ComputerAssumptions</vt:lpstr>
      <vt:lpstr>10.CostShares</vt:lpstr>
      <vt:lpstr>Raw Data</vt:lpstr>
      <vt:lpstr>Biennium_1</vt:lpstr>
      <vt:lpstr>'3.SalaryHistory'!Print_Area</vt:lpstr>
      <vt:lpstr>'K-12 Output Tables'!Print_Area</vt:lpstr>
    </vt:vector>
  </TitlesOfParts>
  <Manager/>
  <Company>Oregon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FULLER Evan * ODE</cp:lastModifiedBy>
  <cp:revision/>
  <dcterms:created xsi:type="dcterms:W3CDTF">2017-07-24T16:28:28Z</dcterms:created>
  <dcterms:modified xsi:type="dcterms:W3CDTF">2024-07-30T23:20:29Z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30ea53-6f5e-4160-81a5-992a9105450a_Enabled">
    <vt:lpwstr>true</vt:lpwstr>
  </property>
  <property fmtid="{D5CDD505-2E9C-101B-9397-08002B2CF9AE}" pid="3" name="MSIP_Label_7730ea53-6f5e-4160-81a5-992a9105450a_SetDate">
    <vt:lpwstr>2024-02-06T17:18:39Z</vt:lpwstr>
  </property>
  <property fmtid="{D5CDD505-2E9C-101B-9397-08002B2CF9AE}" pid="4" name="MSIP_Label_7730ea53-6f5e-4160-81a5-992a9105450a_Method">
    <vt:lpwstr>Standard</vt:lpwstr>
  </property>
  <property fmtid="{D5CDD505-2E9C-101B-9397-08002B2CF9AE}" pid="5" name="MSIP_Label_7730ea53-6f5e-4160-81a5-992a9105450a_Name">
    <vt:lpwstr>Level 2 - Limited (Items)</vt:lpwstr>
  </property>
  <property fmtid="{D5CDD505-2E9C-101B-9397-08002B2CF9AE}" pid="6" name="MSIP_Label_7730ea53-6f5e-4160-81a5-992a9105450a_SiteId">
    <vt:lpwstr>b4f51418-b269-49a2-935a-fa54bf584fc8</vt:lpwstr>
  </property>
  <property fmtid="{D5CDD505-2E9C-101B-9397-08002B2CF9AE}" pid="7" name="MSIP_Label_7730ea53-6f5e-4160-81a5-992a9105450a_ActionId">
    <vt:lpwstr>fe8a348a-46fc-4a7c-8b06-efb24b8cd21b</vt:lpwstr>
  </property>
  <property fmtid="{D5CDD505-2E9C-101B-9397-08002B2CF9AE}" pid="8" name="MSIP_Label_7730ea53-6f5e-4160-81a5-992a9105450a_ContentBits">
    <vt:lpwstr>0</vt:lpwstr>
  </property>
  <property fmtid="{D5CDD505-2E9C-101B-9397-08002B2CF9AE}" pid="9" name="ContentTypeId">
    <vt:lpwstr>0x01010084CF9C4BCACE3B469E79562631E94AAE</vt:lpwstr>
  </property>
</Properties>
</file>