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FC - Finance\1. Funding Distribution\2023-25 University Distributions\Distribution\"/>
    </mc:Choice>
  </mc:AlternateContent>
  <xr:revisionPtr revIDLastSave="0" documentId="13_ncr:1_{0A70691D-7077-4839-94A9-490F7449B44A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FY2024" sheetId="2" r:id="rId1"/>
    <sheet name="Q1" sheetId="3" r:id="rId2"/>
    <sheet name="Q2" sheetId="4" r:id="rId3"/>
    <sheet name="Q3" sheetId="5" r:id="rId4"/>
    <sheet name="Q4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5" l="1"/>
  <c r="K21" i="5"/>
  <c r="M21" i="5"/>
  <c r="N21" i="5"/>
  <c r="O21" i="5"/>
  <c r="P21" i="5"/>
  <c r="Q21" i="5"/>
  <c r="R70" i="4"/>
  <c r="R71" i="4"/>
  <c r="R72" i="4"/>
  <c r="R73" i="4"/>
  <c r="L70" i="2"/>
  <c r="M70" i="2"/>
  <c r="N70" i="2"/>
  <c r="O70" i="2"/>
  <c r="P70" i="2"/>
  <c r="Q70" i="2"/>
  <c r="L71" i="2"/>
  <c r="M71" i="2"/>
  <c r="N71" i="2"/>
  <c r="O71" i="2"/>
  <c r="P71" i="2"/>
  <c r="Q71" i="2"/>
  <c r="L72" i="2"/>
  <c r="M72" i="2"/>
  <c r="N72" i="2"/>
  <c r="O72" i="2"/>
  <c r="P72" i="2"/>
  <c r="Q72" i="2"/>
  <c r="L70" i="4"/>
  <c r="M70" i="4"/>
  <c r="O70" i="4"/>
  <c r="L71" i="4"/>
  <c r="M71" i="4"/>
  <c r="O71" i="4"/>
  <c r="H75" i="6"/>
  <c r="I75" i="6"/>
  <c r="J75" i="6"/>
  <c r="K75" i="6"/>
  <c r="L75" i="6"/>
  <c r="M75" i="6"/>
  <c r="N75" i="6"/>
  <c r="O75" i="6"/>
  <c r="P75" i="6"/>
  <c r="Q75" i="6"/>
  <c r="R75" i="6"/>
  <c r="G75" i="6"/>
  <c r="H75" i="4"/>
  <c r="I75" i="4"/>
  <c r="J75" i="4"/>
  <c r="G75" i="4"/>
  <c r="R75" i="3"/>
  <c r="H75" i="3"/>
  <c r="I75" i="3"/>
  <c r="J75" i="3"/>
  <c r="K75" i="3"/>
  <c r="L75" i="3"/>
  <c r="M75" i="3"/>
  <c r="N75" i="3"/>
  <c r="O75" i="3"/>
  <c r="P75" i="3"/>
  <c r="Q75" i="3"/>
  <c r="G75" i="3"/>
  <c r="I75" i="2"/>
  <c r="H75" i="2"/>
  <c r="G75" i="2"/>
  <c r="J27" i="2"/>
  <c r="K27" i="2"/>
  <c r="L27" i="2"/>
  <c r="M27" i="2"/>
  <c r="N27" i="2"/>
  <c r="O27" i="2"/>
  <c r="P27" i="2"/>
  <c r="Q27" i="2"/>
  <c r="R27" i="4"/>
  <c r="R27" i="5"/>
  <c r="R27" i="6"/>
  <c r="R27" i="3"/>
  <c r="R27" i="2" l="1"/>
  <c r="I27" i="6"/>
  <c r="H27" i="6"/>
  <c r="I27" i="5"/>
  <c r="H27" i="5"/>
  <c r="I27" i="4"/>
  <c r="H27" i="4"/>
  <c r="I27" i="3"/>
  <c r="H27" i="3"/>
  <c r="I27" i="2"/>
  <c r="H27" i="2"/>
  <c r="N39" i="5" l="1"/>
  <c r="P39" i="5"/>
  <c r="G39" i="5"/>
  <c r="G39" i="2"/>
  <c r="G39" i="3"/>
  <c r="G39" i="4"/>
  <c r="N39" i="6"/>
  <c r="P39" i="6"/>
  <c r="Q39" i="6"/>
  <c r="G39" i="6"/>
  <c r="N39" i="4"/>
  <c r="N75" i="4" s="1"/>
  <c r="P39" i="4"/>
  <c r="P75" i="4" s="1"/>
  <c r="Q39" i="4"/>
  <c r="Q75" i="4" s="1"/>
  <c r="N39" i="3"/>
  <c r="P39" i="3"/>
  <c r="Q39" i="3"/>
  <c r="Q39" i="5"/>
  <c r="R72" i="6"/>
  <c r="R70" i="6"/>
  <c r="R71" i="6"/>
  <c r="R72" i="5"/>
  <c r="R70" i="3"/>
  <c r="R71" i="3"/>
  <c r="R72" i="3"/>
  <c r="J70" i="2"/>
  <c r="K70" i="2"/>
  <c r="J71" i="2"/>
  <c r="K71" i="2"/>
  <c r="J72" i="2"/>
  <c r="K72" i="2"/>
  <c r="I72" i="6"/>
  <c r="H72" i="6"/>
  <c r="I71" i="6"/>
  <c r="H71" i="6"/>
  <c r="I70" i="6"/>
  <c r="H70" i="6"/>
  <c r="I72" i="5"/>
  <c r="H72" i="5"/>
  <c r="I71" i="5"/>
  <c r="H71" i="5"/>
  <c r="I70" i="5"/>
  <c r="H70" i="5"/>
  <c r="I72" i="4"/>
  <c r="H72" i="4"/>
  <c r="I71" i="4"/>
  <c r="H71" i="4"/>
  <c r="I70" i="4"/>
  <c r="H70" i="4"/>
  <c r="I72" i="3"/>
  <c r="H72" i="3"/>
  <c r="I71" i="3"/>
  <c r="H71" i="3"/>
  <c r="I70" i="3"/>
  <c r="H70" i="3"/>
  <c r="I72" i="2"/>
  <c r="I71" i="2"/>
  <c r="I70" i="2"/>
  <c r="H71" i="2"/>
  <c r="H72" i="2"/>
  <c r="H70" i="2"/>
  <c r="R70" i="2" l="1"/>
  <c r="S70" i="2" s="1"/>
  <c r="R72" i="2"/>
  <c r="S72" i="2" s="1"/>
  <c r="R71" i="2"/>
  <c r="S71" i="2" s="1"/>
  <c r="R71" i="5"/>
  <c r="R70" i="5"/>
  <c r="I16" i="6" l="1"/>
  <c r="H16" i="6"/>
  <c r="I16" i="5"/>
  <c r="H16" i="5"/>
  <c r="I16" i="2"/>
  <c r="H16" i="2"/>
  <c r="R60" i="6"/>
  <c r="R60" i="5"/>
  <c r="R60" i="4"/>
  <c r="R60" i="3"/>
  <c r="M60" i="2"/>
  <c r="R60" i="2" s="1"/>
  <c r="S60" i="2" s="1"/>
  <c r="J7" i="2" l="1"/>
  <c r="K7" i="2"/>
  <c r="L7" i="2"/>
  <c r="M7" i="2"/>
  <c r="N7" i="2"/>
  <c r="O7" i="2"/>
  <c r="P7" i="2"/>
  <c r="Q7" i="2"/>
  <c r="J11" i="2"/>
  <c r="K11" i="2"/>
  <c r="M11" i="2"/>
  <c r="N11" i="2"/>
  <c r="O11" i="2"/>
  <c r="P11" i="2"/>
  <c r="Q11" i="2"/>
  <c r="J14" i="2"/>
  <c r="K14" i="2"/>
  <c r="M14" i="2"/>
  <c r="N14" i="2"/>
  <c r="O14" i="2"/>
  <c r="P14" i="2"/>
  <c r="Q14" i="2"/>
  <c r="J15" i="2"/>
  <c r="K15" i="2"/>
  <c r="M15" i="2"/>
  <c r="N15" i="2"/>
  <c r="O15" i="2"/>
  <c r="P15" i="2"/>
  <c r="Q15" i="2"/>
  <c r="J16" i="2"/>
  <c r="K16" i="2"/>
  <c r="M16" i="2"/>
  <c r="N16" i="2"/>
  <c r="O16" i="2"/>
  <c r="P16" i="2"/>
  <c r="Q16" i="2"/>
  <c r="J17" i="2"/>
  <c r="K17" i="2"/>
  <c r="M17" i="2"/>
  <c r="N17" i="2"/>
  <c r="O17" i="2"/>
  <c r="P17" i="2"/>
  <c r="Q17" i="2"/>
  <c r="J18" i="2"/>
  <c r="K18" i="2"/>
  <c r="M18" i="2"/>
  <c r="N18" i="2"/>
  <c r="O18" i="2"/>
  <c r="P18" i="2"/>
  <c r="Q18" i="2"/>
  <c r="J19" i="2"/>
  <c r="K19" i="2"/>
  <c r="M19" i="2"/>
  <c r="N19" i="2"/>
  <c r="O19" i="2"/>
  <c r="P19" i="2"/>
  <c r="Q19" i="2"/>
  <c r="J20" i="2"/>
  <c r="K20" i="2"/>
  <c r="M20" i="2"/>
  <c r="N20" i="2"/>
  <c r="O20" i="2"/>
  <c r="P20" i="2"/>
  <c r="Q20" i="2"/>
  <c r="J23" i="2"/>
  <c r="K23" i="2"/>
  <c r="M23" i="2"/>
  <c r="N23" i="2"/>
  <c r="O23" i="2"/>
  <c r="P23" i="2"/>
  <c r="Q23" i="2"/>
  <c r="J25" i="2"/>
  <c r="K25" i="2"/>
  <c r="L25" i="2"/>
  <c r="M25" i="2"/>
  <c r="N25" i="2"/>
  <c r="O25" i="2"/>
  <c r="P25" i="2"/>
  <c r="Q25" i="2"/>
  <c r="J30" i="2"/>
  <c r="K30" i="2"/>
  <c r="L30" i="2"/>
  <c r="M30" i="2"/>
  <c r="N30" i="2"/>
  <c r="O30" i="2"/>
  <c r="P30" i="2"/>
  <c r="J31" i="2"/>
  <c r="K31" i="2"/>
  <c r="L31" i="2"/>
  <c r="M31" i="2"/>
  <c r="N31" i="2"/>
  <c r="O31" i="2"/>
  <c r="P31" i="2"/>
  <c r="J32" i="2"/>
  <c r="K32" i="2"/>
  <c r="L32" i="2"/>
  <c r="M32" i="2"/>
  <c r="N32" i="2"/>
  <c r="O32" i="2"/>
  <c r="P32" i="2"/>
  <c r="J33" i="2"/>
  <c r="K33" i="2"/>
  <c r="L33" i="2"/>
  <c r="M33" i="2"/>
  <c r="N33" i="2"/>
  <c r="O33" i="2"/>
  <c r="P33" i="2"/>
  <c r="J34" i="2"/>
  <c r="K34" i="2"/>
  <c r="L34" i="2"/>
  <c r="M34" i="2"/>
  <c r="N34" i="2"/>
  <c r="O34" i="2"/>
  <c r="P34" i="2"/>
  <c r="J35" i="2"/>
  <c r="K35" i="2"/>
  <c r="L35" i="2"/>
  <c r="M35" i="2"/>
  <c r="N35" i="2"/>
  <c r="O35" i="2"/>
  <c r="P35" i="2"/>
  <c r="J36" i="2"/>
  <c r="K36" i="2"/>
  <c r="L36" i="2"/>
  <c r="M36" i="2"/>
  <c r="N36" i="2"/>
  <c r="O36" i="2"/>
  <c r="P36" i="2"/>
  <c r="J40" i="2"/>
  <c r="K40" i="2"/>
  <c r="L40" i="2"/>
  <c r="M40" i="2"/>
  <c r="N40" i="2"/>
  <c r="O40" i="2"/>
  <c r="P40" i="2"/>
  <c r="Q40" i="2"/>
  <c r="J41" i="2"/>
  <c r="K41" i="2"/>
  <c r="M41" i="2"/>
  <c r="N41" i="2"/>
  <c r="O41" i="2"/>
  <c r="P41" i="2"/>
  <c r="Q41" i="2"/>
  <c r="J42" i="2"/>
  <c r="K42" i="2"/>
  <c r="L42" i="2"/>
  <c r="M42" i="2"/>
  <c r="N42" i="2"/>
  <c r="O42" i="2"/>
  <c r="P42" i="2"/>
  <c r="Q42" i="2"/>
  <c r="J43" i="2"/>
  <c r="K43" i="2"/>
  <c r="L43" i="2"/>
  <c r="N43" i="2"/>
  <c r="O43" i="2"/>
  <c r="P43" i="2"/>
  <c r="Q43" i="2"/>
  <c r="J44" i="2"/>
  <c r="K44" i="2"/>
  <c r="M44" i="2"/>
  <c r="N44" i="2"/>
  <c r="O44" i="2"/>
  <c r="P44" i="2"/>
  <c r="Q44" i="2"/>
  <c r="J45" i="2"/>
  <c r="K45" i="2"/>
  <c r="L45" i="2"/>
  <c r="M45" i="2"/>
  <c r="N45" i="2"/>
  <c r="O45" i="2"/>
  <c r="P45" i="2"/>
  <c r="Q45" i="2"/>
  <c r="J46" i="2"/>
  <c r="K46" i="2"/>
  <c r="L46" i="2"/>
  <c r="M46" i="2"/>
  <c r="N46" i="2"/>
  <c r="P46" i="2"/>
  <c r="Q46" i="2"/>
  <c r="J47" i="2"/>
  <c r="K47" i="2"/>
  <c r="M47" i="2"/>
  <c r="N47" i="2"/>
  <c r="O47" i="2"/>
  <c r="P47" i="2"/>
  <c r="Q47" i="2"/>
  <c r="J48" i="2"/>
  <c r="L48" i="2"/>
  <c r="M48" i="2"/>
  <c r="N48" i="2"/>
  <c r="O48" i="2"/>
  <c r="P48" i="2"/>
  <c r="Q48" i="2"/>
  <c r="J49" i="2"/>
  <c r="K49" i="2"/>
  <c r="L49" i="2"/>
  <c r="N49" i="2"/>
  <c r="O49" i="2"/>
  <c r="P49" i="2"/>
  <c r="Q49" i="2"/>
  <c r="J50" i="2"/>
  <c r="K50" i="2"/>
  <c r="M50" i="2"/>
  <c r="N50" i="2"/>
  <c r="O50" i="2"/>
  <c r="P50" i="2"/>
  <c r="Q50" i="2"/>
  <c r="J51" i="2"/>
  <c r="K51" i="2"/>
  <c r="L51" i="2"/>
  <c r="M51" i="2"/>
  <c r="N51" i="2"/>
  <c r="P51" i="2"/>
  <c r="Q51" i="2"/>
  <c r="J52" i="2"/>
  <c r="K52" i="2"/>
  <c r="M52" i="2"/>
  <c r="N52" i="2"/>
  <c r="O52" i="2"/>
  <c r="P52" i="2"/>
  <c r="Q52" i="2"/>
  <c r="J53" i="2"/>
  <c r="K53" i="2"/>
  <c r="L53" i="2"/>
  <c r="N53" i="2"/>
  <c r="O53" i="2"/>
  <c r="P53" i="2"/>
  <c r="Q53" i="2"/>
  <c r="J54" i="2"/>
  <c r="K54" i="2"/>
  <c r="M54" i="2"/>
  <c r="N54" i="2"/>
  <c r="O54" i="2"/>
  <c r="P54" i="2"/>
  <c r="Q54" i="2"/>
  <c r="J55" i="2"/>
  <c r="K55" i="2"/>
  <c r="M55" i="2"/>
  <c r="N55" i="2"/>
  <c r="O55" i="2"/>
  <c r="P55" i="2"/>
  <c r="Q55" i="2"/>
  <c r="J56" i="2"/>
  <c r="K56" i="2"/>
  <c r="L56" i="2"/>
  <c r="M56" i="2"/>
  <c r="N56" i="2"/>
  <c r="O56" i="2"/>
  <c r="P56" i="2"/>
  <c r="Q56" i="2"/>
  <c r="J57" i="2"/>
  <c r="K57" i="2"/>
  <c r="M57" i="2"/>
  <c r="N57" i="2"/>
  <c r="O57" i="2"/>
  <c r="P57" i="2"/>
  <c r="Q57" i="2"/>
  <c r="J58" i="2"/>
  <c r="K58" i="2"/>
  <c r="L58" i="2"/>
  <c r="M58" i="2"/>
  <c r="N58" i="2"/>
  <c r="P58" i="2"/>
  <c r="Q58" i="2"/>
  <c r="J59" i="2"/>
  <c r="K59" i="2"/>
  <c r="M59" i="2"/>
  <c r="N59" i="2"/>
  <c r="O59" i="2"/>
  <c r="P59" i="2"/>
  <c r="Q59" i="2"/>
  <c r="J61" i="2"/>
  <c r="K61" i="2"/>
  <c r="M61" i="2"/>
  <c r="N61" i="2"/>
  <c r="O61" i="2"/>
  <c r="P61" i="2"/>
  <c r="Q61" i="2"/>
  <c r="J62" i="2"/>
  <c r="K62" i="2"/>
  <c r="M62" i="2"/>
  <c r="N62" i="2"/>
  <c r="O62" i="2"/>
  <c r="P62" i="2"/>
  <c r="Q62" i="2"/>
  <c r="J63" i="2"/>
  <c r="K63" i="2"/>
  <c r="L63" i="2"/>
  <c r="N63" i="2"/>
  <c r="O63" i="2"/>
  <c r="P63" i="2"/>
  <c r="Q63" i="2"/>
  <c r="K64" i="2"/>
  <c r="L64" i="2"/>
  <c r="M64" i="2"/>
  <c r="N64" i="2"/>
  <c r="O64" i="2"/>
  <c r="P64" i="2"/>
  <c r="Q64" i="2"/>
  <c r="J65" i="2"/>
  <c r="K65" i="2"/>
  <c r="L65" i="2"/>
  <c r="N65" i="2"/>
  <c r="O65" i="2"/>
  <c r="P65" i="2"/>
  <c r="Q65" i="2"/>
  <c r="J66" i="2"/>
  <c r="K66" i="2"/>
  <c r="M66" i="2"/>
  <c r="N66" i="2"/>
  <c r="O66" i="2"/>
  <c r="P66" i="2"/>
  <c r="Q66" i="2"/>
  <c r="J67" i="2"/>
  <c r="K67" i="2"/>
  <c r="M67" i="2"/>
  <c r="N67" i="2"/>
  <c r="O67" i="2"/>
  <c r="P67" i="2"/>
  <c r="Q67" i="2"/>
  <c r="J68" i="2"/>
  <c r="K68" i="2"/>
  <c r="M68" i="2"/>
  <c r="N68" i="2"/>
  <c r="O68" i="2"/>
  <c r="P68" i="2"/>
  <c r="Q68" i="2"/>
  <c r="J69" i="2"/>
  <c r="K69" i="2"/>
  <c r="M69" i="2"/>
  <c r="N69" i="2"/>
  <c r="O69" i="2"/>
  <c r="P69" i="2"/>
  <c r="Q69" i="2"/>
  <c r="K4" i="2"/>
  <c r="K5" i="2" s="1"/>
  <c r="L4" i="2"/>
  <c r="L5" i="2" s="1"/>
  <c r="M4" i="2"/>
  <c r="M5" i="2" s="1"/>
  <c r="N4" i="2"/>
  <c r="O4" i="2"/>
  <c r="O5" i="2" s="1"/>
  <c r="P4" i="2"/>
  <c r="P5" i="2" s="1"/>
  <c r="Q4" i="2"/>
  <c r="Q5" i="2" s="1"/>
  <c r="J4" i="2"/>
  <c r="J5" i="2" s="1"/>
  <c r="R69" i="6"/>
  <c r="H69" i="6"/>
  <c r="R68" i="6"/>
  <c r="H68" i="6"/>
  <c r="R67" i="6"/>
  <c r="H67" i="6"/>
  <c r="R66" i="6"/>
  <c r="H66" i="6"/>
  <c r="R65" i="6"/>
  <c r="H65" i="6"/>
  <c r="I64" i="6"/>
  <c r="H64" i="6"/>
  <c r="J64" i="6" s="1"/>
  <c r="J39" i="6" s="1"/>
  <c r="I63" i="6"/>
  <c r="H63" i="6"/>
  <c r="M63" i="6" s="1"/>
  <c r="R63" i="6" s="1"/>
  <c r="R62" i="6"/>
  <c r="H62" i="6"/>
  <c r="R61" i="6"/>
  <c r="H61" i="6"/>
  <c r="R59" i="6"/>
  <c r="H59" i="6"/>
  <c r="I58" i="6"/>
  <c r="H58" i="6"/>
  <c r="R57" i="6"/>
  <c r="H57" i="6"/>
  <c r="R56" i="6"/>
  <c r="I56" i="6"/>
  <c r="H56" i="6"/>
  <c r="I55" i="6"/>
  <c r="H55" i="6"/>
  <c r="L55" i="6" s="1"/>
  <c r="I54" i="6"/>
  <c r="H54" i="6"/>
  <c r="L54" i="6" s="1"/>
  <c r="R54" i="6" s="1"/>
  <c r="I53" i="6"/>
  <c r="H53" i="6"/>
  <c r="I52" i="6"/>
  <c r="H52" i="6"/>
  <c r="L52" i="6" s="1"/>
  <c r="I51" i="6"/>
  <c r="H51" i="6"/>
  <c r="O51" i="6" s="1"/>
  <c r="R51" i="6" s="1"/>
  <c r="I50" i="6"/>
  <c r="H50" i="6"/>
  <c r="L50" i="6" s="1"/>
  <c r="I49" i="6"/>
  <c r="H49" i="6"/>
  <c r="M49" i="6" s="1"/>
  <c r="I48" i="6"/>
  <c r="H48" i="6"/>
  <c r="K48" i="6" s="1"/>
  <c r="I47" i="6"/>
  <c r="H47" i="6"/>
  <c r="L47" i="6" s="1"/>
  <c r="I46" i="6"/>
  <c r="H46" i="6"/>
  <c r="O46" i="6" s="1"/>
  <c r="O39" i="6" s="1"/>
  <c r="R45" i="6"/>
  <c r="I45" i="6"/>
  <c r="H45" i="6"/>
  <c r="I44" i="6"/>
  <c r="H44" i="6"/>
  <c r="I43" i="6"/>
  <c r="H43" i="6"/>
  <c r="M43" i="6" s="1"/>
  <c r="R42" i="6"/>
  <c r="I42" i="6"/>
  <c r="H42" i="6"/>
  <c r="I41" i="6"/>
  <c r="H41" i="6"/>
  <c r="L41" i="6" s="1"/>
  <c r="R40" i="6"/>
  <c r="I40" i="6"/>
  <c r="H40" i="6"/>
  <c r="I36" i="6"/>
  <c r="H36" i="6"/>
  <c r="Q36" i="6" s="1"/>
  <c r="R36" i="6" s="1"/>
  <c r="I35" i="6"/>
  <c r="H35" i="6"/>
  <c r="Q35" i="6" s="1"/>
  <c r="R35" i="6" s="1"/>
  <c r="I34" i="6"/>
  <c r="H34" i="6"/>
  <c r="Q34" i="6" s="1"/>
  <c r="I33" i="6"/>
  <c r="H33" i="6"/>
  <c r="Q33" i="6" s="1"/>
  <c r="R33" i="6" s="1"/>
  <c r="I32" i="6"/>
  <c r="H32" i="6"/>
  <c r="Q32" i="6" s="1"/>
  <c r="R32" i="6" s="1"/>
  <c r="I31" i="6"/>
  <c r="H31" i="6"/>
  <c r="Q31" i="6" s="1"/>
  <c r="R31" i="6" s="1"/>
  <c r="I30" i="6"/>
  <c r="H30" i="6"/>
  <c r="P29" i="6"/>
  <c r="O29" i="6"/>
  <c r="N29" i="6"/>
  <c r="M29" i="6"/>
  <c r="L29" i="6"/>
  <c r="K29" i="6"/>
  <c r="J29" i="6"/>
  <c r="G29" i="6"/>
  <c r="R25" i="6"/>
  <c r="I25" i="6"/>
  <c r="H25" i="6"/>
  <c r="I23" i="6"/>
  <c r="H23" i="6"/>
  <c r="L23" i="6" s="1"/>
  <c r="Q21" i="6"/>
  <c r="P21" i="6"/>
  <c r="O21" i="6"/>
  <c r="N21" i="6"/>
  <c r="M21" i="6"/>
  <c r="K21" i="6"/>
  <c r="J21" i="6"/>
  <c r="G21" i="6"/>
  <c r="R20" i="6"/>
  <c r="H20" i="6"/>
  <c r="R19" i="6"/>
  <c r="H19" i="6"/>
  <c r="R18" i="6"/>
  <c r="H18" i="6"/>
  <c r="I17" i="6"/>
  <c r="H17" i="6"/>
  <c r="L17" i="6" s="1"/>
  <c r="L16" i="6"/>
  <c r="R16" i="6" s="1"/>
  <c r="R15" i="6"/>
  <c r="H15" i="6"/>
  <c r="I14" i="6"/>
  <c r="H14" i="6"/>
  <c r="L14" i="6" s="1"/>
  <c r="R14" i="6" s="1"/>
  <c r="R13" i="6"/>
  <c r="Q12" i="6"/>
  <c r="P12" i="6"/>
  <c r="O12" i="6"/>
  <c r="N12" i="6"/>
  <c r="M12" i="6"/>
  <c r="K12" i="6"/>
  <c r="J12" i="6"/>
  <c r="G12" i="6"/>
  <c r="I11" i="6"/>
  <c r="I12" i="6" s="1"/>
  <c r="H11" i="6"/>
  <c r="H12" i="6" s="1"/>
  <c r="Q8" i="6"/>
  <c r="P8" i="6"/>
  <c r="O8" i="6"/>
  <c r="N8" i="6"/>
  <c r="M8" i="6"/>
  <c r="L8" i="6"/>
  <c r="K8" i="6"/>
  <c r="J8" i="6"/>
  <c r="I8" i="6"/>
  <c r="G8" i="6"/>
  <c r="R7" i="6"/>
  <c r="H7" i="6"/>
  <c r="H8" i="6" s="1"/>
  <c r="Q5" i="6"/>
  <c r="P5" i="6"/>
  <c r="O5" i="6"/>
  <c r="N5" i="6"/>
  <c r="M5" i="6"/>
  <c r="L5" i="6"/>
  <c r="K5" i="6"/>
  <c r="J5" i="6"/>
  <c r="R4" i="6"/>
  <c r="G4" i="6"/>
  <c r="I4" i="6" s="1"/>
  <c r="I5" i="6" s="1"/>
  <c r="R69" i="5"/>
  <c r="H69" i="5"/>
  <c r="R68" i="5"/>
  <c r="H68" i="5"/>
  <c r="R67" i="5"/>
  <c r="H67" i="5"/>
  <c r="R66" i="5"/>
  <c r="H66" i="5"/>
  <c r="R65" i="5"/>
  <c r="H65" i="5"/>
  <c r="I64" i="5"/>
  <c r="H64" i="5"/>
  <c r="J64" i="5" s="1"/>
  <c r="J39" i="5" s="1"/>
  <c r="I63" i="5"/>
  <c r="H63" i="5"/>
  <c r="M63" i="5" s="1"/>
  <c r="R63" i="5" s="1"/>
  <c r="R62" i="5"/>
  <c r="H62" i="5"/>
  <c r="R61" i="5"/>
  <c r="H61" i="5"/>
  <c r="R59" i="5"/>
  <c r="H59" i="5"/>
  <c r="R58" i="5"/>
  <c r="I58" i="5"/>
  <c r="H58" i="5"/>
  <c r="R57" i="5"/>
  <c r="H57" i="5"/>
  <c r="R56" i="5"/>
  <c r="I56" i="5"/>
  <c r="H56" i="5"/>
  <c r="I55" i="5"/>
  <c r="H55" i="5"/>
  <c r="L55" i="5" s="1"/>
  <c r="R55" i="5" s="1"/>
  <c r="I54" i="5"/>
  <c r="H54" i="5"/>
  <c r="L54" i="5" s="1"/>
  <c r="R54" i="5" s="1"/>
  <c r="I53" i="5"/>
  <c r="H53" i="5"/>
  <c r="M53" i="5" s="1"/>
  <c r="R53" i="5" s="1"/>
  <c r="I52" i="5"/>
  <c r="H52" i="5"/>
  <c r="L52" i="5" s="1"/>
  <c r="R52" i="5" s="1"/>
  <c r="I51" i="5"/>
  <c r="H51" i="5"/>
  <c r="O51" i="5" s="1"/>
  <c r="R51" i="5" s="1"/>
  <c r="I50" i="5"/>
  <c r="H50" i="5"/>
  <c r="L50" i="5" s="1"/>
  <c r="R50" i="5" s="1"/>
  <c r="I49" i="5"/>
  <c r="H49" i="5"/>
  <c r="M49" i="5" s="1"/>
  <c r="R49" i="5" s="1"/>
  <c r="I48" i="5"/>
  <c r="H48" i="5"/>
  <c r="K48" i="5" s="1"/>
  <c r="K39" i="5" s="1"/>
  <c r="I47" i="5"/>
  <c r="H47" i="5"/>
  <c r="L47" i="5" s="1"/>
  <c r="I46" i="5"/>
  <c r="H46" i="5"/>
  <c r="O46" i="5" s="1"/>
  <c r="R45" i="5"/>
  <c r="I45" i="5"/>
  <c r="H45" i="5"/>
  <c r="I44" i="5"/>
  <c r="H44" i="5"/>
  <c r="L44" i="5" s="1"/>
  <c r="R44" i="5" s="1"/>
  <c r="I43" i="5"/>
  <c r="H43" i="5"/>
  <c r="M43" i="5" s="1"/>
  <c r="R42" i="5"/>
  <c r="I42" i="5"/>
  <c r="H42" i="5"/>
  <c r="I41" i="5"/>
  <c r="H41" i="5"/>
  <c r="L41" i="5" s="1"/>
  <c r="R40" i="5"/>
  <c r="I40" i="5"/>
  <c r="H40" i="5"/>
  <c r="I36" i="5"/>
  <c r="H36" i="5"/>
  <c r="Q36" i="5" s="1"/>
  <c r="R36" i="5" s="1"/>
  <c r="I35" i="5"/>
  <c r="H35" i="5"/>
  <c r="Q35" i="5" s="1"/>
  <c r="R35" i="5" s="1"/>
  <c r="I34" i="5"/>
  <c r="H34" i="5"/>
  <c r="Q34" i="5" s="1"/>
  <c r="R34" i="5" s="1"/>
  <c r="I33" i="5"/>
  <c r="H33" i="5"/>
  <c r="Q33" i="5" s="1"/>
  <c r="R33" i="5" s="1"/>
  <c r="I32" i="5"/>
  <c r="H32" i="5"/>
  <c r="Q32" i="5" s="1"/>
  <c r="R32" i="5" s="1"/>
  <c r="I31" i="5"/>
  <c r="H31" i="5"/>
  <c r="Q31" i="5" s="1"/>
  <c r="R31" i="5" s="1"/>
  <c r="I30" i="5"/>
  <c r="H30" i="5"/>
  <c r="Q30" i="5" s="1"/>
  <c r="P29" i="5"/>
  <c r="O29" i="5"/>
  <c r="N29" i="5"/>
  <c r="M29" i="5"/>
  <c r="L29" i="5"/>
  <c r="K29" i="5"/>
  <c r="J29" i="5"/>
  <c r="G29" i="5"/>
  <c r="R25" i="5"/>
  <c r="I25" i="5"/>
  <c r="H25" i="5"/>
  <c r="I23" i="5"/>
  <c r="H23" i="5"/>
  <c r="R23" i="5" s="1"/>
  <c r="J21" i="5"/>
  <c r="G21" i="5"/>
  <c r="R20" i="5"/>
  <c r="H20" i="5"/>
  <c r="R19" i="5"/>
  <c r="H19" i="5"/>
  <c r="R18" i="5"/>
  <c r="H18" i="5"/>
  <c r="I17" i="5"/>
  <c r="H17" i="5"/>
  <c r="L17" i="5" s="1"/>
  <c r="R17" i="5" s="1"/>
  <c r="R16" i="5"/>
  <c r="R15" i="5"/>
  <c r="H15" i="5"/>
  <c r="I14" i="5"/>
  <c r="H14" i="5"/>
  <c r="L14" i="5" s="1"/>
  <c r="L21" i="5" s="1"/>
  <c r="R13" i="5"/>
  <c r="Q12" i="5"/>
  <c r="Q10" i="5" s="1"/>
  <c r="P12" i="5"/>
  <c r="O12" i="5"/>
  <c r="N12" i="5"/>
  <c r="M12" i="5"/>
  <c r="K12" i="5"/>
  <c r="J12" i="5"/>
  <c r="G12" i="5"/>
  <c r="I11" i="5"/>
  <c r="I12" i="5" s="1"/>
  <c r="H11" i="5"/>
  <c r="H12" i="5" s="1"/>
  <c r="Q8" i="5"/>
  <c r="P8" i="5"/>
  <c r="O8" i="5"/>
  <c r="N8" i="5"/>
  <c r="M8" i="5"/>
  <c r="L8" i="5"/>
  <c r="K8" i="5"/>
  <c r="J8" i="5"/>
  <c r="I8" i="5"/>
  <c r="G8" i="5"/>
  <c r="R7" i="5"/>
  <c r="H7" i="5"/>
  <c r="H8" i="5" s="1"/>
  <c r="Q5" i="5"/>
  <c r="P5" i="5"/>
  <c r="O5" i="5"/>
  <c r="N5" i="5"/>
  <c r="M5" i="5"/>
  <c r="L5" i="5"/>
  <c r="K5" i="5"/>
  <c r="J5" i="5"/>
  <c r="R4" i="5"/>
  <c r="G4" i="5"/>
  <c r="H4" i="5" s="1"/>
  <c r="H5" i="5" s="1"/>
  <c r="Q75" i="5" l="1"/>
  <c r="R48" i="6"/>
  <c r="K39" i="6"/>
  <c r="H39" i="6"/>
  <c r="G10" i="6"/>
  <c r="I39" i="6"/>
  <c r="M10" i="6"/>
  <c r="N10" i="6"/>
  <c r="K10" i="6"/>
  <c r="H39" i="5"/>
  <c r="I39" i="5"/>
  <c r="R41" i="5"/>
  <c r="L39" i="5"/>
  <c r="O39" i="5"/>
  <c r="R43" i="5"/>
  <c r="M39" i="5"/>
  <c r="Q39" i="2"/>
  <c r="P39" i="2"/>
  <c r="N39" i="2"/>
  <c r="I29" i="5"/>
  <c r="G10" i="5"/>
  <c r="G75" i="5" s="1"/>
  <c r="R8" i="5"/>
  <c r="O10" i="6"/>
  <c r="O10" i="5"/>
  <c r="P10" i="5"/>
  <c r="P75" i="5" s="1"/>
  <c r="Q10" i="6"/>
  <c r="I3" i="6"/>
  <c r="I4" i="5"/>
  <c r="I5" i="5" s="1"/>
  <c r="I3" i="5" s="1"/>
  <c r="G5" i="5"/>
  <c r="G3" i="5" s="1"/>
  <c r="N10" i="5"/>
  <c r="N75" i="5" s="1"/>
  <c r="I21" i="6"/>
  <c r="I10" i="6" s="1"/>
  <c r="K10" i="5"/>
  <c r="K75" i="5" s="1"/>
  <c r="J10" i="5"/>
  <c r="J75" i="5" s="1"/>
  <c r="H3" i="5"/>
  <c r="M10" i="5"/>
  <c r="R5" i="6"/>
  <c r="H29" i="6"/>
  <c r="L11" i="6"/>
  <c r="P10" i="6"/>
  <c r="R5" i="5"/>
  <c r="R8" i="6"/>
  <c r="I29" i="6"/>
  <c r="M53" i="6"/>
  <c r="M39" i="6" s="1"/>
  <c r="L44" i="6"/>
  <c r="R44" i="6" s="1"/>
  <c r="R52" i="6"/>
  <c r="H21" i="6"/>
  <c r="H10" i="6" s="1"/>
  <c r="R34" i="6"/>
  <c r="I21" i="5"/>
  <c r="I10" i="5" s="1"/>
  <c r="H29" i="5"/>
  <c r="P29" i="2"/>
  <c r="O29" i="2"/>
  <c r="N29" i="2"/>
  <c r="M29" i="2"/>
  <c r="L29" i="2"/>
  <c r="K29" i="2"/>
  <c r="R25" i="2"/>
  <c r="R4" i="2"/>
  <c r="R7" i="2"/>
  <c r="N5" i="2"/>
  <c r="R5" i="2" s="1"/>
  <c r="R40" i="2"/>
  <c r="J29" i="2"/>
  <c r="R56" i="2"/>
  <c r="R45" i="2"/>
  <c r="R43" i="6"/>
  <c r="R42" i="2"/>
  <c r="R58" i="6"/>
  <c r="R55" i="6"/>
  <c r="R50" i="6"/>
  <c r="R47" i="6"/>
  <c r="R23" i="6"/>
  <c r="R46" i="6"/>
  <c r="R64" i="6"/>
  <c r="R17" i="6"/>
  <c r="L21" i="6"/>
  <c r="R49" i="6"/>
  <c r="R41" i="6"/>
  <c r="G5" i="6"/>
  <c r="G3" i="6" s="1"/>
  <c r="Q30" i="6"/>
  <c r="J10" i="6"/>
  <c r="H4" i="6"/>
  <c r="H5" i="6" s="1"/>
  <c r="H3" i="6" s="1"/>
  <c r="Q29" i="5"/>
  <c r="R46" i="5"/>
  <c r="R47" i="5"/>
  <c r="R48" i="5"/>
  <c r="R14" i="5"/>
  <c r="R21" i="5"/>
  <c r="R30" i="5"/>
  <c r="R64" i="5"/>
  <c r="L11" i="5"/>
  <c r="H21" i="5"/>
  <c r="H10" i="5" s="1"/>
  <c r="I75" i="5" l="1"/>
  <c r="H75" i="5"/>
  <c r="M75" i="5"/>
  <c r="O75" i="5"/>
  <c r="L39" i="6"/>
  <c r="R39" i="6"/>
  <c r="R53" i="6"/>
  <c r="R21" i="6"/>
  <c r="L12" i="6"/>
  <c r="R11" i="6"/>
  <c r="Q29" i="6"/>
  <c r="R30" i="6"/>
  <c r="R29" i="5"/>
  <c r="R39" i="5"/>
  <c r="L12" i="5"/>
  <c r="R11" i="5"/>
  <c r="R29" i="6" l="1"/>
  <c r="L10" i="6"/>
  <c r="R12" i="6"/>
  <c r="L10" i="5"/>
  <c r="L75" i="5" s="1"/>
  <c r="R12" i="5"/>
  <c r="R10" i="6" l="1"/>
  <c r="R10" i="5"/>
  <c r="R75" i="5" s="1"/>
  <c r="R69" i="4" l="1"/>
  <c r="H69" i="4"/>
  <c r="R68" i="4"/>
  <c r="H68" i="4"/>
  <c r="H67" i="4"/>
  <c r="R67" i="4" s="1"/>
  <c r="H66" i="4"/>
  <c r="R66" i="4" s="1"/>
  <c r="R65" i="4"/>
  <c r="H65" i="4"/>
  <c r="I64" i="4"/>
  <c r="H64" i="4"/>
  <c r="J64" i="4" s="1"/>
  <c r="J39" i="4" s="1"/>
  <c r="I63" i="4"/>
  <c r="H63" i="4"/>
  <c r="M63" i="4" s="1"/>
  <c r="H62" i="4"/>
  <c r="R62" i="4" s="1"/>
  <c r="H61" i="4"/>
  <c r="R61" i="4" s="1"/>
  <c r="R59" i="4"/>
  <c r="H59" i="4"/>
  <c r="I58" i="4"/>
  <c r="H58" i="4"/>
  <c r="O58" i="4" s="1"/>
  <c r="R57" i="4"/>
  <c r="H57" i="4"/>
  <c r="R56" i="4"/>
  <c r="I56" i="4"/>
  <c r="H56" i="4"/>
  <c r="I55" i="4"/>
  <c r="H55" i="4"/>
  <c r="I54" i="4"/>
  <c r="H54" i="4"/>
  <c r="L54" i="4" s="1"/>
  <c r="R54" i="4" s="1"/>
  <c r="I53" i="4"/>
  <c r="H53" i="4"/>
  <c r="M53" i="4" s="1"/>
  <c r="I52" i="4"/>
  <c r="H52" i="4"/>
  <c r="L52" i="4" s="1"/>
  <c r="I51" i="4"/>
  <c r="H51" i="4"/>
  <c r="O51" i="4" s="1"/>
  <c r="R51" i="4" s="1"/>
  <c r="I50" i="4"/>
  <c r="H50" i="4"/>
  <c r="L50" i="4" s="1"/>
  <c r="I49" i="4"/>
  <c r="H49" i="4"/>
  <c r="M49" i="4" s="1"/>
  <c r="I48" i="4"/>
  <c r="H48" i="4"/>
  <c r="K48" i="4" s="1"/>
  <c r="K39" i="4" s="1"/>
  <c r="K75" i="4" s="1"/>
  <c r="I47" i="4"/>
  <c r="H47" i="4"/>
  <c r="L47" i="4" s="1"/>
  <c r="I46" i="4"/>
  <c r="H46" i="4"/>
  <c r="O46" i="4" s="1"/>
  <c r="R45" i="4"/>
  <c r="I45" i="4"/>
  <c r="H45" i="4"/>
  <c r="I44" i="4"/>
  <c r="H44" i="4"/>
  <c r="L44" i="4" s="1"/>
  <c r="I43" i="4"/>
  <c r="H43" i="4"/>
  <c r="M43" i="4" s="1"/>
  <c r="R42" i="4"/>
  <c r="I42" i="4"/>
  <c r="H42" i="4"/>
  <c r="I41" i="4"/>
  <c r="H41" i="4"/>
  <c r="L41" i="4" s="1"/>
  <c r="R40" i="4"/>
  <c r="I40" i="4"/>
  <c r="H40" i="4"/>
  <c r="I36" i="4"/>
  <c r="H36" i="4"/>
  <c r="Q36" i="4" s="1"/>
  <c r="R36" i="4" s="1"/>
  <c r="I35" i="4"/>
  <c r="H35" i="4"/>
  <c r="Q35" i="4" s="1"/>
  <c r="R35" i="4" s="1"/>
  <c r="I34" i="4"/>
  <c r="H34" i="4"/>
  <c r="Q34" i="4" s="1"/>
  <c r="R34" i="4" s="1"/>
  <c r="I33" i="4"/>
  <c r="H33" i="4"/>
  <c r="Q33" i="4" s="1"/>
  <c r="R33" i="4" s="1"/>
  <c r="I32" i="4"/>
  <c r="H32" i="4"/>
  <c r="Q32" i="4" s="1"/>
  <c r="R32" i="4" s="1"/>
  <c r="I31" i="4"/>
  <c r="H31" i="4"/>
  <c r="Q31" i="4" s="1"/>
  <c r="R31" i="4" s="1"/>
  <c r="I30" i="4"/>
  <c r="H30" i="4"/>
  <c r="Q30" i="4" s="1"/>
  <c r="P29" i="4"/>
  <c r="O29" i="4"/>
  <c r="N29" i="4"/>
  <c r="M29" i="4"/>
  <c r="L29" i="4"/>
  <c r="K29" i="4"/>
  <c r="J29" i="4"/>
  <c r="G29" i="4"/>
  <c r="R25" i="4"/>
  <c r="I25" i="4"/>
  <c r="H25" i="4"/>
  <c r="I23" i="4"/>
  <c r="H23" i="4"/>
  <c r="L23" i="4" s="1"/>
  <c r="Q21" i="4"/>
  <c r="P21" i="4"/>
  <c r="O21" i="4"/>
  <c r="N21" i="4"/>
  <c r="M21" i="4"/>
  <c r="K21" i="4"/>
  <c r="J21" i="4"/>
  <c r="G21" i="4"/>
  <c r="H20" i="4"/>
  <c r="R20" i="4" s="1"/>
  <c r="H19" i="4"/>
  <c r="R19" i="4" s="1"/>
  <c r="R18" i="4"/>
  <c r="H18" i="4"/>
  <c r="I17" i="4"/>
  <c r="H17" i="4"/>
  <c r="L17" i="4" s="1"/>
  <c r="I16" i="4"/>
  <c r="H16" i="4"/>
  <c r="L16" i="4" s="1"/>
  <c r="R16" i="4" s="1"/>
  <c r="R15" i="4"/>
  <c r="H15" i="4"/>
  <c r="I14" i="4"/>
  <c r="H14" i="4"/>
  <c r="L14" i="4" s="1"/>
  <c r="R13" i="4"/>
  <c r="Q12" i="4"/>
  <c r="P12" i="4"/>
  <c r="O12" i="4"/>
  <c r="N12" i="4"/>
  <c r="M12" i="4"/>
  <c r="K12" i="4"/>
  <c r="J12" i="4"/>
  <c r="G12" i="4"/>
  <c r="I11" i="4"/>
  <c r="I12" i="4" s="1"/>
  <c r="H11" i="4"/>
  <c r="H12" i="4" s="1"/>
  <c r="Q8" i="4"/>
  <c r="P8" i="4"/>
  <c r="O8" i="4"/>
  <c r="N8" i="4"/>
  <c r="M8" i="4"/>
  <c r="L8" i="4"/>
  <c r="K8" i="4"/>
  <c r="J8" i="4"/>
  <c r="I8" i="4"/>
  <c r="G8" i="4"/>
  <c r="R7" i="4"/>
  <c r="H7" i="4"/>
  <c r="H8" i="4" s="1"/>
  <c r="Q5" i="4"/>
  <c r="P5" i="4"/>
  <c r="O5" i="4"/>
  <c r="N5" i="4"/>
  <c r="M5" i="4"/>
  <c r="L5" i="4"/>
  <c r="K5" i="4"/>
  <c r="J5" i="4"/>
  <c r="R4" i="4"/>
  <c r="G4" i="4"/>
  <c r="I4" i="4" s="1"/>
  <c r="I5" i="4" s="1"/>
  <c r="R3" i="2"/>
  <c r="I39" i="4" l="1"/>
  <c r="H39" i="4"/>
  <c r="O39" i="4"/>
  <c r="O75" i="4" s="1"/>
  <c r="G5" i="4"/>
  <c r="G3" i="4" s="1"/>
  <c r="K10" i="4"/>
  <c r="R43" i="4"/>
  <c r="M39" i="4"/>
  <c r="M75" i="4" s="1"/>
  <c r="G10" i="4"/>
  <c r="P10" i="4"/>
  <c r="Q10" i="4"/>
  <c r="L11" i="4"/>
  <c r="H21" i="4"/>
  <c r="H10" i="4" s="1"/>
  <c r="I21" i="4"/>
  <c r="I10" i="4" s="1"/>
  <c r="M10" i="4"/>
  <c r="N10" i="4"/>
  <c r="I3" i="4"/>
  <c r="O10" i="4"/>
  <c r="L55" i="4"/>
  <c r="R55" i="4" s="1"/>
  <c r="I29" i="4"/>
  <c r="R63" i="4"/>
  <c r="R58" i="4"/>
  <c r="R53" i="4"/>
  <c r="R52" i="4"/>
  <c r="R50" i="4"/>
  <c r="R47" i="4"/>
  <c r="R44" i="4"/>
  <c r="R23" i="4"/>
  <c r="R17" i="4"/>
  <c r="R8" i="4"/>
  <c r="R5" i="4"/>
  <c r="R41" i="4"/>
  <c r="R46" i="4"/>
  <c r="R64" i="4"/>
  <c r="R30" i="4"/>
  <c r="Q29" i="4"/>
  <c r="R29" i="4" s="1"/>
  <c r="R49" i="4"/>
  <c r="R48" i="4"/>
  <c r="H29" i="4"/>
  <c r="J10" i="4"/>
  <c r="H4" i="4"/>
  <c r="H5" i="4" s="1"/>
  <c r="H3" i="4" s="1"/>
  <c r="R42" i="3"/>
  <c r="R39" i="4" l="1"/>
  <c r="L39" i="4"/>
  <c r="L75" i="4" s="1"/>
  <c r="L21" i="4"/>
  <c r="R21" i="4" s="1"/>
  <c r="R14" i="4"/>
  <c r="L12" i="4"/>
  <c r="R11" i="4"/>
  <c r="J8" i="3"/>
  <c r="J8" i="2" s="1"/>
  <c r="K8" i="3"/>
  <c r="K8" i="2" s="1"/>
  <c r="L8" i="3"/>
  <c r="L8" i="2" s="1"/>
  <c r="M8" i="3"/>
  <c r="M8" i="2" s="1"/>
  <c r="N8" i="3"/>
  <c r="O8" i="3"/>
  <c r="O8" i="2" s="1"/>
  <c r="P8" i="3"/>
  <c r="P8" i="2" s="1"/>
  <c r="Q8" i="3"/>
  <c r="Q8" i="2" s="1"/>
  <c r="J5" i="3"/>
  <c r="K5" i="3"/>
  <c r="L5" i="3"/>
  <c r="M5" i="3"/>
  <c r="N5" i="3"/>
  <c r="O5" i="3"/>
  <c r="P5" i="3"/>
  <c r="Q5" i="3"/>
  <c r="J12" i="3"/>
  <c r="K12" i="3"/>
  <c r="M12" i="3"/>
  <c r="M12" i="2" s="1"/>
  <c r="N12" i="3"/>
  <c r="O12" i="3"/>
  <c r="P12" i="3"/>
  <c r="Q12" i="3"/>
  <c r="Q12" i="2" s="1"/>
  <c r="R7" i="3"/>
  <c r="R13" i="3"/>
  <c r="R25" i="3"/>
  <c r="R40" i="3"/>
  <c r="R45" i="3"/>
  <c r="R56" i="3"/>
  <c r="R4" i="3"/>
  <c r="J21" i="3"/>
  <c r="J21" i="2" s="1"/>
  <c r="K21" i="3"/>
  <c r="K21" i="2" s="1"/>
  <c r="M21" i="3"/>
  <c r="M21" i="2" s="1"/>
  <c r="N21" i="3"/>
  <c r="N21" i="2" s="1"/>
  <c r="O21" i="3"/>
  <c r="O21" i="2" s="1"/>
  <c r="P21" i="3"/>
  <c r="P21" i="2" s="1"/>
  <c r="Q21" i="3"/>
  <c r="Q21" i="2" s="1"/>
  <c r="J29" i="3"/>
  <c r="K29" i="3"/>
  <c r="L29" i="3"/>
  <c r="M29" i="3"/>
  <c r="N29" i="3"/>
  <c r="O29" i="3"/>
  <c r="P29" i="3"/>
  <c r="N10" i="3" l="1"/>
  <c r="N12" i="2"/>
  <c r="N10" i="2" s="1"/>
  <c r="P10" i="3"/>
  <c r="P12" i="2"/>
  <c r="P10" i="2" s="1"/>
  <c r="P75" i="2" s="1"/>
  <c r="M10" i="2"/>
  <c r="K10" i="3"/>
  <c r="K12" i="2"/>
  <c r="K10" i="2" s="1"/>
  <c r="J10" i="3"/>
  <c r="J12" i="2"/>
  <c r="O10" i="3"/>
  <c r="O12" i="2"/>
  <c r="O10" i="2" s="1"/>
  <c r="R8" i="3"/>
  <c r="N8" i="2"/>
  <c r="R8" i="2" s="1"/>
  <c r="R5" i="3"/>
  <c r="Q10" i="2"/>
  <c r="L10" i="4"/>
  <c r="R12" i="4"/>
  <c r="M10" i="3"/>
  <c r="Q10" i="3"/>
  <c r="N75" i="2" l="1"/>
  <c r="J10" i="2"/>
  <c r="R10" i="4"/>
  <c r="R75" i="4" s="1"/>
  <c r="H69" i="3"/>
  <c r="L69" i="3" s="1"/>
  <c r="H68" i="3"/>
  <c r="L68" i="3" s="1"/>
  <c r="H67" i="3"/>
  <c r="L67" i="3" s="1"/>
  <c r="H66" i="3"/>
  <c r="L66" i="3" s="1"/>
  <c r="H65" i="3"/>
  <c r="M65" i="3" s="1"/>
  <c r="I64" i="3"/>
  <c r="H64" i="3"/>
  <c r="J64" i="3" s="1"/>
  <c r="I63" i="3"/>
  <c r="H63" i="3"/>
  <c r="M63" i="3" s="1"/>
  <c r="H62" i="3"/>
  <c r="L62" i="3" s="1"/>
  <c r="H61" i="3"/>
  <c r="L61" i="3" s="1"/>
  <c r="H59" i="3"/>
  <c r="L59" i="3" s="1"/>
  <c r="I58" i="3"/>
  <c r="H58" i="3"/>
  <c r="O58" i="3" s="1"/>
  <c r="H57" i="3"/>
  <c r="L57" i="3" s="1"/>
  <c r="I56" i="3"/>
  <c r="H56" i="3"/>
  <c r="I55" i="3"/>
  <c r="H55" i="3"/>
  <c r="L55" i="3" s="1"/>
  <c r="I54" i="3"/>
  <c r="H54" i="3"/>
  <c r="L54" i="3" s="1"/>
  <c r="I53" i="3"/>
  <c r="H53" i="3"/>
  <c r="M53" i="3" s="1"/>
  <c r="I52" i="3"/>
  <c r="H52" i="3"/>
  <c r="L52" i="3" s="1"/>
  <c r="I51" i="3"/>
  <c r="H51" i="3"/>
  <c r="O51" i="3" s="1"/>
  <c r="I50" i="3"/>
  <c r="H50" i="3"/>
  <c r="L50" i="3" s="1"/>
  <c r="I49" i="3"/>
  <c r="H49" i="3"/>
  <c r="M49" i="3" s="1"/>
  <c r="I48" i="3"/>
  <c r="H48" i="3"/>
  <c r="K48" i="3" s="1"/>
  <c r="I47" i="3"/>
  <c r="H47" i="3"/>
  <c r="L47" i="3" s="1"/>
  <c r="I46" i="3"/>
  <c r="H46" i="3"/>
  <c r="O46" i="3" s="1"/>
  <c r="I45" i="3"/>
  <c r="H45" i="3"/>
  <c r="I44" i="3"/>
  <c r="H44" i="3"/>
  <c r="L44" i="3" s="1"/>
  <c r="I43" i="3"/>
  <c r="H43" i="3"/>
  <c r="M43" i="3" s="1"/>
  <c r="M39" i="3" s="1"/>
  <c r="I42" i="3"/>
  <c r="H42" i="3"/>
  <c r="I41" i="3"/>
  <c r="H41" i="3"/>
  <c r="L41" i="3" s="1"/>
  <c r="I40" i="3"/>
  <c r="H40" i="3"/>
  <c r="I36" i="3"/>
  <c r="H36" i="3"/>
  <c r="Q36" i="3" s="1"/>
  <c r="I35" i="3"/>
  <c r="H35" i="3"/>
  <c r="Q35" i="3" s="1"/>
  <c r="I34" i="3"/>
  <c r="H34" i="3"/>
  <c r="Q34" i="3" s="1"/>
  <c r="I33" i="3"/>
  <c r="H33" i="3"/>
  <c r="Q33" i="3" s="1"/>
  <c r="I32" i="3"/>
  <c r="H32" i="3"/>
  <c r="Q32" i="3" s="1"/>
  <c r="I31" i="3"/>
  <c r="H31" i="3"/>
  <c r="Q31" i="3" s="1"/>
  <c r="I30" i="3"/>
  <c r="H30" i="3"/>
  <c r="Q30" i="3" s="1"/>
  <c r="Q30" i="2" s="1"/>
  <c r="G29" i="3"/>
  <c r="I25" i="3"/>
  <c r="H25" i="3"/>
  <c r="I23" i="3"/>
  <c r="H23" i="3"/>
  <c r="L23" i="3" s="1"/>
  <c r="G21" i="3"/>
  <c r="H20" i="3"/>
  <c r="L20" i="3" s="1"/>
  <c r="H19" i="3"/>
  <c r="L19" i="3" s="1"/>
  <c r="H18" i="3"/>
  <c r="L18" i="3" s="1"/>
  <c r="I17" i="3"/>
  <c r="H17" i="3"/>
  <c r="L17" i="3" s="1"/>
  <c r="I16" i="3"/>
  <c r="H16" i="3"/>
  <c r="L16" i="3" s="1"/>
  <c r="H15" i="3"/>
  <c r="L15" i="3" s="1"/>
  <c r="I14" i="3"/>
  <c r="H14" i="3"/>
  <c r="G12" i="3"/>
  <c r="I11" i="3"/>
  <c r="I12" i="3" s="1"/>
  <c r="H11" i="3"/>
  <c r="G8" i="3"/>
  <c r="H7" i="3"/>
  <c r="H8" i="3" s="1"/>
  <c r="I8" i="3"/>
  <c r="G4" i="3"/>
  <c r="I4" i="3" s="1"/>
  <c r="I5" i="3" s="1"/>
  <c r="H39" i="3" l="1"/>
  <c r="O46" i="2"/>
  <c r="R46" i="2" s="1"/>
  <c r="O39" i="3"/>
  <c r="I39" i="3"/>
  <c r="L39" i="3"/>
  <c r="J64" i="2"/>
  <c r="J39" i="2" s="1"/>
  <c r="J75" i="2" s="1"/>
  <c r="J39" i="3"/>
  <c r="K48" i="2"/>
  <c r="K39" i="2" s="1"/>
  <c r="K75" i="2" s="1"/>
  <c r="K39" i="3"/>
  <c r="R18" i="3"/>
  <c r="L18" i="2"/>
  <c r="R18" i="2" s="1"/>
  <c r="R57" i="3"/>
  <c r="L57" i="2"/>
  <c r="R57" i="2" s="1"/>
  <c r="R23" i="3"/>
  <c r="L23" i="2"/>
  <c r="R23" i="2" s="1"/>
  <c r="R65" i="3"/>
  <c r="M65" i="2"/>
  <c r="R65" i="2" s="1"/>
  <c r="R15" i="3"/>
  <c r="L15" i="2"/>
  <c r="R15" i="2" s="1"/>
  <c r="R33" i="3"/>
  <c r="Q33" i="2"/>
  <c r="R33" i="2" s="1"/>
  <c r="R62" i="3"/>
  <c r="L62" i="2"/>
  <c r="R62" i="2" s="1"/>
  <c r="R48" i="2"/>
  <c r="R54" i="3"/>
  <c r="L54" i="2"/>
  <c r="R63" i="3"/>
  <c r="M63" i="2"/>
  <c r="R63" i="2" s="1"/>
  <c r="M43" i="2"/>
  <c r="R43" i="3"/>
  <c r="R49" i="3"/>
  <c r="M49" i="2"/>
  <c r="R49" i="2" s="1"/>
  <c r="R55" i="3"/>
  <c r="L55" i="2"/>
  <c r="R55" i="2" s="1"/>
  <c r="R64" i="2"/>
  <c r="R16" i="3"/>
  <c r="L16" i="2"/>
  <c r="R16" i="2" s="1"/>
  <c r="L44" i="2"/>
  <c r="R44" i="2" s="1"/>
  <c r="R44" i="3"/>
  <c r="R50" i="3"/>
  <c r="L50" i="2"/>
  <c r="R50" i="2" s="1"/>
  <c r="R30" i="2"/>
  <c r="R36" i="3"/>
  <c r="Q36" i="2"/>
  <c r="R36" i="2" s="1"/>
  <c r="R66" i="3"/>
  <c r="L66" i="2"/>
  <c r="R66" i="2" s="1"/>
  <c r="R17" i="3"/>
  <c r="L17" i="2"/>
  <c r="R17" i="2" s="1"/>
  <c r="R51" i="3"/>
  <c r="O51" i="2"/>
  <c r="R51" i="2" s="1"/>
  <c r="R67" i="3"/>
  <c r="L67" i="2"/>
  <c r="R67" i="2" s="1"/>
  <c r="R31" i="3"/>
  <c r="Q31" i="2"/>
  <c r="R31" i="2" s="1"/>
  <c r="R58" i="3"/>
  <c r="O58" i="2"/>
  <c r="R58" i="2" s="1"/>
  <c r="R68" i="3"/>
  <c r="L68" i="2"/>
  <c r="R68" i="2" s="1"/>
  <c r="R35" i="3"/>
  <c r="Q35" i="2"/>
  <c r="R35" i="2" s="1"/>
  <c r="R52" i="3"/>
  <c r="L52" i="2"/>
  <c r="R52" i="2" s="1"/>
  <c r="R69" i="3"/>
  <c r="L69" i="2"/>
  <c r="R69" i="2" s="1"/>
  <c r="R19" i="3"/>
  <c r="L19" i="2"/>
  <c r="R19" i="2" s="1"/>
  <c r="R32" i="3"/>
  <c r="Q32" i="2"/>
  <c r="R32" i="2" s="1"/>
  <c r="R59" i="3"/>
  <c r="L59" i="2"/>
  <c r="R59" i="2" s="1"/>
  <c r="R34" i="3"/>
  <c r="Q34" i="2"/>
  <c r="R34" i="2" s="1"/>
  <c r="R20" i="3"/>
  <c r="L20" i="2"/>
  <c r="R20" i="2" s="1"/>
  <c r="L41" i="2"/>
  <c r="R41" i="3"/>
  <c r="R47" i="3"/>
  <c r="L47" i="2"/>
  <c r="R47" i="2" s="1"/>
  <c r="R53" i="3"/>
  <c r="M53" i="2"/>
  <c r="R53" i="2" s="1"/>
  <c r="R61" i="3"/>
  <c r="L61" i="2"/>
  <c r="R61" i="2" s="1"/>
  <c r="R46" i="3"/>
  <c r="R48" i="3"/>
  <c r="R64" i="3"/>
  <c r="Q29" i="3"/>
  <c r="S27" i="2" s="1"/>
  <c r="R30" i="3"/>
  <c r="I21" i="3"/>
  <c r="I10" i="3" s="1"/>
  <c r="I3" i="3"/>
  <c r="G10" i="3"/>
  <c r="H21" i="3"/>
  <c r="L14" i="3"/>
  <c r="L14" i="2" s="1"/>
  <c r="R14" i="2" s="1"/>
  <c r="H12" i="3"/>
  <c r="L11" i="3"/>
  <c r="L11" i="2" s="1"/>
  <c r="R11" i="2" s="1"/>
  <c r="H29" i="3"/>
  <c r="G5" i="3"/>
  <c r="G3" i="3" s="1"/>
  <c r="I29" i="3"/>
  <c r="H4" i="3"/>
  <c r="H5" i="3" s="1"/>
  <c r="H3" i="3" s="1"/>
  <c r="G4" i="2"/>
  <c r="G5" i="2" s="1"/>
  <c r="H69" i="2"/>
  <c r="H68" i="2"/>
  <c r="H67" i="2"/>
  <c r="H66" i="2"/>
  <c r="H65" i="2"/>
  <c r="I64" i="2"/>
  <c r="H64" i="2"/>
  <c r="I63" i="2"/>
  <c r="H63" i="2"/>
  <c r="H62" i="2"/>
  <c r="H61" i="2"/>
  <c r="H59" i="2"/>
  <c r="H57" i="2"/>
  <c r="I56" i="2"/>
  <c r="H56" i="2"/>
  <c r="S56" i="2" s="1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S45" i="2" s="1"/>
  <c r="I44" i="2"/>
  <c r="H44" i="2"/>
  <c r="I43" i="2"/>
  <c r="H43" i="2"/>
  <c r="I42" i="2"/>
  <c r="H42" i="2"/>
  <c r="S42" i="2" s="1"/>
  <c r="I41" i="2"/>
  <c r="H41" i="2"/>
  <c r="I40" i="2"/>
  <c r="H40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G29" i="2"/>
  <c r="I25" i="2"/>
  <c r="H25" i="2"/>
  <c r="S25" i="2" s="1"/>
  <c r="I23" i="2"/>
  <c r="H23" i="2"/>
  <c r="G21" i="2"/>
  <c r="H20" i="2"/>
  <c r="H19" i="2"/>
  <c r="H18" i="2"/>
  <c r="I17" i="2"/>
  <c r="H17" i="2"/>
  <c r="H15" i="2"/>
  <c r="I14" i="2"/>
  <c r="H14" i="2"/>
  <c r="G12" i="2"/>
  <c r="I11" i="2"/>
  <c r="I12" i="2" s="1"/>
  <c r="H11" i="2"/>
  <c r="G8" i="2"/>
  <c r="H7" i="2"/>
  <c r="I8" i="2"/>
  <c r="S57" i="2" l="1"/>
  <c r="S62" i="2"/>
  <c r="R39" i="3"/>
  <c r="S18" i="2"/>
  <c r="S55" i="2"/>
  <c r="O39" i="2"/>
  <c r="O75" i="2" s="1"/>
  <c r="I39" i="2"/>
  <c r="M39" i="2"/>
  <c r="M75" i="2" s="1"/>
  <c r="R41" i="2"/>
  <c r="S41" i="2" s="1"/>
  <c r="L39" i="2"/>
  <c r="S40" i="2"/>
  <c r="H39" i="2"/>
  <c r="S33" i="2"/>
  <c r="S15" i="2"/>
  <c r="S68" i="2"/>
  <c r="S59" i="2"/>
  <c r="S19" i="2"/>
  <c r="S47" i="2"/>
  <c r="S53" i="2"/>
  <c r="S58" i="2"/>
  <c r="S49" i="2"/>
  <c r="H10" i="3"/>
  <c r="S23" i="2"/>
  <c r="S65" i="2"/>
  <c r="S32" i="2"/>
  <c r="S36" i="2"/>
  <c r="S31" i="2"/>
  <c r="S30" i="2"/>
  <c r="S46" i="2"/>
  <c r="S52" i="2"/>
  <c r="S69" i="2"/>
  <c r="S61" i="2"/>
  <c r="S48" i="2"/>
  <c r="S64" i="2"/>
  <c r="R43" i="2"/>
  <c r="S43" i="2" s="1"/>
  <c r="S34" i="2"/>
  <c r="S14" i="2"/>
  <c r="S16" i="2"/>
  <c r="S44" i="2"/>
  <c r="S50" i="2"/>
  <c r="R54" i="2"/>
  <c r="S54" i="2" s="1"/>
  <c r="S66" i="2"/>
  <c r="S20" i="2"/>
  <c r="S63" i="2"/>
  <c r="S35" i="2"/>
  <c r="S17" i="2"/>
  <c r="S51" i="2"/>
  <c r="S67" i="2"/>
  <c r="Q29" i="2"/>
  <c r="Q75" i="2" s="1"/>
  <c r="I29" i="2"/>
  <c r="H8" i="2"/>
  <c r="S8" i="2" s="1"/>
  <c r="S7" i="2"/>
  <c r="H12" i="2"/>
  <c r="S11" i="2"/>
  <c r="L21" i="3"/>
  <c r="R14" i="3"/>
  <c r="R29" i="3"/>
  <c r="L12" i="3"/>
  <c r="L12" i="2" s="1"/>
  <c r="R12" i="2" s="1"/>
  <c r="R11" i="3"/>
  <c r="G3" i="2"/>
  <c r="G10" i="2"/>
  <c r="I21" i="2"/>
  <c r="I10" i="2" s="1"/>
  <c r="H21" i="2"/>
  <c r="H29" i="2"/>
  <c r="I4" i="2"/>
  <c r="I5" i="2" s="1"/>
  <c r="I3" i="2" s="1"/>
  <c r="H4" i="2"/>
  <c r="S12" i="2" l="1"/>
  <c r="R39" i="2"/>
  <c r="S39" i="2" s="1"/>
  <c r="R29" i="2"/>
  <c r="S29" i="2" s="1"/>
  <c r="R21" i="3"/>
  <c r="L21" i="2"/>
  <c r="H5" i="2"/>
  <c r="S4" i="2"/>
  <c r="H10" i="2"/>
  <c r="L10" i="3"/>
  <c r="R12" i="3"/>
  <c r="L10" i="2" l="1"/>
  <c r="L75" i="2" s="1"/>
  <c r="R21" i="2"/>
  <c r="S21" i="2" s="1"/>
  <c r="H3" i="2"/>
  <c r="S5" i="2"/>
  <c r="R10" i="3"/>
  <c r="R10" i="2" l="1"/>
  <c r="S10" i="2" s="1"/>
  <c r="R75" i="2" l="1"/>
  <c r="S75" i="2" s="1"/>
</calcChain>
</file>

<file path=xl/sharedStrings.xml><?xml version="1.0" encoding="utf-8"?>
<sst xmlns="http://schemas.openxmlformats.org/spreadsheetml/2006/main" count="1259" uniqueCount="102">
  <si>
    <t>PCA</t>
  </si>
  <si>
    <t>EOU</t>
  </si>
  <si>
    <t>OIT</t>
  </si>
  <si>
    <t>OSU</t>
  </si>
  <si>
    <t>PSU</t>
  </si>
  <si>
    <t>SOU</t>
  </si>
  <si>
    <t>UO</t>
  </si>
  <si>
    <t>WOU</t>
  </si>
  <si>
    <t>OHSU</t>
  </si>
  <si>
    <t>Subtotal</t>
  </si>
  <si>
    <t>Notes</t>
  </si>
  <si>
    <t xml:space="preserve">Institution Support Funding </t>
  </si>
  <si>
    <t>Type</t>
  </si>
  <si>
    <t>APPN</t>
  </si>
  <si>
    <t>Bill</t>
  </si>
  <si>
    <t>2023-25 Total</t>
  </si>
  <si>
    <t>FY2024</t>
  </si>
  <si>
    <t>FY2025</t>
  </si>
  <si>
    <t>GF</t>
  </si>
  <si>
    <t>HB 5025</t>
  </si>
  <si>
    <t>TRU + PSU Financial Viability</t>
  </si>
  <si>
    <t>Agricultural Experiment Station</t>
  </si>
  <si>
    <t>Oregon State University Extension Service</t>
  </si>
  <si>
    <t>Small Farms and Community Food Systems</t>
  </si>
  <si>
    <t>Outdoor Schools Program (Lottery Funded)</t>
  </si>
  <si>
    <t>LF</t>
  </si>
  <si>
    <t>SB 5506</t>
  </si>
  <si>
    <t>Small Farms and Community Food Systems- increase for water management technical assistance program</t>
  </si>
  <si>
    <t>HB 2010</t>
  </si>
  <si>
    <t xml:space="preserve">Vine Mealy Bug Suppression </t>
  </si>
  <si>
    <t>Center for Outdoor Recreation Economy</t>
  </si>
  <si>
    <t>HB 3410</t>
  </si>
  <si>
    <t xml:space="preserve">Wildfire Risk Map (Amending ORS) </t>
  </si>
  <si>
    <t>SB 80</t>
  </si>
  <si>
    <t>.</t>
  </si>
  <si>
    <t>Statewide Behavioral Health Capacity Dashboard</t>
  </si>
  <si>
    <t>Oregon Perinatal Collaborative (OPC)</t>
  </si>
  <si>
    <t>Area Health Education Center</t>
  </si>
  <si>
    <t>SB 490</t>
  </si>
  <si>
    <t>Engineering Technology Sustaining Funds</t>
  </si>
  <si>
    <t>TallWood Design Institute (OSU)</t>
  </si>
  <si>
    <t>Dispute Resolution (UO and PSU)</t>
  </si>
  <si>
    <t>Oregon Solutions (PSU)</t>
  </si>
  <si>
    <t>OSU Fermentation  Science</t>
  </si>
  <si>
    <t>Signature Research (PSU, UO, OSU)</t>
  </si>
  <si>
    <t>Labor Education Research Center (UO)</t>
  </si>
  <si>
    <t>OSU Ocean Vessels Research</t>
  </si>
  <si>
    <t>Oregon Renewable Energy Center (OIT)</t>
  </si>
  <si>
    <t>Population Research Center (PSU)</t>
  </si>
  <si>
    <t>Institute for Natural Resources (OSU)</t>
  </si>
  <si>
    <t>Clinical Legal Education (UO)</t>
  </si>
  <si>
    <t>Oregon Climate Change Research Institute (OSU)</t>
  </si>
  <si>
    <t>Willamette Falls Locks Commission (PSU)</t>
  </si>
  <si>
    <t>Agricultural Channel Habitat Complexity Study (OSU)</t>
  </si>
  <si>
    <t>Veterinary Diagnostic Lab (OSU)</t>
  </si>
  <si>
    <t>Environmental Justice Mapping Tool (OSU, PSU)</t>
  </si>
  <si>
    <t xml:space="preserve">OSU Statewide Water Conference </t>
  </si>
  <si>
    <t>UO Just Futures Institutute- equitable water access</t>
  </si>
  <si>
    <t>OSU Oregon Climate Service</t>
  </si>
  <si>
    <t>OSU Foundation - AgriStress Helpline</t>
  </si>
  <si>
    <t>SB 955</t>
  </si>
  <si>
    <t>Wildfire Risk Map (OSU)</t>
  </si>
  <si>
    <t>Pilot program hiring students at nonprofits (PSU)</t>
  </si>
  <si>
    <t>HB 2802</t>
  </si>
  <si>
    <t>Pilot program hiring students at nonprofits (EOU)</t>
  </si>
  <si>
    <t>Chewaucan River Watershed Management (PSU)</t>
  </si>
  <si>
    <t>Chewaucan River Watershed Management (OSU)</t>
  </si>
  <si>
    <t>Juniper Removal Program (OSU)</t>
  </si>
  <si>
    <t>Outdoor Recreation (OSU-C)</t>
  </si>
  <si>
    <t>Low Carbon Fuel Study (OSU College of Forestry)</t>
  </si>
  <si>
    <t>HB 3409</t>
  </si>
  <si>
    <t>Total Institutional Support</t>
  </si>
  <si>
    <t>Public University Support Fund</t>
  </si>
  <si>
    <t>PUSF</t>
  </si>
  <si>
    <t xml:space="preserve">Subtotal, PUSF </t>
  </si>
  <si>
    <t xml:space="preserve">Subtotal, Non-Formula Support </t>
  </si>
  <si>
    <t xml:space="preserve">Statewide Public Services </t>
  </si>
  <si>
    <t xml:space="preserve">Subtotal, Ag Exp Station </t>
  </si>
  <si>
    <t>Subtotal, Extension Services</t>
  </si>
  <si>
    <t xml:space="preserve">Forest Research Laboratory </t>
  </si>
  <si>
    <t xml:space="preserve">Sports Lottery </t>
  </si>
  <si>
    <t xml:space="preserve">OHSU Programs </t>
  </si>
  <si>
    <t>Education and General</t>
  </si>
  <si>
    <t xml:space="preserve">Oregon Child Integrated Dataset (OCID) </t>
  </si>
  <si>
    <t xml:space="preserve">Child Dev &amp; Rehab Center (CDRC) </t>
  </si>
  <si>
    <t>Oregon Poison Center</t>
  </si>
  <si>
    <t>Public University State Programs</t>
  </si>
  <si>
    <t xml:space="preserve">Distribute all in Q1 </t>
  </si>
  <si>
    <t>Contract Required</t>
  </si>
  <si>
    <t>No</t>
  </si>
  <si>
    <t>Yes</t>
  </si>
  <si>
    <t>Check</t>
  </si>
  <si>
    <t>PSU Project Rebound</t>
  </si>
  <si>
    <t>Distribute all in Q2</t>
  </si>
  <si>
    <t>Making up for % mistake in Q1&amp;Q2</t>
  </si>
  <si>
    <t>Cybersecurity Center of Excellence Operating Fund</t>
  </si>
  <si>
    <t>Cybersecurity Center of Excellence Workforce Fund</t>
  </si>
  <si>
    <t>Cybersecurity Center of Excellence Grant Program Fund</t>
  </si>
  <si>
    <t>HB 2049</t>
  </si>
  <si>
    <t>Yes- Amendment</t>
  </si>
  <si>
    <t xml:space="preserve">SELP </t>
  </si>
  <si>
    <t xml:space="preserve">Distribute 49% of total in Q2, remaining 51% in Q5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</si>
</sst>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43" fontId="2" fillId="0" borderId="0" xfId="1" applyFont="1" applyFill="1" applyAlignment="1">
      <alignment horizontal="left" wrapText="1"/>
    </xf>
    <xf numFmtId="43" fontId="2" fillId="0" borderId="0" xfId="1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1" applyFont="1" applyFill="1" applyAlignment="1">
      <alignment horizontal="left"/>
    </xf>
    <xf numFmtId="43" fontId="0" fillId="0" borderId="0" xfId="0" applyNumberFormat="1" applyAlignment="1">
      <alignment horizontal="left"/>
    </xf>
    <xf numFmtId="164" fontId="0" fillId="0" borderId="0" xfId="1" applyNumberFormat="1" applyFont="1" applyAlignment="1">
      <alignment horizontal="left"/>
    </xf>
    <xf numFmtId="43" fontId="0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2" fillId="0" borderId="0" xfId="1" applyNumberFormat="1" applyFont="1" applyAlignment="1">
      <alignment horizontal="left"/>
    </xf>
    <xf numFmtId="43" fontId="5" fillId="0" borderId="0" xfId="1" applyFont="1" applyFill="1" applyAlignment="1">
      <alignment vertical="center"/>
    </xf>
    <xf numFmtId="43" fontId="0" fillId="0" borderId="0" xfId="1" applyNumberFormat="1" applyFont="1" applyFill="1" applyAlignment="1">
      <alignment horizontal="left"/>
    </xf>
    <xf numFmtId="164" fontId="0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3" fontId="4" fillId="0" borderId="0" xfId="0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43" fontId="2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3" fontId="0" fillId="0" borderId="0" xfId="1" applyFont="1" applyAlignment="1">
      <alignment horizontal="left"/>
    </xf>
    <xf numFmtId="43" fontId="2" fillId="0" borderId="0" xfId="1" applyFont="1" applyAlignment="1">
      <alignment horizontal="left"/>
    </xf>
    <xf numFmtId="0" fontId="0" fillId="2" borderId="0" xfId="0" applyFill="1" applyAlignment="1">
      <alignment horizontal="left"/>
    </xf>
    <xf numFmtId="43" fontId="0" fillId="2" borderId="0" xfId="1" applyFont="1" applyFill="1" applyAlignment="1">
      <alignment horizontal="left"/>
    </xf>
    <xf numFmtId="43" fontId="5" fillId="2" borderId="0" xfId="1" applyFont="1" applyFill="1" applyAlignment="1">
      <alignment vertical="center"/>
    </xf>
    <xf numFmtId="43" fontId="0" fillId="2" borderId="0" xfId="1" applyNumberFormat="1" applyFont="1" applyFill="1" applyAlignment="1">
      <alignment horizontal="left"/>
    </xf>
    <xf numFmtId="164" fontId="0" fillId="2" borderId="0" xfId="1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43" fontId="4" fillId="2" borderId="0" xfId="0" applyNumberFormat="1" applyFont="1" applyFill="1" applyAlignment="1">
      <alignment horizontal="left"/>
    </xf>
    <xf numFmtId="0" fontId="6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3" fontId="6" fillId="0" borderId="0" xfId="1" applyFont="1" applyFill="1"/>
    <xf numFmtId="0" fontId="8" fillId="0" borderId="0" xfId="0" applyFont="1"/>
    <xf numFmtId="43" fontId="8" fillId="0" borderId="0" xfId="1" applyFont="1" applyFill="1"/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43" fontId="1" fillId="0" borderId="0" xfId="1" applyFont="1" applyAlignment="1">
      <alignment horizontal="left"/>
    </xf>
    <xf numFmtId="43" fontId="0" fillId="0" borderId="0" xfId="0" applyNumberFormat="1" applyFont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2" applyFont="1" applyFill="1" applyAlignment="1">
      <alignment horizontal="left"/>
    </xf>
    <xf numFmtId="0" fontId="11" fillId="0" borderId="0" xfId="2" applyFont="1" applyFill="1" applyAlignment="1">
      <alignment horizontal="left" vertical="top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6"/>
  <sheetViews>
    <sheetView zoomScale="80" zoomScaleNormal="80" workbookViewId="0">
      <pane ySplit="1" topLeftCell="A2" activePane="bottomLeft" state="frozen"/>
      <selection pane="bottomLeft" activeCell="D27" sqref="D27"/>
    </sheetView>
  </sheetViews>
  <sheetFormatPr defaultColWidth="9.140625" defaultRowHeight="15" x14ac:dyDescent="0.25"/>
  <cols>
    <col min="1" max="1" width="57.28515625" style="1" customWidth="1"/>
    <col min="2" max="2" width="9" style="1" customWidth="1"/>
    <col min="3" max="3" width="7.140625" style="1" bestFit="1" customWidth="1"/>
    <col min="4" max="4" width="8.42578125" style="46" bestFit="1" customWidth="1"/>
    <col min="5" max="5" width="9.140625" style="46" customWidth="1"/>
    <col min="6" max="6" width="9.28515625" style="1" bestFit="1" customWidth="1"/>
    <col min="7" max="7" width="23.28515625" style="1" bestFit="1" customWidth="1"/>
    <col min="8" max="9" width="21.28515625" style="1" bestFit="1" customWidth="1"/>
    <col min="10" max="11" width="19.7109375" style="22" bestFit="1" customWidth="1"/>
    <col min="12" max="12" width="21" style="22" bestFit="1" customWidth="1"/>
    <col min="13" max="13" width="20.42578125" style="22" bestFit="1" customWidth="1"/>
    <col min="14" max="14" width="19.42578125" style="22" bestFit="1" customWidth="1"/>
    <col min="15" max="16" width="19.7109375" style="22" bestFit="1" customWidth="1"/>
    <col min="17" max="17" width="19.42578125" style="22" bestFit="1" customWidth="1"/>
    <col min="18" max="18" width="21.28515625" style="23" bestFit="1" customWidth="1"/>
    <col min="19" max="19" width="13.85546875" style="1" bestFit="1" customWidth="1"/>
    <col min="20" max="16384" width="9.140625" style="1"/>
  </cols>
  <sheetData>
    <row r="1" spans="1:19" x14ac:dyDescent="0.25">
      <c r="A1" s="2" t="s">
        <v>11</v>
      </c>
      <c r="B1" s="2" t="s">
        <v>88</v>
      </c>
      <c r="C1" s="2" t="s">
        <v>12</v>
      </c>
      <c r="D1" s="45" t="s">
        <v>13</v>
      </c>
      <c r="E1" s="45" t="s">
        <v>0</v>
      </c>
      <c r="F1" s="2" t="s">
        <v>14</v>
      </c>
      <c r="G1" s="3" t="s">
        <v>15</v>
      </c>
      <c r="H1" s="4" t="s">
        <v>16</v>
      </c>
      <c r="I1" s="4" t="s">
        <v>17</v>
      </c>
      <c r="J1" s="23" t="s">
        <v>1</v>
      </c>
      <c r="K1" s="23" t="s">
        <v>2</v>
      </c>
      <c r="L1" s="23" t="s">
        <v>3</v>
      </c>
      <c r="M1" s="23" t="s">
        <v>4</v>
      </c>
      <c r="N1" s="23" t="s">
        <v>5</v>
      </c>
      <c r="O1" s="23" t="s">
        <v>6</v>
      </c>
      <c r="P1" s="23" t="s">
        <v>7</v>
      </c>
      <c r="Q1" s="23" t="s">
        <v>8</v>
      </c>
      <c r="R1" s="23" t="s">
        <v>9</v>
      </c>
      <c r="S1" s="5" t="s">
        <v>91</v>
      </c>
    </row>
    <row r="2" spans="1:19" x14ac:dyDescent="0.25">
      <c r="A2" s="6"/>
      <c r="B2" s="6"/>
      <c r="C2" s="6"/>
      <c r="F2" s="6"/>
      <c r="G2" s="7"/>
      <c r="H2" s="7"/>
      <c r="I2" s="7"/>
    </row>
    <row r="3" spans="1:19" x14ac:dyDescent="0.25">
      <c r="A3" s="2" t="s">
        <v>72</v>
      </c>
      <c r="B3" s="2"/>
      <c r="C3" s="2"/>
      <c r="D3" s="45"/>
      <c r="E3" s="45"/>
      <c r="F3" s="2"/>
      <c r="G3" s="4">
        <f>G5+G8</f>
        <v>1005047933</v>
      </c>
      <c r="H3" s="4">
        <f>H5+H8</f>
        <v>495617373</v>
      </c>
      <c r="I3" s="4">
        <f>I5+I8</f>
        <v>509430560</v>
      </c>
      <c r="R3" s="23">
        <f>SUM(J3:Q3)</f>
        <v>0</v>
      </c>
    </row>
    <row r="4" spans="1:19" x14ac:dyDescent="0.25">
      <c r="A4" s="6" t="s">
        <v>73</v>
      </c>
      <c r="B4" s="6" t="s">
        <v>89</v>
      </c>
      <c r="C4" s="6" t="s">
        <v>18</v>
      </c>
      <c r="D4" s="46">
        <v>88983</v>
      </c>
      <c r="E4" s="46">
        <v>84983</v>
      </c>
      <c r="F4" s="6" t="s">
        <v>19</v>
      </c>
      <c r="G4" s="7">
        <f>998717592+165859</f>
        <v>998883451</v>
      </c>
      <c r="H4" s="7">
        <f>ROUNDUP(G4*49%,0)</f>
        <v>489452891</v>
      </c>
      <c r="I4" s="7">
        <f>ROUNDDOWN(G4*51%,0)</f>
        <v>509430560</v>
      </c>
      <c r="J4" s="22">
        <f>'Q1'!J4+'Q2'!J4+'Q3'!J4+'Q4'!J4</f>
        <v>23230779</v>
      </c>
      <c r="K4" s="22">
        <f>'Q1'!K4+'Q2'!K4+'Q3'!K4+'Q4'!K4</f>
        <v>34256343</v>
      </c>
      <c r="L4" s="22">
        <f>'Q1'!L4+'Q2'!L4+'Q3'!L4+'Q4'!L4</f>
        <v>159156114.63999999</v>
      </c>
      <c r="M4" s="22">
        <f>'Q1'!M4+'Q2'!M4+'Q3'!M4+'Q4'!M4</f>
        <v>119822965</v>
      </c>
      <c r="N4" s="22">
        <f>'Q1'!N4+'Q2'!N4+'Q3'!N4+'Q4'!N4</f>
        <v>27495218.999999996</v>
      </c>
      <c r="O4" s="22">
        <f>'Q1'!O4+'Q2'!O4+'Q3'!O4+'Q4'!O4</f>
        <v>92420795.999999985</v>
      </c>
      <c r="P4" s="22">
        <f>'Q1'!P4+'Q2'!P4+'Q3'!P4+'Q4'!P4</f>
        <v>33070672.999999996</v>
      </c>
      <c r="Q4" s="22">
        <f>'Q1'!Q4+'Q2'!Q4+'Q3'!Q4+'Q4'!Q4</f>
        <v>0</v>
      </c>
      <c r="R4" s="23">
        <f>SUM(J4:Q4)</f>
        <v>489452889.63999999</v>
      </c>
      <c r="S4" s="8">
        <f>R4-H4</f>
        <v>-1.3600000143051147</v>
      </c>
    </row>
    <row r="5" spans="1:19" x14ac:dyDescent="0.25">
      <c r="A5" s="2" t="s">
        <v>74</v>
      </c>
      <c r="B5" s="2"/>
      <c r="C5" s="2"/>
      <c r="D5" s="45"/>
      <c r="E5" s="45"/>
      <c r="F5" s="2"/>
      <c r="G5" s="4">
        <f>SUM(G4:G4)</f>
        <v>998883451</v>
      </c>
      <c r="H5" s="4">
        <f>SUM(H4:H4)</f>
        <v>489452891</v>
      </c>
      <c r="I5" s="4">
        <f t="shared" ref="I5:Q5" si="0">SUM(I4:I4)</f>
        <v>509430560</v>
      </c>
      <c r="J5" s="4">
        <f t="shared" si="0"/>
        <v>23230779</v>
      </c>
      <c r="K5" s="4">
        <f t="shared" si="0"/>
        <v>34256343</v>
      </c>
      <c r="L5" s="4">
        <f t="shared" si="0"/>
        <v>159156114.63999999</v>
      </c>
      <c r="M5" s="4">
        <f t="shared" si="0"/>
        <v>119822965</v>
      </c>
      <c r="N5" s="4">
        <f t="shared" si="0"/>
        <v>27495218.999999996</v>
      </c>
      <c r="O5" s="4">
        <f t="shared" si="0"/>
        <v>92420795.999999985</v>
      </c>
      <c r="P5" s="4">
        <f t="shared" si="0"/>
        <v>33070672.999999996</v>
      </c>
      <c r="Q5" s="4">
        <f t="shared" si="0"/>
        <v>0</v>
      </c>
      <c r="R5" s="23">
        <f t="shared" ref="R5:R69" si="1">SUM(J5:Q5)</f>
        <v>489452889.63999999</v>
      </c>
      <c r="S5" s="8">
        <f>R5-H5</f>
        <v>-1.3600000143051147</v>
      </c>
    </row>
    <row r="6" spans="1:19" x14ac:dyDescent="0.25">
      <c r="A6" s="2"/>
      <c r="B6" s="2"/>
      <c r="C6" s="2"/>
      <c r="D6" s="45"/>
      <c r="E6" s="45"/>
      <c r="F6" s="2"/>
      <c r="G6" s="4"/>
      <c r="H6" s="4"/>
      <c r="I6" s="4"/>
      <c r="S6" s="8"/>
    </row>
    <row r="7" spans="1:19" x14ac:dyDescent="0.25">
      <c r="A7" s="6" t="s">
        <v>20</v>
      </c>
      <c r="B7" s="6" t="s">
        <v>90</v>
      </c>
      <c r="C7" s="6" t="s">
        <v>18</v>
      </c>
      <c r="D7" s="47">
        <v>88983</v>
      </c>
      <c r="E7" s="47">
        <v>84989</v>
      </c>
      <c r="F7" s="6" t="s">
        <v>19</v>
      </c>
      <c r="G7" s="7">
        <v>6164482</v>
      </c>
      <c r="H7" s="7">
        <f>G7</f>
        <v>6164482</v>
      </c>
      <c r="I7" s="7">
        <v>0</v>
      </c>
      <c r="J7" s="22">
        <f>'Q1'!J7+'Q2'!J7+'Q3'!J7+'Q4'!J7</f>
        <v>605221</v>
      </c>
      <c r="K7" s="22">
        <f>'Q1'!K7+'Q2'!K7+'Q3'!K7+'Q4'!K7</f>
        <v>876365</v>
      </c>
      <c r="L7" s="22">
        <f>'Q1'!L7+'Q2'!L7+'Q3'!L7+'Q4'!L7</f>
        <v>0</v>
      </c>
      <c r="M7" s="22">
        <f>'Q1'!M7+'Q2'!M7+'Q3'!M7+'Q4'!M7</f>
        <v>3099030</v>
      </c>
      <c r="N7" s="22">
        <f>'Q1'!N7+'Q2'!N7+'Q3'!N7+'Q4'!N7</f>
        <v>722594</v>
      </c>
      <c r="O7" s="22">
        <f>'Q1'!O7+'Q2'!O7+'Q3'!O7+'Q4'!O7</f>
        <v>0</v>
      </c>
      <c r="P7" s="22">
        <f>'Q1'!P7+'Q2'!P7+'Q3'!P7+'Q4'!P7</f>
        <v>861272</v>
      </c>
      <c r="Q7" s="22">
        <f>'Q1'!Q7+'Q2'!Q7+'Q3'!Q7+'Q4'!Q7</f>
        <v>0</v>
      </c>
      <c r="R7" s="23">
        <f t="shared" si="1"/>
        <v>6164482</v>
      </c>
      <c r="S7" s="8">
        <f>R7-H7</f>
        <v>0</v>
      </c>
    </row>
    <row r="8" spans="1:19" x14ac:dyDescent="0.25">
      <c r="A8" s="2" t="s">
        <v>75</v>
      </c>
      <c r="B8" s="2"/>
      <c r="C8" s="2"/>
      <c r="D8" s="45"/>
      <c r="E8" s="45"/>
      <c r="F8" s="2"/>
      <c r="G8" s="4">
        <f>SUM(G7:G7)</f>
        <v>6164482</v>
      </c>
      <c r="H8" s="4">
        <f>SUM(H7:H7)</f>
        <v>6164482</v>
      </c>
      <c r="I8" s="4">
        <f>SUM(I7:I7)</f>
        <v>0</v>
      </c>
      <c r="J8" s="22">
        <f>'Q1'!J8+'Q2'!J8+'Q3'!J8+'Q4'!J8</f>
        <v>605221</v>
      </c>
      <c r="K8" s="22">
        <f>'Q1'!K8+'Q2'!K8+'Q3'!K8+'Q4'!K8</f>
        <v>876365</v>
      </c>
      <c r="L8" s="22">
        <f>'Q1'!L8+'Q2'!L8+'Q3'!L8+'Q4'!L8</f>
        <v>0</v>
      </c>
      <c r="M8" s="22">
        <f>'Q1'!M8+'Q2'!M8+'Q3'!M8+'Q4'!M8</f>
        <v>3099030</v>
      </c>
      <c r="N8" s="22">
        <f>'Q1'!N8+'Q2'!N8+'Q3'!N8+'Q4'!N8</f>
        <v>722594</v>
      </c>
      <c r="O8" s="22">
        <f>'Q1'!O8+'Q2'!O8+'Q3'!O8+'Q4'!O8</f>
        <v>0</v>
      </c>
      <c r="P8" s="22">
        <f>'Q1'!P8+'Q2'!P8+'Q3'!P8+'Q4'!P8</f>
        <v>861272</v>
      </c>
      <c r="Q8" s="22">
        <f>'Q1'!Q8+'Q2'!Q8+'Q3'!Q8+'Q4'!Q8</f>
        <v>0</v>
      </c>
      <c r="R8" s="23">
        <f t="shared" si="1"/>
        <v>6164482</v>
      </c>
      <c r="S8" s="8">
        <f>R8-H8</f>
        <v>0</v>
      </c>
    </row>
    <row r="9" spans="1:19" x14ac:dyDescent="0.25">
      <c r="A9" s="6"/>
      <c r="B9" s="6"/>
      <c r="C9" s="6"/>
      <c r="F9" s="6"/>
      <c r="G9" s="7"/>
      <c r="H9" s="7"/>
      <c r="I9" s="7"/>
      <c r="S9" s="8"/>
    </row>
    <row r="10" spans="1:19" x14ac:dyDescent="0.25">
      <c r="A10" s="2" t="s">
        <v>76</v>
      </c>
      <c r="B10" s="2"/>
      <c r="C10" s="2"/>
      <c r="D10" s="45"/>
      <c r="E10" s="45"/>
      <c r="F10" s="2"/>
      <c r="G10" s="4">
        <f>G12+G21+G23</f>
        <v>243268086</v>
      </c>
      <c r="H10" s="4">
        <f>H12+H21+H23</f>
        <v>122399575</v>
      </c>
      <c r="I10" s="4">
        <f>I12+I21+I23</f>
        <v>120868511</v>
      </c>
      <c r="J10" s="4">
        <f t="shared" ref="J10:Q10" si="2">J12+J21+J23</f>
        <v>0</v>
      </c>
      <c r="K10" s="4">
        <f t="shared" si="2"/>
        <v>0</v>
      </c>
      <c r="L10" s="4">
        <f t="shared" si="2"/>
        <v>122399574</v>
      </c>
      <c r="M10" s="4">
        <f t="shared" si="2"/>
        <v>0</v>
      </c>
      <c r="N10" s="4">
        <f t="shared" si="2"/>
        <v>0</v>
      </c>
      <c r="O10" s="4">
        <f t="shared" si="2"/>
        <v>0</v>
      </c>
      <c r="P10" s="4">
        <f t="shared" si="2"/>
        <v>0</v>
      </c>
      <c r="Q10" s="4">
        <f t="shared" si="2"/>
        <v>0</v>
      </c>
      <c r="R10" s="23">
        <f t="shared" si="1"/>
        <v>122399574</v>
      </c>
      <c r="S10" s="8">
        <f>R10-H10</f>
        <v>-1</v>
      </c>
    </row>
    <row r="11" spans="1:19" x14ac:dyDescent="0.25">
      <c r="A11" s="6" t="s">
        <v>21</v>
      </c>
      <c r="B11" s="6" t="s">
        <v>90</v>
      </c>
      <c r="C11" s="6" t="s">
        <v>18</v>
      </c>
      <c r="D11" s="46">
        <v>86900</v>
      </c>
      <c r="E11" s="46">
        <v>84904</v>
      </c>
      <c r="F11" s="6" t="s">
        <v>19</v>
      </c>
      <c r="G11" s="7">
        <v>97016982</v>
      </c>
      <c r="H11" s="7">
        <f>ROUNDUP(G11*49%,0)</f>
        <v>47538322</v>
      </c>
      <c r="I11" s="7">
        <f>ROUNDDOWN(G11*51%,0)</f>
        <v>49478660</v>
      </c>
      <c r="J11" s="22">
        <f>'Q1'!J11+'Q2'!J11+'Q3'!J11+'Q4'!J11</f>
        <v>0</v>
      </c>
      <c r="K11" s="22">
        <f>'Q1'!K11+'Q2'!K11+'Q3'!K11+'Q4'!K11</f>
        <v>0</v>
      </c>
      <c r="L11" s="22">
        <f>'Q1'!L11+'Q2'!L11+'Q3'!L11+'Q4'!L11</f>
        <v>47538322</v>
      </c>
      <c r="M11" s="22">
        <f>'Q1'!M11+'Q2'!M11+'Q3'!M11+'Q4'!M11</f>
        <v>0</v>
      </c>
      <c r="N11" s="22">
        <f>'Q1'!N11+'Q2'!N11+'Q3'!N11+'Q4'!N11</f>
        <v>0</v>
      </c>
      <c r="O11" s="22">
        <f>'Q1'!O11+'Q2'!O11+'Q3'!O11+'Q4'!O11</f>
        <v>0</v>
      </c>
      <c r="P11" s="22">
        <f>'Q1'!P11+'Q2'!P11+'Q3'!P11+'Q4'!P11</f>
        <v>0</v>
      </c>
      <c r="Q11" s="22">
        <f>'Q1'!Q11+'Q2'!Q11+'Q3'!Q11+'Q4'!Q11</f>
        <v>0</v>
      </c>
      <c r="R11" s="23">
        <f t="shared" si="1"/>
        <v>47538322</v>
      </c>
      <c r="S11" s="8">
        <f>R11-H11</f>
        <v>0</v>
      </c>
    </row>
    <row r="12" spans="1:19" x14ac:dyDescent="0.25">
      <c r="A12" s="2" t="s">
        <v>77</v>
      </c>
      <c r="B12" s="2"/>
      <c r="C12" s="2"/>
      <c r="D12" s="45"/>
      <c r="E12" s="45"/>
      <c r="F12" s="2"/>
      <c r="G12" s="4">
        <f>SUM(G11:G11)</f>
        <v>97016982</v>
      </c>
      <c r="H12" s="4">
        <f>SUM(H11:H11)</f>
        <v>47538322</v>
      </c>
      <c r="I12" s="4">
        <f>SUM(I11:I11)</f>
        <v>49478660</v>
      </c>
      <c r="J12" s="22">
        <f>'Q1'!J12+'Q2'!J12+'Q3'!J12+'Q4'!J12</f>
        <v>0</v>
      </c>
      <c r="K12" s="22">
        <f>'Q1'!K12+'Q2'!K12+'Q3'!K12+'Q4'!K12</f>
        <v>0</v>
      </c>
      <c r="L12" s="22">
        <f>'Q1'!L12+'Q2'!L12+'Q3'!L12+'Q4'!L12</f>
        <v>47538322</v>
      </c>
      <c r="M12" s="22">
        <f>'Q1'!M12+'Q2'!M12+'Q3'!M12+'Q4'!M12</f>
        <v>0</v>
      </c>
      <c r="N12" s="22">
        <f>'Q1'!N12+'Q2'!N12+'Q3'!N12+'Q4'!N12</f>
        <v>0</v>
      </c>
      <c r="O12" s="22">
        <f>'Q1'!O12+'Q2'!O12+'Q3'!O12+'Q4'!O12</f>
        <v>0</v>
      </c>
      <c r="P12" s="22">
        <f>'Q1'!P12+'Q2'!P12+'Q3'!P12+'Q4'!P12</f>
        <v>0</v>
      </c>
      <c r="Q12" s="22">
        <f>'Q1'!Q12+'Q2'!Q12+'Q3'!Q12+'Q4'!Q12</f>
        <v>0</v>
      </c>
      <c r="R12" s="23">
        <f t="shared" si="1"/>
        <v>47538322</v>
      </c>
      <c r="S12" s="8">
        <f>R12-H12</f>
        <v>0</v>
      </c>
    </row>
    <row r="13" spans="1:19" x14ac:dyDescent="0.25">
      <c r="A13" s="6"/>
      <c r="B13" s="6"/>
      <c r="C13" s="6"/>
      <c r="F13" s="6"/>
      <c r="G13" s="7"/>
      <c r="H13" s="7"/>
      <c r="I13" s="7"/>
      <c r="S13" s="8"/>
    </row>
    <row r="14" spans="1:19" x14ac:dyDescent="0.25">
      <c r="A14" s="6" t="s">
        <v>22</v>
      </c>
      <c r="B14" s="6" t="s">
        <v>90</v>
      </c>
      <c r="C14" s="6" t="s">
        <v>18</v>
      </c>
      <c r="D14" s="46">
        <v>86900</v>
      </c>
      <c r="E14" s="46">
        <v>84901</v>
      </c>
      <c r="F14" s="6" t="s">
        <v>19</v>
      </c>
      <c r="G14" s="7">
        <v>67769936</v>
      </c>
      <c r="H14" s="7">
        <f>ROUNDUP(G14*49%,0)</f>
        <v>33207269</v>
      </c>
      <c r="I14" s="7">
        <f>ROUNDDOWN(G14*51%,0)</f>
        <v>34562667</v>
      </c>
      <c r="J14" s="22">
        <f>'Q1'!J14+'Q2'!J14+'Q3'!J14+'Q4'!J14</f>
        <v>0</v>
      </c>
      <c r="K14" s="22">
        <f>'Q1'!K14+'Q2'!K14+'Q3'!K14+'Q4'!K14</f>
        <v>0</v>
      </c>
      <c r="L14" s="22">
        <f>'Q1'!L14+'Q2'!L14+'Q3'!L14+'Q4'!L14</f>
        <v>33207269</v>
      </c>
      <c r="M14" s="22">
        <f>'Q1'!M14+'Q2'!M14+'Q3'!M14+'Q4'!M14</f>
        <v>0</v>
      </c>
      <c r="N14" s="22">
        <f>'Q1'!N14+'Q2'!N14+'Q3'!N14+'Q4'!N14</f>
        <v>0</v>
      </c>
      <c r="O14" s="22">
        <f>'Q1'!O14+'Q2'!O14+'Q3'!O14+'Q4'!O14</f>
        <v>0</v>
      </c>
      <c r="P14" s="22">
        <f>'Q1'!P14+'Q2'!P14+'Q3'!P14+'Q4'!P14</f>
        <v>0</v>
      </c>
      <c r="Q14" s="22">
        <f>'Q1'!Q14+'Q2'!Q14+'Q3'!Q14+'Q4'!Q14</f>
        <v>0</v>
      </c>
      <c r="R14" s="23">
        <f t="shared" si="1"/>
        <v>33207269</v>
      </c>
      <c r="S14" s="8">
        <f t="shared" ref="S14:S21" si="3">R14-H14</f>
        <v>0</v>
      </c>
    </row>
    <row r="15" spans="1:19" x14ac:dyDescent="0.25">
      <c r="A15" s="6" t="s">
        <v>23</v>
      </c>
      <c r="B15" s="6" t="s">
        <v>90</v>
      </c>
      <c r="C15" s="6" t="s">
        <v>18</v>
      </c>
      <c r="D15" s="46">
        <v>86900</v>
      </c>
      <c r="E15" s="46">
        <v>84901</v>
      </c>
      <c r="F15" s="6" t="s">
        <v>19</v>
      </c>
      <c r="G15" s="7">
        <v>2000000</v>
      </c>
      <c r="H15" s="7">
        <f>G15</f>
        <v>2000000</v>
      </c>
      <c r="I15" s="7">
        <v>0</v>
      </c>
      <c r="J15" s="22">
        <f>'Q1'!J15+'Q2'!J15+'Q3'!J15+'Q4'!J15</f>
        <v>0</v>
      </c>
      <c r="K15" s="22">
        <f>'Q1'!K15+'Q2'!K15+'Q3'!K15+'Q4'!K15</f>
        <v>0</v>
      </c>
      <c r="L15" s="22">
        <f>'Q1'!L15+'Q2'!L15+'Q3'!L15+'Q4'!L15</f>
        <v>2000000</v>
      </c>
      <c r="M15" s="22">
        <f>'Q1'!M15+'Q2'!M15+'Q3'!M15+'Q4'!M15</f>
        <v>0</v>
      </c>
      <c r="N15" s="22">
        <f>'Q1'!N15+'Q2'!N15+'Q3'!N15+'Q4'!N15</f>
        <v>0</v>
      </c>
      <c r="O15" s="22">
        <f>'Q1'!O15+'Q2'!O15+'Q3'!O15+'Q4'!O15</f>
        <v>0</v>
      </c>
      <c r="P15" s="22">
        <f>'Q1'!P15+'Q2'!P15+'Q3'!P15+'Q4'!P15</f>
        <v>0</v>
      </c>
      <c r="Q15" s="22">
        <f>'Q1'!Q15+'Q2'!Q15+'Q3'!Q15+'Q4'!Q15</f>
        <v>0</v>
      </c>
      <c r="R15" s="23">
        <f t="shared" si="1"/>
        <v>2000000</v>
      </c>
      <c r="S15" s="8">
        <f t="shared" si="3"/>
        <v>0</v>
      </c>
    </row>
    <row r="16" spans="1:19" x14ac:dyDescent="0.25">
      <c r="A16" s="6" t="s">
        <v>24</v>
      </c>
      <c r="B16" s="6" t="s">
        <v>90</v>
      </c>
      <c r="C16" s="6" t="s">
        <v>25</v>
      </c>
      <c r="D16" s="46">
        <v>41100</v>
      </c>
      <c r="E16" s="48">
        <v>42003</v>
      </c>
      <c r="F16" s="6" t="s">
        <v>19</v>
      </c>
      <c r="G16" s="7">
        <v>56406064</v>
      </c>
      <c r="H16" s="7">
        <f>ROUNDUP(G16*50%,0)</f>
        <v>28203032</v>
      </c>
      <c r="I16" s="7">
        <f>ROUNDDOWN(G16*50%,0)</f>
        <v>28203032</v>
      </c>
      <c r="J16" s="22">
        <f>'Q1'!J16+'Q2'!J16+'Q3'!J16+'Q4'!J16</f>
        <v>0</v>
      </c>
      <c r="K16" s="22">
        <f>'Q1'!K16+'Q2'!K16+'Q3'!K16+'Q4'!K16</f>
        <v>0</v>
      </c>
      <c r="L16" s="22">
        <f>'Q1'!L16+'Q2'!L16+'Q3'!L16+'Q4'!L16</f>
        <v>28203032</v>
      </c>
      <c r="M16" s="22">
        <f>'Q1'!M16+'Q2'!M16+'Q3'!M16+'Q4'!M16</f>
        <v>0</v>
      </c>
      <c r="N16" s="22">
        <f>'Q1'!N16+'Q2'!N16+'Q3'!N16+'Q4'!N16</f>
        <v>0</v>
      </c>
      <c r="O16" s="22">
        <f>'Q1'!O16+'Q2'!O16+'Q3'!O16+'Q4'!O16</f>
        <v>0</v>
      </c>
      <c r="P16" s="22">
        <f>'Q1'!P16+'Q2'!P16+'Q3'!P16+'Q4'!P16</f>
        <v>0</v>
      </c>
      <c r="Q16" s="22">
        <f>'Q1'!Q16+'Q2'!Q16+'Q3'!Q16+'Q4'!Q16</f>
        <v>0</v>
      </c>
      <c r="R16" s="23">
        <f t="shared" si="1"/>
        <v>28203032</v>
      </c>
      <c r="S16" s="8">
        <f t="shared" si="3"/>
        <v>0</v>
      </c>
    </row>
    <row r="17" spans="1:19" x14ac:dyDescent="0.25">
      <c r="A17" s="6" t="s">
        <v>27</v>
      </c>
      <c r="B17" s="6" t="s">
        <v>90</v>
      </c>
      <c r="C17" s="6" t="s">
        <v>18</v>
      </c>
      <c r="D17" s="46">
        <v>86900</v>
      </c>
      <c r="E17" s="46">
        <v>84901</v>
      </c>
      <c r="F17" s="6" t="s">
        <v>28</v>
      </c>
      <c r="G17" s="7">
        <v>3085581</v>
      </c>
      <c r="H17" s="7">
        <f>ROUNDUP(G17*49%,0)</f>
        <v>1511935</v>
      </c>
      <c r="I17" s="7">
        <f>ROUNDDOWN(G17*51%,0)</f>
        <v>1573646</v>
      </c>
      <c r="J17" s="22">
        <f>'Q1'!J17+'Q2'!J17+'Q3'!J17+'Q4'!J17</f>
        <v>0</v>
      </c>
      <c r="K17" s="22">
        <f>'Q1'!K17+'Q2'!K17+'Q3'!K17+'Q4'!K17</f>
        <v>0</v>
      </c>
      <c r="L17" s="22">
        <f>'Q1'!L17+'Q2'!L17+'Q3'!L17+'Q4'!L17</f>
        <v>1511935</v>
      </c>
      <c r="M17" s="22">
        <f>'Q1'!M17+'Q2'!M17+'Q3'!M17+'Q4'!M17</f>
        <v>0</v>
      </c>
      <c r="N17" s="22">
        <f>'Q1'!N17+'Q2'!N17+'Q3'!N17+'Q4'!N17</f>
        <v>0</v>
      </c>
      <c r="O17" s="22">
        <f>'Q1'!O17+'Q2'!O17+'Q3'!O17+'Q4'!O17</f>
        <v>0</v>
      </c>
      <c r="P17" s="22">
        <f>'Q1'!P17+'Q2'!P17+'Q3'!P17+'Q4'!P17</f>
        <v>0</v>
      </c>
      <c r="Q17" s="22">
        <f>'Q1'!Q17+'Q2'!Q17+'Q3'!Q17+'Q4'!Q17</f>
        <v>0</v>
      </c>
      <c r="R17" s="23">
        <f t="shared" si="1"/>
        <v>1511935</v>
      </c>
      <c r="S17" s="8">
        <f t="shared" si="3"/>
        <v>0</v>
      </c>
    </row>
    <row r="18" spans="1:19" x14ac:dyDescent="0.25">
      <c r="A18" s="6" t="s">
        <v>29</v>
      </c>
      <c r="B18" s="6" t="s">
        <v>90</v>
      </c>
      <c r="C18" s="6" t="s">
        <v>18</v>
      </c>
      <c r="D18" s="46">
        <v>86900</v>
      </c>
      <c r="E18" s="46">
        <v>84901</v>
      </c>
      <c r="F18" s="6" t="s">
        <v>26</v>
      </c>
      <c r="G18" s="7">
        <v>135000</v>
      </c>
      <c r="H18" s="7">
        <f>G18</f>
        <v>135000</v>
      </c>
      <c r="I18" s="7">
        <v>0</v>
      </c>
      <c r="J18" s="22">
        <f>'Q1'!J18+'Q2'!J18+'Q3'!J18+'Q4'!J18</f>
        <v>0</v>
      </c>
      <c r="K18" s="22">
        <f>'Q1'!K18+'Q2'!K18+'Q3'!K18+'Q4'!K18</f>
        <v>0</v>
      </c>
      <c r="L18" s="22">
        <f>'Q1'!L18+'Q2'!L18+'Q3'!L18+'Q4'!L18</f>
        <v>135000</v>
      </c>
      <c r="M18" s="22">
        <f>'Q1'!M18+'Q2'!M18+'Q3'!M18+'Q4'!M18</f>
        <v>0</v>
      </c>
      <c r="N18" s="22">
        <f>'Q1'!N18+'Q2'!N18+'Q3'!N18+'Q4'!N18</f>
        <v>0</v>
      </c>
      <c r="O18" s="22">
        <f>'Q1'!O18+'Q2'!O18+'Q3'!O18+'Q4'!O18</f>
        <v>0</v>
      </c>
      <c r="P18" s="22">
        <f>'Q1'!P18+'Q2'!P18+'Q3'!P18+'Q4'!P18</f>
        <v>0</v>
      </c>
      <c r="Q18" s="22">
        <f>'Q1'!Q18+'Q2'!Q18+'Q3'!Q18+'Q4'!Q18</f>
        <v>0</v>
      </c>
      <c r="R18" s="23">
        <f t="shared" si="1"/>
        <v>135000</v>
      </c>
      <c r="S18" s="8">
        <f t="shared" si="3"/>
        <v>0</v>
      </c>
    </row>
    <row r="19" spans="1:19" x14ac:dyDescent="0.25">
      <c r="A19" s="6" t="s">
        <v>30</v>
      </c>
      <c r="B19" s="6" t="s">
        <v>90</v>
      </c>
      <c r="C19" s="6" t="s">
        <v>18</v>
      </c>
      <c r="D19" s="46">
        <v>86900</v>
      </c>
      <c r="E19" s="46">
        <v>84901</v>
      </c>
      <c r="F19" s="6" t="s">
        <v>31</v>
      </c>
      <c r="G19" s="7">
        <v>3000000</v>
      </c>
      <c r="H19" s="7">
        <f>G19</f>
        <v>3000000</v>
      </c>
      <c r="I19" s="7">
        <v>0</v>
      </c>
      <c r="J19" s="22">
        <f>'Q1'!J19+'Q2'!J19+'Q3'!J19+'Q4'!J19</f>
        <v>0</v>
      </c>
      <c r="K19" s="22">
        <f>'Q1'!K19+'Q2'!K19+'Q3'!K19+'Q4'!K19</f>
        <v>0</v>
      </c>
      <c r="L19" s="22">
        <f>'Q1'!L19+'Q2'!L19+'Q3'!L19+'Q4'!L19</f>
        <v>3000000</v>
      </c>
      <c r="M19" s="22">
        <f>'Q1'!M19+'Q2'!M19+'Q3'!M19+'Q4'!M19</f>
        <v>0</v>
      </c>
      <c r="N19" s="22">
        <f>'Q1'!N19+'Q2'!N19+'Q3'!N19+'Q4'!N19</f>
        <v>0</v>
      </c>
      <c r="O19" s="22">
        <f>'Q1'!O19+'Q2'!O19+'Q3'!O19+'Q4'!O19</f>
        <v>0</v>
      </c>
      <c r="P19" s="22">
        <f>'Q1'!P19+'Q2'!P19+'Q3'!P19+'Q4'!P19</f>
        <v>0</v>
      </c>
      <c r="Q19" s="22">
        <f>'Q1'!Q19+'Q2'!Q19+'Q3'!Q19+'Q4'!Q19</f>
        <v>0</v>
      </c>
      <c r="R19" s="23">
        <f t="shared" si="1"/>
        <v>3000000</v>
      </c>
      <c r="S19" s="8">
        <f t="shared" si="3"/>
        <v>0</v>
      </c>
    </row>
    <row r="20" spans="1:19" x14ac:dyDescent="0.25">
      <c r="A20" s="6" t="s">
        <v>32</v>
      </c>
      <c r="B20" s="6" t="s">
        <v>90</v>
      </c>
      <c r="C20" s="6" t="s">
        <v>18</v>
      </c>
      <c r="D20" s="46">
        <v>86900</v>
      </c>
      <c r="E20" s="46">
        <v>84901</v>
      </c>
      <c r="F20" s="6" t="s">
        <v>33</v>
      </c>
      <c r="G20" s="7">
        <v>30000</v>
      </c>
      <c r="H20" s="7">
        <f>G20</f>
        <v>30000</v>
      </c>
      <c r="I20" s="7">
        <v>0</v>
      </c>
      <c r="J20" s="22">
        <f>'Q1'!J20+'Q2'!J20+'Q3'!J20+'Q4'!J20</f>
        <v>0</v>
      </c>
      <c r="K20" s="22">
        <f>'Q1'!K20+'Q2'!K20+'Q3'!K20+'Q4'!K20</f>
        <v>0</v>
      </c>
      <c r="L20" s="22">
        <f>'Q1'!L20+'Q2'!L20+'Q3'!L20+'Q4'!L20</f>
        <v>30000</v>
      </c>
      <c r="M20" s="22">
        <f>'Q1'!M20+'Q2'!M20+'Q3'!M20+'Q4'!M20</f>
        <v>0</v>
      </c>
      <c r="N20" s="22">
        <f>'Q1'!N20+'Q2'!N20+'Q3'!N20+'Q4'!N20</f>
        <v>0</v>
      </c>
      <c r="O20" s="22">
        <f>'Q1'!O20+'Q2'!O20+'Q3'!O20+'Q4'!O20</f>
        <v>0</v>
      </c>
      <c r="P20" s="22">
        <f>'Q1'!P20+'Q2'!P20+'Q3'!P20+'Q4'!P20</f>
        <v>0</v>
      </c>
      <c r="Q20" s="22">
        <f>'Q1'!Q20+'Q2'!Q20+'Q3'!Q20+'Q4'!Q20</f>
        <v>0</v>
      </c>
      <c r="R20" s="23">
        <f t="shared" si="1"/>
        <v>30000</v>
      </c>
      <c r="S20" s="8">
        <f t="shared" si="3"/>
        <v>0</v>
      </c>
    </row>
    <row r="21" spans="1:19" x14ac:dyDescent="0.25">
      <c r="A21" s="2" t="s">
        <v>78</v>
      </c>
      <c r="B21" s="2"/>
      <c r="C21" s="2"/>
      <c r="D21" s="45"/>
      <c r="E21" s="45"/>
      <c r="F21" s="2"/>
      <c r="G21" s="4">
        <f>SUM(G14:G20)</f>
        <v>132426581</v>
      </c>
      <c r="H21" s="4">
        <f>SUM(H14:H20)</f>
        <v>68087236</v>
      </c>
      <c r="I21" s="4">
        <f>SUM(I14:I20)</f>
        <v>64339345</v>
      </c>
      <c r="J21" s="22">
        <f>'Q1'!J21+'Q2'!J21+'Q3'!J21+'Q4'!J21</f>
        <v>0</v>
      </c>
      <c r="K21" s="22">
        <f>'Q1'!K21+'Q2'!K21+'Q3'!K21+'Q4'!K21</f>
        <v>0</v>
      </c>
      <c r="L21" s="22">
        <f>'Q1'!L21+'Q2'!L21+'Q3'!L21+'Q4'!L21</f>
        <v>68087236</v>
      </c>
      <c r="M21" s="22">
        <f>'Q1'!M21+'Q2'!M21+'Q3'!M21+'Q4'!M21</f>
        <v>0</v>
      </c>
      <c r="N21" s="22">
        <f>'Q1'!N21+'Q2'!N21+'Q3'!N21+'Q4'!N21</f>
        <v>0</v>
      </c>
      <c r="O21" s="22">
        <f>'Q1'!O21+'Q2'!O21+'Q3'!O21+'Q4'!O21</f>
        <v>0</v>
      </c>
      <c r="P21" s="22">
        <f>'Q1'!P21+'Q2'!P21+'Q3'!P21+'Q4'!P21</f>
        <v>0</v>
      </c>
      <c r="Q21" s="22">
        <f>'Q1'!Q21+'Q2'!Q21+'Q3'!Q21+'Q4'!Q21</f>
        <v>0</v>
      </c>
      <c r="R21" s="23">
        <f t="shared" si="1"/>
        <v>68087236</v>
      </c>
      <c r="S21" s="8">
        <f t="shared" si="3"/>
        <v>0</v>
      </c>
    </row>
    <row r="22" spans="1:19" x14ac:dyDescent="0.25">
      <c r="A22" s="6"/>
      <c r="B22" s="6"/>
      <c r="C22" s="6"/>
      <c r="E22" s="46" t="s">
        <v>34</v>
      </c>
      <c r="F22" s="6"/>
      <c r="G22" s="7"/>
      <c r="H22" s="7"/>
      <c r="I22" s="7"/>
      <c r="S22" s="8"/>
    </row>
    <row r="23" spans="1:19" x14ac:dyDescent="0.25">
      <c r="A23" s="2" t="s">
        <v>79</v>
      </c>
      <c r="B23" s="6" t="s">
        <v>90</v>
      </c>
      <c r="C23" s="2" t="s">
        <v>18</v>
      </c>
      <c r="D23" s="45">
        <v>86900</v>
      </c>
      <c r="E23" s="45">
        <v>84902</v>
      </c>
      <c r="F23" s="2"/>
      <c r="G23" s="4">
        <v>13824523</v>
      </c>
      <c r="H23" s="4">
        <f>ROUNDUP(G23*49%,0)</f>
        <v>6774017</v>
      </c>
      <c r="I23" s="4">
        <f>ROUNDDOWN(G23*51%,0)</f>
        <v>7050506</v>
      </c>
      <c r="J23" s="22">
        <f>'Q1'!J23+'Q2'!J23+'Q3'!J23+'Q4'!J23</f>
        <v>0</v>
      </c>
      <c r="K23" s="22">
        <f>'Q1'!K23+'Q2'!K23+'Q3'!K23+'Q4'!K23</f>
        <v>0</v>
      </c>
      <c r="L23" s="22">
        <f>'Q1'!L23+'Q2'!L23+'Q3'!L23+'Q4'!L23</f>
        <v>6774016</v>
      </c>
      <c r="M23" s="22">
        <f>'Q1'!M23+'Q2'!M23+'Q3'!M23+'Q4'!M23</f>
        <v>0</v>
      </c>
      <c r="N23" s="22">
        <f>'Q1'!N23+'Q2'!N23+'Q3'!N23+'Q4'!N23</f>
        <v>0</v>
      </c>
      <c r="O23" s="22">
        <f>'Q1'!O23+'Q2'!O23+'Q3'!O23+'Q4'!O23</f>
        <v>0</v>
      </c>
      <c r="P23" s="22">
        <f>'Q1'!P23+'Q2'!P23+'Q3'!P23+'Q4'!P23</f>
        <v>0</v>
      </c>
      <c r="Q23" s="22">
        <f>'Q1'!Q23+'Q2'!Q23+'Q3'!Q23+'Q4'!Q23</f>
        <v>0</v>
      </c>
      <c r="R23" s="23">
        <f t="shared" si="1"/>
        <v>6774016</v>
      </c>
      <c r="S23" s="8">
        <f>R23-H23</f>
        <v>-1</v>
      </c>
    </row>
    <row r="24" spans="1:19" x14ac:dyDescent="0.25">
      <c r="A24" s="6"/>
      <c r="B24" s="6"/>
      <c r="C24" s="6"/>
      <c r="F24" s="6"/>
      <c r="G24" s="7"/>
      <c r="H24" s="4"/>
      <c r="I24" s="4"/>
      <c r="S24" s="8"/>
    </row>
    <row r="25" spans="1:19" s="32" customFormat="1" x14ac:dyDescent="0.25">
      <c r="A25" s="38" t="s">
        <v>80</v>
      </c>
      <c r="B25" s="38" t="s">
        <v>90</v>
      </c>
      <c r="C25" s="38" t="s">
        <v>25</v>
      </c>
      <c r="D25" s="45">
        <v>41200</v>
      </c>
      <c r="E25" s="45">
        <v>42001</v>
      </c>
      <c r="F25" s="38" t="s">
        <v>19</v>
      </c>
      <c r="G25" s="4">
        <v>18329943</v>
      </c>
      <c r="H25" s="4">
        <f>ROUNDUP(G25*50%,0)</f>
        <v>9164972</v>
      </c>
      <c r="I25" s="4">
        <f>ROUNDDOWN(G25*50%,0)</f>
        <v>9164971</v>
      </c>
      <c r="J25" s="39">
        <f>'Q1'!J25+'Q2'!J25+'Q3'!J25+'Q4'!J25</f>
        <v>1586380</v>
      </c>
      <c r="K25" s="39">
        <f>'Q1'!K25+'Q2'!K25+'Q3'!K25+'Q4'!K25</f>
        <v>1586380</v>
      </c>
      <c r="L25" s="39">
        <f>'Q1'!L25+'Q2'!L25+'Q3'!L25+'Q4'!L25</f>
        <v>669508</v>
      </c>
      <c r="M25" s="39">
        <f>'Q1'!M25+'Q2'!M25+'Q3'!M25+'Q4'!M25</f>
        <v>1480436</v>
      </c>
      <c r="N25" s="39">
        <f>'Q1'!N25+'Q2'!N25+'Q3'!N25+'Q4'!N25</f>
        <v>1586380</v>
      </c>
      <c r="O25" s="39">
        <f>'Q1'!O25+'Q2'!O25+'Q3'!O25+'Q4'!O25</f>
        <v>669508</v>
      </c>
      <c r="P25" s="39">
        <f>'Q1'!P25+'Q2'!P25+'Q3'!P25+'Q4'!P25</f>
        <v>1586380</v>
      </c>
      <c r="Q25" s="39">
        <f>'Q1'!Q25+'Q2'!Q25+'Q3'!Q25+'Q4'!Q25</f>
        <v>0</v>
      </c>
      <c r="R25" s="39">
        <f t="shared" si="1"/>
        <v>9164972</v>
      </c>
      <c r="S25" s="40">
        <f>R25-H25</f>
        <v>0</v>
      </c>
    </row>
    <row r="26" spans="1:19" x14ac:dyDescent="0.25">
      <c r="A26" s="2"/>
      <c r="B26" s="6"/>
      <c r="C26" s="2"/>
      <c r="D26" s="45"/>
      <c r="E26" s="45"/>
      <c r="F26" s="6"/>
      <c r="G26" s="4"/>
      <c r="H26" s="4"/>
      <c r="I26" s="4"/>
      <c r="J26" s="39"/>
      <c r="K26" s="39"/>
      <c r="L26" s="39"/>
      <c r="M26" s="39"/>
      <c r="N26" s="39"/>
      <c r="O26" s="39"/>
      <c r="P26" s="39"/>
      <c r="Q26" s="39"/>
      <c r="R26" s="39"/>
      <c r="S26" s="40"/>
    </row>
    <row r="27" spans="1:19" s="31" customFormat="1" x14ac:dyDescent="0.25">
      <c r="A27" s="35" t="s">
        <v>100</v>
      </c>
      <c r="B27" s="37" t="s">
        <v>90</v>
      </c>
      <c r="C27" s="31" t="s">
        <v>18</v>
      </c>
      <c r="D27" s="47">
        <v>88942</v>
      </c>
      <c r="E27" s="47">
        <v>84942</v>
      </c>
      <c r="F27" s="33"/>
      <c r="G27" s="36">
        <v>12978726</v>
      </c>
      <c r="H27" s="36">
        <f>ROUNDUP(G27*50%,0)</f>
        <v>6489363</v>
      </c>
      <c r="I27" s="36">
        <f>ROUNDDOWN(G27*50%,0)</f>
        <v>6489363</v>
      </c>
      <c r="J27" s="39">
        <f>'Q1'!J27+'Q2'!J27+'Q3'!J27+'Q4'!J27</f>
        <v>632318</v>
      </c>
      <c r="K27" s="39">
        <f>'Q1'!K27+'Q2'!K27+'Q3'!K27+'Q4'!K27</f>
        <v>133536</v>
      </c>
      <c r="L27" s="39">
        <f>'Q1'!L27+'Q2'!L27+'Q3'!L27+'Q4'!L27</f>
        <v>1053732</v>
      </c>
      <c r="M27" s="39">
        <f>'Q1'!M27+'Q2'!M27+'Q3'!M27+'Q4'!M27</f>
        <v>2162125</v>
      </c>
      <c r="N27" s="39">
        <f>'Q1'!N27+'Q2'!N27+'Q3'!N27+'Q4'!N27</f>
        <v>179160</v>
      </c>
      <c r="O27" s="39">
        <f>'Q1'!O27+'Q2'!O27+'Q3'!O27+'Q4'!O27</f>
        <v>1949244</v>
      </c>
      <c r="P27" s="39">
        <f>'Q1'!P27+'Q2'!P27+'Q3'!P27+'Q4'!P27</f>
        <v>379248</v>
      </c>
      <c r="Q27" s="39">
        <f>'Q1'!Q27+'Q2'!Q27+'Q3'!Q27+'Q4'!Q27</f>
        <v>0</v>
      </c>
      <c r="R27" s="39">
        <f>SUM(J27:Q27)</f>
        <v>6489363</v>
      </c>
      <c r="S27" s="40">
        <f>R27-H27</f>
        <v>0</v>
      </c>
    </row>
    <row r="28" spans="1:19" x14ac:dyDescent="0.25">
      <c r="A28" s="6"/>
      <c r="B28" s="6"/>
      <c r="C28" s="6"/>
      <c r="F28" s="6"/>
      <c r="G28" s="7"/>
      <c r="H28" s="7"/>
      <c r="I28" s="7"/>
      <c r="J28" s="39"/>
      <c r="K28" s="39"/>
      <c r="L28" s="39"/>
      <c r="M28" s="39"/>
      <c r="N28" s="39"/>
      <c r="O28" s="39"/>
      <c r="P28" s="39"/>
      <c r="Q28" s="39"/>
      <c r="R28" s="39"/>
      <c r="S28" s="40"/>
    </row>
    <row r="29" spans="1:19" x14ac:dyDescent="0.25">
      <c r="A29" s="2" t="s">
        <v>81</v>
      </c>
      <c r="B29" s="2"/>
      <c r="C29" s="2"/>
      <c r="D29" s="45"/>
      <c r="E29" s="45"/>
      <c r="F29" s="2"/>
      <c r="G29" s="4">
        <f>SUM(G30:G36)</f>
        <v>140792377</v>
      </c>
      <c r="H29" s="4">
        <f>SUM(H30:H36)</f>
        <v>70396190</v>
      </c>
      <c r="I29" s="4">
        <f>SUM(I30:I36)</f>
        <v>70396187</v>
      </c>
      <c r="J29" s="4">
        <f t="shared" ref="J29:Q29" si="4">SUM(J30:J36)</f>
        <v>0</v>
      </c>
      <c r="K29" s="4">
        <f t="shared" si="4"/>
        <v>0</v>
      </c>
      <c r="L29" s="4">
        <f t="shared" si="4"/>
        <v>0</v>
      </c>
      <c r="M29" s="4">
        <f t="shared" si="4"/>
        <v>0</v>
      </c>
      <c r="N29" s="4">
        <f t="shared" si="4"/>
        <v>0</v>
      </c>
      <c r="O29" s="4">
        <f t="shared" si="4"/>
        <v>0</v>
      </c>
      <c r="P29" s="4">
        <f t="shared" si="4"/>
        <v>0</v>
      </c>
      <c r="Q29" s="4">
        <f t="shared" si="4"/>
        <v>70396190</v>
      </c>
      <c r="R29" s="23">
        <f t="shared" si="1"/>
        <v>70396190</v>
      </c>
      <c r="S29" s="8">
        <f t="shared" ref="S29:S36" si="5">R29-H29</f>
        <v>0</v>
      </c>
    </row>
    <row r="30" spans="1:19" x14ac:dyDescent="0.25">
      <c r="A30" s="6" t="s">
        <v>82</v>
      </c>
      <c r="B30" s="6" t="s">
        <v>90</v>
      </c>
      <c r="C30" s="6" t="s">
        <v>18</v>
      </c>
      <c r="D30" s="46">
        <v>87900</v>
      </c>
      <c r="E30" s="46">
        <v>84900</v>
      </c>
      <c r="F30" s="6" t="s">
        <v>19</v>
      </c>
      <c r="G30" s="7">
        <v>117158647</v>
      </c>
      <c r="H30" s="7">
        <f>ROUNDUP(G30*50%,0)</f>
        <v>58579324</v>
      </c>
      <c r="I30" s="7">
        <f>ROUNDDOWN(G30*50%,0)</f>
        <v>58579323</v>
      </c>
      <c r="J30" s="22">
        <f>'Q1'!J30+'Q2'!J30+'Q3'!J30+'Q4'!J30</f>
        <v>0</v>
      </c>
      <c r="K30" s="22">
        <f>'Q1'!K30+'Q2'!K30+'Q3'!K30+'Q4'!K30</f>
        <v>0</v>
      </c>
      <c r="L30" s="22">
        <f>'Q1'!L30+'Q2'!L30+'Q3'!L30+'Q4'!L30</f>
        <v>0</v>
      </c>
      <c r="M30" s="22">
        <f>'Q1'!M30+'Q2'!M30+'Q3'!M30+'Q4'!M30</f>
        <v>0</v>
      </c>
      <c r="N30" s="22">
        <f>'Q1'!N30+'Q2'!N30+'Q3'!N30+'Q4'!N30</f>
        <v>0</v>
      </c>
      <c r="O30" s="22">
        <f>'Q1'!O30+'Q2'!O30+'Q3'!O30+'Q4'!O30</f>
        <v>0</v>
      </c>
      <c r="P30" s="22">
        <f>'Q1'!P30+'Q2'!P30+'Q3'!P30+'Q4'!P30</f>
        <v>0</v>
      </c>
      <c r="Q30" s="22">
        <f>'Q1'!Q30+'Q2'!Q30+'Q3'!Q30+'Q4'!Q30</f>
        <v>58579324</v>
      </c>
      <c r="R30" s="23">
        <f t="shared" si="1"/>
        <v>58579324</v>
      </c>
      <c r="S30" s="8">
        <f t="shared" si="5"/>
        <v>0</v>
      </c>
    </row>
    <row r="31" spans="1:19" x14ac:dyDescent="0.25">
      <c r="A31" s="6" t="s">
        <v>83</v>
      </c>
      <c r="B31" s="6" t="s">
        <v>90</v>
      </c>
      <c r="C31" s="6" t="s">
        <v>18</v>
      </c>
      <c r="D31" s="46">
        <v>87900</v>
      </c>
      <c r="E31" s="46">
        <v>84908</v>
      </c>
      <c r="F31" s="6" t="s">
        <v>19</v>
      </c>
      <c r="G31" s="7">
        <v>2000000</v>
      </c>
      <c r="H31" s="7">
        <f t="shared" ref="H31:H36" si="6">ROUNDUP(G31*50%,0)</f>
        <v>1000000</v>
      </c>
      <c r="I31" s="7">
        <f t="shared" ref="I31:I36" si="7">ROUNDDOWN(G31*50%,0)</f>
        <v>1000000</v>
      </c>
      <c r="J31" s="22">
        <f>'Q1'!J31+'Q2'!J31+'Q3'!J31+'Q4'!J31</f>
        <v>0</v>
      </c>
      <c r="K31" s="22">
        <f>'Q1'!K31+'Q2'!K31+'Q3'!K31+'Q4'!K31</f>
        <v>0</v>
      </c>
      <c r="L31" s="22">
        <f>'Q1'!L31+'Q2'!L31+'Q3'!L31+'Q4'!L31</f>
        <v>0</v>
      </c>
      <c r="M31" s="22">
        <f>'Q1'!M31+'Q2'!M31+'Q3'!M31+'Q4'!M31</f>
        <v>0</v>
      </c>
      <c r="N31" s="22">
        <f>'Q1'!N31+'Q2'!N31+'Q3'!N31+'Q4'!N31</f>
        <v>0</v>
      </c>
      <c r="O31" s="22">
        <f>'Q1'!O31+'Q2'!O31+'Q3'!O31+'Q4'!O31</f>
        <v>0</v>
      </c>
      <c r="P31" s="22">
        <f>'Q1'!P31+'Q2'!P31+'Q3'!P31+'Q4'!P31</f>
        <v>0</v>
      </c>
      <c r="Q31" s="22">
        <f>'Q1'!Q31+'Q2'!Q31+'Q3'!Q31+'Q4'!Q31</f>
        <v>1000000</v>
      </c>
      <c r="R31" s="23">
        <f t="shared" si="1"/>
        <v>1000000</v>
      </c>
      <c r="S31" s="8">
        <f t="shared" si="5"/>
        <v>0</v>
      </c>
    </row>
    <row r="32" spans="1:19" x14ac:dyDescent="0.25">
      <c r="A32" s="6" t="s">
        <v>35</v>
      </c>
      <c r="B32" s="6" t="s">
        <v>90</v>
      </c>
      <c r="C32" s="6" t="s">
        <v>18</v>
      </c>
      <c r="D32" s="46">
        <v>87900</v>
      </c>
      <c r="E32" s="46">
        <v>84900</v>
      </c>
      <c r="F32" s="6" t="s">
        <v>19</v>
      </c>
      <c r="G32" s="7">
        <v>5400000</v>
      </c>
      <c r="H32" s="7">
        <f t="shared" si="6"/>
        <v>2700000</v>
      </c>
      <c r="I32" s="7">
        <f t="shared" si="7"/>
        <v>2700000</v>
      </c>
      <c r="J32" s="22">
        <f>'Q1'!J32+'Q2'!J32+'Q3'!J32+'Q4'!J32</f>
        <v>0</v>
      </c>
      <c r="K32" s="22">
        <f>'Q1'!K32+'Q2'!K32+'Q3'!K32+'Q4'!K32</f>
        <v>0</v>
      </c>
      <c r="L32" s="22">
        <f>'Q1'!L32+'Q2'!L32+'Q3'!L32+'Q4'!L32</f>
        <v>0</v>
      </c>
      <c r="M32" s="22">
        <f>'Q1'!M32+'Q2'!M32+'Q3'!M32+'Q4'!M32</f>
        <v>0</v>
      </c>
      <c r="N32" s="22">
        <f>'Q1'!N32+'Q2'!N32+'Q3'!N32+'Q4'!N32</f>
        <v>0</v>
      </c>
      <c r="O32" s="22">
        <f>'Q1'!O32+'Q2'!O32+'Q3'!O32+'Q4'!O32</f>
        <v>0</v>
      </c>
      <c r="P32" s="22">
        <f>'Q1'!P32+'Q2'!P32+'Q3'!P32+'Q4'!P32</f>
        <v>0</v>
      </c>
      <c r="Q32" s="22">
        <f>'Q1'!Q32+'Q2'!Q32+'Q3'!Q32+'Q4'!Q32</f>
        <v>2700000</v>
      </c>
      <c r="R32" s="23">
        <f t="shared" si="1"/>
        <v>2700000</v>
      </c>
      <c r="S32" s="8">
        <f t="shared" si="5"/>
        <v>0</v>
      </c>
    </row>
    <row r="33" spans="1:19" x14ac:dyDescent="0.25">
      <c r="A33" s="6" t="s">
        <v>36</v>
      </c>
      <c r="B33" s="6" t="s">
        <v>90</v>
      </c>
      <c r="C33" s="6" t="s">
        <v>18</v>
      </c>
      <c r="D33" s="46">
        <v>87900</v>
      </c>
      <c r="E33" s="47">
        <v>84911</v>
      </c>
      <c r="F33" s="6" t="s">
        <v>19</v>
      </c>
      <c r="G33" s="7">
        <v>1000000</v>
      </c>
      <c r="H33" s="7">
        <f t="shared" si="6"/>
        <v>500000</v>
      </c>
      <c r="I33" s="7">
        <f t="shared" si="7"/>
        <v>500000</v>
      </c>
      <c r="J33" s="22">
        <f>'Q1'!J33+'Q2'!J33+'Q3'!J33+'Q4'!J33</f>
        <v>0</v>
      </c>
      <c r="K33" s="22">
        <f>'Q1'!K33+'Q2'!K33+'Q3'!K33+'Q4'!K33</f>
        <v>0</v>
      </c>
      <c r="L33" s="22">
        <f>'Q1'!L33+'Q2'!L33+'Q3'!L33+'Q4'!L33</f>
        <v>0</v>
      </c>
      <c r="M33" s="22">
        <f>'Q1'!M33+'Q2'!M33+'Q3'!M33+'Q4'!M33</f>
        <v>0</v>
      </c>
      <c r="N33" s="22">
        <f>'Q1'!N33+'Q2'!N33+'Q3'!N33+'Q4'!N33</f>
        <v>0</v>
      </c>
      <c r="O33" s="22">
        <f>'Q1'!O33+'Q2'!O33+'Q3'!O33+'Q4'!O33</f>
        <v>0</v>
      </c>
      <c r="P33" s="22">
        <f>'Q1'!P33+'Q2'!P33+'Q3'!P33+'Q4'!P33</f>
        <v>0</v>
      </c>
      <c r="Q33" s="22">
        <f>'Q1'!Q33+'Q2'!Q33+'Q3'!Q33+'Q4'!Q33</f>
        <v>500000</v>
      </c>
      <c r="R33" s="23">
        <f t="shared" si="1"/>
        <v>500000</v>
      </c>
      <c r="S33" s="8">
        <f t="shared" si="5"/>
        <v>0</v>
      </c>
    </row>
    <row r="34" spans="1:19" x14ac:dyDescent="0.25">
      <c r="A34" s="6" t="s">
        <v>84</v>
      </c>
      <c r="B34" s="6" t="s">
        <v>90</v>
      </c>
      <c r="C34" s="6" t="s">
        <v>18</v>
      </c>
      <c r="D34" s="46">
        <v>87900</v>
      </c>
      <c r="E34" s="46">
        <v>84908</v>
      </c>
      <c r="F34" s="6" t="s">
        <v>19</v>
      </c>
      <c r="G34" s="7">
        <v>9722521</v>
      </c>
      <c r="H34" s="7">
        <f t="shared" si="6"/>
        <v>4861261</v>
      </c>
      <c r="I34" s="7">
        <f t="shared" si="7"/>
        <v>4861260</v>
      </c>
      <c r="J34" s="22">
        <f>'Q1'!J34+'Q2'!J34+'Q3'!J34+'Q4'!J34</f>
        <v>0</v>
      </c>
      <c r="K34" s="22">
        <f>'Q1'!K34+'Q2'!K34+'Q3'!K34+'Q4'!K34</f>
        <v>0</v>
      </c>
      <c r="L34" s="22">
        <f>'Q1'!L34+'Q2'!L34+'Q3'!L34+'Q4'!L34</f>
        <v>0</v>
      </c>
      <c r="M34" s="22">
        <f>'Q1'!M34+'Q2'!M34+'Q3'!M34+'Q4'!M34</f>
        <v>0</v>
      </c>
      <c r="N34" s="22">
        <f>'Q1'!N34+'Q2'!N34+'Q3'!N34+'Q4'!N34</f>
        <v>0</v>
      </c>
      <c r="O34" s="22">
        <f>'Q1'!O34+'Q2'!O34+'Q3'!O34+'Q4'!O34</f>
        <v>0</v>
      </c>
      <c r="P34" s="22">
        <f>'Q1'!P34+'Q2'!P34+'Q3'!P34+'Q4'!P34</f>
        <v>0</v>
      </c>
      <c r="Q34" s="22">
        <f>'Q1'!Q34+'Q2'!Q34+'Q3'!Q34+'Q4'!Q34</f>
        <v>4861261</v>
      </c>
      <c r="R34" s="23">
        <f t="shared" si="1"/>
        <v>4861261</v>
      </c>
      <c r="S34" s="8">
        <f t="shared" si="5"/>
        <v>0</v>
      </c>
    </row>
    <row r="35" spans="1:19" x14ac:dyDescent="0.25">
      <c r="A35" s="6" t="s">
        <v>85</v>
      </c>
      <c r="B35" s="6" t="s">
        <v>90</v>
      </c>
      <c r="C35" s="6" t="s">
        <v>18</v>
      </c>
      <c r="D35" s="46">
        <v>87900</v>
      </c>
      <c r="E35" s="46">
        <v>84905</v>
      </c>
      <c r="F35" s="6" t="s">
        <v>19</v>
      </c>
      <c r="G35" s="7">
        <v>4011209</v>
      </c>
      <c r="H35" s="7">
        <f t="shared" si="6"/>
        <v>2005605</v>
      </c>
      <c r="I35" s="7">
        <f t="shared" si="7"/>
        <v>2005604</v>
      </c>
      <c r="J35" s="22">
        <f>'Q1'!J35+'Q2'!J35+'Q3'!J35+'Q4'!J35</f>
        <v>0</v>
      </c>
      <c r="K35" s="22">
        <f>'Q1'!K35+'Q2'!K35+'Q3'!K35+'Q4'!K35</f>
        <v>0</v>
      </c>
      <c r="L35" s="22">
        <f>'Q1'!L35+'Q2'!L35+'Q3'!L35+'Q4'!L35</f>
        <v>0</v>
      </c>
      <c r="M35" s="22">
        <f>'Q1'!M35+'Q2'!M35+'Q3'!M35+'Q4'!M35</f>
        <v>0</v>
      </c>
      <c r="N35" s="22">
        <f>'Q1'!N35+'Q2'!N35+'Q3'!N35+'Q4'!N35</f>
        <v>0</v>
      </c>
      <c r="O35" s="22">
        <f>'Q1'!O35+'Q2'!O35+'Q3'!O35+'Q4'!O35</f>
        <v>0</v>
      </c>
      <c r="P35" s="22">
        <f>'Q1'!P35+'Q2'!P35+'Q3'!P35+'Q4'!P35</f>
        <v>0</v>
      </c>
      <c r="Q35" s="22">
        <f>'Q1'!Q35+'Q2'!Q35+'Q3'!Q35+'Q4'!Q35</f>
        <v>2005605</v>
      </c>
      <c r="R35" s="23">
        <f t="shared" si="1"/>
        <v>2005605</v>
      </c>
      <c r="S35" s="8">
        <f t="shared" si="5"/>
        <v>0</v>
      </c>
    </row>
    <row r="36" spans="1:19" x14ac:dyDescent="0.25">
      <c r="A36" s="6" t="s">
        <v>37</v>
      </c>
      <c r="B36" s="6" t="s">
        <v>90</v>
      </c>
      <c r="C36" s="6" t="s">
        <v>18</v>
      </c>
      <c r="D36" s="46">
        <v>87900</v>
      </c>
      <c r="E36" s="48">
        <v>84912</v>
      </c>
      <c r="F36" s="6" t="s">
        <v>38</v>
      </c>
      <c r="G36" s="7">
        <v>1500000</v>
      </c>
      <c r="H36" s="7">
        <f t="shared" si="6"/>
        <v>750000</v>
      </c>
      <c r="I36" s="7">
        <f t="shared" si="7"/>
        <v>750000</v>
      </c>
      <c r="J36" s="22">
        <f>'Q1'!J36+'Q2'!J36+'Q3'!J36+'Q4'!J36</f>
        <v>0</v>
      </c>
      <c r="K36" s="22">
        <f>'Q1'!K36+'Q2'!K36+'Q3'!K36+'Q4'!K36</f>
        <v>0</v>
      </c>
      <c r="L36" s="22">
        <f>'Q1'!L36+'Q2'!L36+'Q3'!L36+'Q4'!L36</f>
        <v>0</v>
      </c>
      <c r="M36" s="22">
        <f>'Q1'!M36+'Q2'!M36+'Q3'!M36+'Q4'!M36</f>
        <v>0</v>
      </c>
      <c r="N36" s="22">
        <f>'Q1'!N36+'Q2'!N36+'Q3'!N36+'Q4'!N36</f>
        <v>0</v>
      </c>
      <c r="O36" s="22">
        <f>'Q1'!O36+'Q2'!O36+'Q3'!O36+'Q4'!O36</f>
        <v>0</v>
      </c>
      <c r="P36" s="22">
        <f>'Q1'!P36+'Q2'!P36+'Q3'!P36+'Q4'!P36</f>
        <v>0</v>
      </c>
      <c r="Q36" s="22">
        <f>'Q1'!Q36+'Q2'!Q36+'Q3'!Q36+'Q4'!Q36</f>
        <v>750000</v>
      </c>
      <c r="R36" s="23">
        <f t="shared" si="1"/>
        <v>750000</v>
      </c>
      <c r="S36" s="8">
        <f t="shared" si="5"/>
        <v>0</v>
      </c>
    </row>
    <row r="37" spans="1:19" x14ac:dyDescent="0.25">
      <c r="A37" s="6"/>
      <c r="B37" s="6"/>
      <c r="C37" s="6"/>
      <c r="F37" s="6"/>
      <c r="G37" s="7"/>
      <c r="H37" s="7"/>
      <c r="I37" s="7"/>
      <c r="S37" s="8"/>
    </row>
    <row r="38" spans="1:19" x14ac:dyDescent="0.25">
      <c r="A38" s="6"/>
      <c r="B38" s="6"/>
      <c r="C38" s="6"/>
      <c r="F38" s="6"/>
      <c r="G38" s="7"/>
      <c r="H38" s="7"/>
      <c r="I38" s="7"/>
      <c r="S38" s="8"/>
    </row>
    <row r="39" spans="1:19" x14ac:dyDescent="0.25">
      <c r="A39" s="2" t="s">
        <v>86</v>
      </c>
      <c r="B39" s="2"/>
      <c r="C39" s="2"/>
      <c r="D39" s="45"/>
      <c r="E39" s="45"/>
      <c r="F39" s="2"/>
      <c r="G39" s="4">
        <f>SUM(G40:G72)</f>
        <v>64277188</v>
      </c>
      <c r="H39" s="4">
        <f>SUM(H40:H72)</f>
        <v>34875179</v>
      </c>
      <c r="I39" s="4">
        <f>SUM(I40:I72)</f>
        <v>29402009</v>
      </c>
      <c r="J39" s="4">
        <f>SUM(J40:J72)</f>
        <v>257034.57529077807</v>
      </c>
      <c r="K39" s="4">
        <f t="shared" ref="K39:P39" si="8">SUM(K40:K72)</f>
        <v>1393528.4433696119</v>
      </c>
      <c r="L39" s="4">
        <f t="shared" si="8"/>
        <v>20367986.421528563</v>
      </c>
      <c r="M39" s="4">
        <f t="shared" si="8"/>
        <v>7565243.4057961665</v>
      </c>
      <c r="N39" s="4">
        <f t="shared" si="8"/>
        <v>204222.29861004054</v>
      </c>
      <c r="O39" s="4">
        <f t="shared" si="8"/>
        <v>4495565.3290620781</v>
      </c>
      <c r="P39" s="4">
        <f t="shared" si="8"/>
        <v>297598.52634276322</v>
      </c>
      <c r="Q39" s="4">
        <f>SUM(Q40:Q72)</f>
        <v>0</v>
      </c>
      <c r="R39" s="23">
        <f t="shared" si="1"/>
        <v>34581179</v>
      </c>
      <c r="S39" s="8">
        <f t="shared" ref="S39:S69" si="9">R39-H39</f>
        <v>-294000</v>
      </c>
    </row>
    <row r="40" spans="1:19" x14ac:dyDescent="0.25">
      <c r="A40" s="6" t="s">
        <v>39</v>
      </c>
      <c r="B40" s="6" t="s">
        <v>89</v>
      </c>
      <c r="C40" s="6" t="s">
        <v>18</v>
      </c>
      <c r="D40" s="46">
        <v>88981</v>
      </c>
      <c r="E40" s="46">
        <v>84981</v>
      </c>
      <c r="F40" s="6" t="s">
        <v>19</v>
      </c>
      <c r="G40" s="7">
        <v>30849152</v>
      </c>
      <c r="H40" s="7">
        <f>ROUNDUP(G40*49%,0)</f>
        <v>15116085</v>
      </c>
      <c r="I40" s="7">
        <f>ROUNDDOWN(G40*51%,0)</f>
        <v>15733067</v>
      </c>
      <c r="J40" s="22">
        <f>'Q1'!J40+'Q2'!J40+'Q3'!J40+'Q4'!J40</f>
        <v>185619.57529077807</v>
      </c>
      <c r="K40" s="22">
        <f>'Q1'!K40+'Q2'!K40+'Q3'!K40+'Q4'!K40</f>
        <v>1098253.4433696119</v>
      </c>
      <c r="L40" s="22">
        <f>'Q1'!L40+'Q2'!L40+'Q3'!L40+'Q4'!L40</f>
        <v>8362372.421528562</v>
      </c>
      <c r="M40" s="22">
        <f>'Q1'!M40+'Q2'!M40+'Q3'!M40+'Q4'!M40</f>
        <v>3663333.4057961665</v>
      </c>
      <c r="N40" s="22">
        <f>'Q1'!N40+'Q2'!N40+'Q3'!N40+'Q4'!N40</f>
        <v>204222.29861004054</v>
      </c>
      <c r="O40" s="22">
        <f>'Q1'!O40+'Q2'!O40+'Q3'!O40+'Q4'!O40</f>
        <v>1304685.3290620786</v>
      </c>
      <c r="P40" s="22">
        <f>'Q1'!P40+'Q2'!P40+'Q3'!P40+'Q4'!P40</f>
        <v>297598.52634276322</v>
      </c>
      <c r="Q40" s="22">
        <f>'Q1'!Q40+'Q2'!Q40+'Q3'!Q40+'Q4'!Q40</f>
        <v>0</v>
      </c>
      <c r="R40" s="23">
        <f t="shared" si="1"/>
        <v>15116085</v>
      </c>
      <c r="S40" s="8">
        <f t="shared" si="9"/>
        <v>0</v>
      </c>
    </row>
    <row r="41" spans="1:19" x14ac:dyDescent="0.25">
      <c r="A41" s="6" t="s">
        <v>40</v>
      </c>
      <c r="B41" s="6" t="s">
        <v>90</v>
      </c>
      <c r="C41" s="6" t="s">
        <v>18</v>
      </c>
      <c r="D41" s="46">
        <v>88981</v>
      </c>
      <c r="E41" s="46">
        <v>84504</v>
      </c>
      <c r="F41" s="6" t="s">
        <v>19</v>
      </c>
      <c r="G41" s="7">
        <v>4288845</v>
      </c>
      <c r="H41" s="7">
        <f t="shared" ref="H41:H64" si="10">ROUNDUP(G41*49%,0)</f>
        <v>2101535</v>
      </c>
      <c r="I41" s="7">
        <f t="shared" ref="I41:I64" si="11">ROUNDDOWN(G41*51%,0)</f>
        <v>2187310</v>
      </c>
      <c r="J41" s="22">
        <f>'Q1'!J41+'Q2'!J41+'Q3'!J41+'Q4'!J41</f>
        <v>0</v>
      </c>
      <c r="K41" s="22">
        <f>'Q1'!K41+'Q2'!K41+'Q3'!K41+'Q4'!K41</f>
        <v>0</v>
      </c>
      <c r="L41" s="22">
        <f>'Q1'!L41+'Q2'!L41+'Q3'!L41+'Q4'!L41</f>
        <v>2101535</v>
      </c>
      <c r="M41" s="22">
        <f>'Q1'!M41+'Q2'!M41+'Q3'!M41+'Q4'!M41</f>
        <v>0</v>
      </c>
      <c r="N41" s="22">
        <f>'Q1'!N41+'Q2'!N41+'Q3'!N41+'Q4'!N41</f>
        <v>0</v>
      </c>
      <c r="O41" s="22">
        <f>'Q1'!O41+'Q2'!O41+'Q3'!O41+'Q4'!O41</f>
        <v>0</v>
      </c>
      <c r="P41" s="22">
        <f>'Q1'!P41+'Q2'!P41+'Q3'!P41+'Q4'!P41</f>
        <v>0</v>
      </c>
      <c r="Q41" s="22">
        <f>'Q1'!Q41+'Q2'!Q41+'Q3'!Q41+'Q4'!Q41</f>
        <v>0</v>
      </c>
      <c r="R41" s="23">
        <f t="shared" si="1"/>
        <v>2101535</v>
      </c>
      <c r="S41" s="8">
        <f t="shared" si="9"/>
        <v>0</v>
      </c>
    </row>
    <row r="42" spans="1:19" x14ac:dyDescent="0.25">
      <c r="A42" s="6" t="s">
        <v>41</v>
      </c>
      <c r="B42" s="6" t="s">
        <v>90</v>
      </c>
      <c r="C42" s="6" t="s">
        <v>18</v>
      </c>
      <c r="D42" s="46">
        <v>88981</v>
      </c>
      <c r="E42" s="46">
        <v>84981</v>
      </c>
      <c r="F42" s="6" t="s">
        <v>19</v>
      </c>
      <c r="G42" s="7">
        <v>3152391</v>
      </c>
      <c r="H42" s="7">
        <f t="shared" si="10"/>
        <v>1544672</v>
      </c>
      <c r="I42" s="7">
        <f t="shared" si="11"/>
        <v>1607719</v>
      </c>
      <c r="J42" s="22">
        <f>'Q1'!J42+'Q2'!J42+'Q3'!J42+'Q4'!J42</f>
        <v>0</v>
      </c>
      <c r="K42" s="22">
        <f>'Q1'!K42+'Q2'!K42+'Q3'!K42+'Q4'!K42</f>
        <v>0</v>
      </c>
      <c r="L42" s="22">
        <f>'Q1'!L42+'Q2'!L42+'Q3'!L42+'Q4'!L42</f>
        <v>0</v>
      </c>
      <c r="M42" s="22">
        <f>'Q1'!M42+'Q2'!M42+'Q3'!M42+'Q4'!M42</f>
        <v>540636</v>
      </c>
      <c r="N42" s="22">
        <f>'Q1'!N42+'Q2'!N42+'Q3'!N42+'Q4'!N42</f>
        <v>0</v>
      </c>
      <c r="O42" s="22">
        <f>'Q1'!O42+'Q2'!O42+'Q3'!O42+'Q4'!O42</f>
        <v>1004036</v>
      </c>
      <c r="P42" s="22">
        <f>'Q1'!P42+'Q2'!P42+'Q3'!P42+'Q4'!P42</f>
        <v>0</v>
      </c>
      <c r="Q42" s="22">
        <f>'Q1'!Q42+'Q2'!Q42+'Q3'!Q42+'Q4'!Q42</f>
        <v>0</v>
      </c>
      <c r="R42" s="23">
        <f t="shared" si="1"/>
        <v>1544672</v>
      </c>
      <c r="S42" s="8">
        <f t="shared" si="9"/>
        <v>0</v>
      </c>
    </row>
    <row r="43" spans="1:19" x14ac:dyDescent="0.25">
      <c r="A43" s="6" t="s">
        <v>42</v>
      </c>
      <c r="B43" s="6" t="s">
        <v>90</v>
      </c>
      <c r="C43" s="6" t="s">
        <v>18</v>
      </c>
      <c r="D43" s="46">
        <v>88981</v>
      </c>
      <c r="E43" s="46">
        <v>84505</v>
      </c>
      <c r="F43" s="6" t="s">
        <v>19</v>
      </c>
      <c r="G43" s="7">
        <v>2848133</v>
      </c>
      <c r="H43" s="7">
        <f t="shared" si="10"/>
        <v>1395586</v>
      </c>
      <c r="I43" s="7">
        <f t="shared" si="11"/>
        <v>1452547</v>
      </c>
      <c r="J43" s="22">
        <f>'Q1'!J43+'Q2'!J43+'Q3'!J43+'Q4'!J43</f>
        <v>0</v>
      </c>
      <c r="K43" s="22">
        <f>'Q1'!K43+'Q2'!K43+'Q3'!K43+'Q4'!K43</f>
        <v>0</v>
      </c>
      <c r="L43" s="22">
        <f>'Q1'!L43+'Q2'!L43+'Q3'!L43+'Q4'!L43</f>
        <v>0</v>
      </c>
      <c r="M43" s="22">
        <f>'Q1'!M43+'Q2'!M43+'Q3'!M43+'Q4'!M43</f>
        <v>1395586</v>
      </c>
      <c r="N43" s="22">
        <f>'Q1'!N43+'Q2'!N43+'Q3'!N43+'Q4'!N43</f>
        <v>0</v>
      </c>
      <c r="O43" s="22">
        <f>'Q1'!O43+'Q2'!O43+'Q3'!O43+'Q4'!O43</f>
        <v>0</v>
      </c>
      <c r="P43" s="22">
        <f>'Q1'!P43+'Q2'!P43+'Q3'!P43+'Q4'!P43</f>
        <v>0</v>
      </c>
      <c r="Q43" s="22">
        <f>'Q1'!Q43+'Q2'!Q43+'Q3'!Q43+'Q4'!Q43</f>
        <v>0</v>
      </c>
      <c r="R43" s="23">
        <f t="shared" si="1"/>
        <v>1395586</v>
      </c>
      <c r="S43" s="8">
        <f t="shared" si="9"/>
        <v>0</v>
      </c>
    </row>
    <row r="44" spans="1:19" x14ac:dyDescent="0.25">
      <c r="A44" s="6" t="s">
        <v>43</v>
      </c>
      <c r="B44" s="6" t="s">
        <v>90</v>
      </c>
      <c r="C44" s="6" t="s">
        <v>18</v>
      </c>
      <c r="D44" s="46">
        <v>88981</v>
      </c>
      <c r="E44" s="46">
        <v>84981</v>
      </c>
      <c r="F44" s="6" t="s">
        <v>19</v>
      </c>
      <c r="G44" s="7">
        <v>1563951</v>
      </c>
      <c r="H44" s="7">
        <f t="shared" si="10"/>
        <v>766336</v>
      </c>
      <c r="I44" s="7">
        <f t="shared" si="11"/>
        <v>797615</v>
      </c>
      <c r="J44" s="22">
        <f>'Q1'!J44+'Q2'!J44+'Q3'!J44+'Q4'!J44</f>
        <v>0</v>
      </c>
      <c r="K44" s="22">
        <f>'Q1'!K44+'Q2'!K44+'Q3'!K44+'Q4'!K44</f>
        <v>0</v>
      </c>
      <c r="L44" s="22">
        <f>'Q1'!L44+'Q2'!L44+'Q3'!L44+'Q4'!L44</f>
        <v>766336</v>
      </c>
      <c r="M44" s="22">
        <f>'Q1'!M44+'Q2'!M44+'Q3'!M44+'Q4'!M44</f>
        <v>0</v>
      </c>
      <c r="N44" s="22">
        <f>'Q1'!N44+'Q2'!N44+'Q3'!N44+'Q4'!N44</f>
        <v>0</v>
      </c>
      <c r="O44" s="22">
        <f>'Q1'!O44+'Q2'!O44+'Q3'!O44+'Q4'!O44</f>
        <v>0</v>
      </c>
      <c r="P44" s="22">
        <f>'Q1'!P44+'Q2'!P44+'Q3'!P44+'Q4'!P44</f>
        <v>0</v>
      </c>
      <c r="Q44" s="22">
        <f>'Q1'!Q44+'Q2'!Q44+'Q3'!Q44+'Q4'!Q44</f>
        <v>0</v>
      </c>
      <c r="R44" s="23">
        <f t="shared" si="1"/>
        <v>766336</v>
      </c>
      <c r="S44" s="8">
        <f t="shared" si="9"/>
        <v>0</v>
      </c>
    </row>
    <row r="45" spans="1:19" x14ac:dyDescent="0.25">
      <c r="A45" s="6" t="s">
        <v>44</v>
      </c>
      <c r="B45" s="6" t="s">
        <v>90</v>
      </c>
      <c r="C45" s="6" t="s">
        <v>18</v>
      </c>
      <c r="D45" s="46">
        <v>88981</v>
      </c>
      <c r="E45" s="46">
        <v>84981</v>
      </c>
      <c r="F45" s="6" t="s">
        <v>19</v>
      </c>
      <c r="G45" s="7">
        <v>1312851</v>
      </c>
      <c r="H45" s="7">
        <f t="shared" si="10"/>
        <v>643297</v>
      </c>
      <c r="I45" s="7">
        <f t="shared" si="11"/>
        <v>669554</v>
      </c>
      <c r="J45" s="22">
        <f>'Q1'!J45+'Q2'!J45+'Q3'!J45+'Q4'!J45</f>
        <v>0</v>
      </c>
      <c r="K45" s="22">
        <f>'Q1'!K45+'Q2'!K45+'Q3'!K45+'Q4'!K45</f>
        <v>0</v>
      </c>
      <c r="L45" s="22">
        <f>'Q1'!L45+'Q2'!L45+'Q3'!L45+'Q4'!L45</f>
        <v>305566</v>
      </c>
      <c r="M45" s="22">
        <f>'Q1'!M45+'Q2'!M45+'Q3'!M45+'Q4'!M45</f>
        <v>32164</v>
      </c>
      <c r="N45" s="22">
        <f>'Q1'!N45+'Q2'!N45+'Q3'!N45+'Q4'!N45</f>
        <v>0</v>
      </c>
      <c r="O45" s="22">
        <f>'Q1'!O45+'Q2'!O45+'Q3'!O45+'Q4'!O45</f>
        <v>305567</v>
      </c>
      <c r="P45" s="22">
        <f>'Q1'!P45+'Q2'!P45+'Q3'!P45+'Q4'!P45</f>
        <v>0</v>
      </c>
      <c r="Q45" s="22">
        <f>'Q1'!Q45+'Q2'!Q45+'Q3'!Q45+'Q4'!Q45</f>
        <v>0</v>
      </c>
      <c r="R45" s="23">
        <f t="shared" si="1"/>
        <v>643297</v>
      </c>
      <c r="S45" s="8">
        <f t="shared" si="9"/>
        <v>0</v>
      </c>
    </row>
    <row r="46" spans="1:19" x14ac:dyDescent="0.25">
      <c r="A46" s="6" t="s">
        <v>45</v>
      </c>
      <c r="B46" s="6" t="s">
        <v>90</v>
      </c>
      <c r="C46" s="6" t="s">
        <v>18</v>
      </c>
      <c r="D46" s="46">
        <v>88981</v>
      </c>
      <c r="E46" s="46">
        <v>84981</v>
      </c>
      <c r="F46" s="6" t="s">
        <v>19</v>
      </c>
      <c r="G46" s="7">
        <v>1254779</v>
      </c>
      <c r="H46" s="7">
        <f t="shared" si="10"/>
        <v>614842</v>
      </c>
      <c r="I46" s="7">
        <f t="shared" si="11"/>
        <v>639937</v>
      </c>
      <c r="J46" s="22">
        <f>'Q1'!J46+'Q2'!J46+'Q3'!J46+'Q4'!J46</f>
        <v>0</v>
      </c>
      <c r="K46" s="22">
        <f>'Q1'!K46+'Q2'!K46+'Q3'!K46+'Q4'!K46</f>
        <v>0</v>
      </c>
      <c r="L46" s="22">
        <f>'Q1'!L46+'Q2'!L46+'Q3'!L46+'Q4'!L46</f>
        <v>0</v>
      </c>
      <c r="M46" s="22">
        <f>'Q1'!M46+'Q2'!M46+'Q3'!M46+'Q4'!M46</f>
        <v>0</v>
      </c>
      <c r="N46" s="22">
        <f>'Q1'!N46+'Q2'!N46+'Q3'!N46+'Q4'!N46</f>
        <v>0</v>
      </c>
      <c r="O46" s="22">
        <f>'Q1'!O46+'Q2'!O46+'Q3'!O46+'Q4'!O46</f>
        <v>614842</v>
      </c>
      <c r="P46" s="22">
        <f>'Q1'!P46+'Q2'!P46+'Q3'!P46+'Q4'!P46</f>
        <v>0</v>
      </c>
      <c r="Q46" s="22">
        <f>'Q1'!Q46+'Q2'!Q46+'Q3'!Q46+'Q4'!Q46</f>
        <v>0</v>
      </c>
      <c r="R46" s="23">
        <f t="shared" si="1"/>
        <v>614842</v>
      </c>
      <c r="S46" s="8">
        <f t="shared" si="9"/>
        <v>0</v>
      </c>
    </row>
    <row r="47" spans="1:19" x14ac:dyDescent="0.25">
      <c r="A47" s="6" t="s">
        <v>46</v>
      </c>
      <c r="B47" s="6" t="s">
        <v>90</v>
      </c>
      <c r="C47" s="6" t="s">
        <v>18</v>
      </c>
      <c r="D47" s="46">
        <v>88981</v>
      </c>
      <c r="E47" s="46">
        <v>84981</v>
      </c>
      <c r="F47" s="6" t="s">
        <v>19</v>
      </c>
      <c r="G47" s="7">
        <v>781976</v>
      </c>
      <c r="H47" s="7">
        <f t="shared" si="10"/>
        <v>383169</v>
      </c>
      <c r="I47" s="7">
        <f t="shared" si="11"/>
        <v>398807</v>
      </c>
      <c r="J47" s="22">
        <f>'Q1'!J47+'Q2'!J47+'Q3'!J47+'Q4'!J47</f>
        <v>0</v>
      </c>
      <c r="K47" s="22">
        <f>'Q1'!K47+'Q2'!K47+'Q3'!K47+'Q4'!K47</f>
        <v>0</v>
      </c>
      <c r="L47" s="22">
        <f>'Q1'!L47+'Q2'!L47+'Q3'!L47+'Q4'!L47</f>
        <v>383169</v>
      </c>
      <c r="M47" s="22">
        <f>'Q1'!M47+'Q2'!M47+'Q3'!M47+'Q4'!M47</f>
        <v>0</v>
      </c>
      <c r="N47" s="22">
        <f>'Q1'!N47+'Q2'!N47+'Q3'!N47+'Q4'!N47</f>
        <v>0</v>
      </c>
      <c r="O47" s="22">
        <f>'Q1'!O47+'Q2'!O47+'Q3'!O47+'Q4'!O47</f>
        <v>0</v>
      </c>
      <c r="P47" s="22">
        <f>'Q1'!P47+'Q2'!P47+'Q3'!P47+'Q4'!P47</f>
        <v>0</v>
      </c>
      <c r="Q47" s="22">
        <f>'Q1'!Q47+'Q2'!Q47+'Q3'!Q47+'Q4'!Q47</f>
        <v>0</v>
      </c>
      <c r="R47" s="23">
        <f t="shared" si="1"/>
        <v>383169</v>
      </c>
      <c r="S47" s="8">
        <f t="shared" si="9"/>
        <v>0</v>
      </c>
    </row>
    <row r="48" spans="1:19" x14ac:dyDescent="0.25">
      <c r="A48" s="6" t="s">
        <v>47</v>
      </c>
      <c r="B48" s="6" t="s">
        <v>90</v>
      </c>
      <c r="C48" s="6" t="s">
        <v>18</v>
      </c>
      <c r="D48" s="46">
        <v>88981</v>
      </c>
      <c r="E48" s="46">
        <v>84518</v>
      </c>
      <c r="F48" s="6" t="s">
        <v>19</v>
      </c>
      <c r="G48" s="7">
        <v>602602</v>
      </c>
      <c r="H48" s="7">
        <f t="shared" si="10"/>
        <v>295275</v>
      </c>
      <c r="I48" s="7">
        <f t="shared" si="11"/>
        <v>307327</v>
      </c>
      <c r="J48" s="22">
        <f>'Q1'!J48+'Q2'!J48+'Q3'!J48+'Q4'!J48</f>
        <v>0</v>
      </c>
      <c r="K48" s="22">
        <f>'Q1'!K48+'Q2'!K48+'Q3'!K48+'Q4'!K48</f>
        <v>295275</v>
      </c>
      <c r="L48" s="22">
        <f>'Q1'!L48+'Q2'!L48+'Q3'!L48+'Q4'!L48</f>
        <v>0</v>
      </c>
      <c r="M48" s="22">
        <f>'Q1'!M48+'Q2'!M48+'Q3'!M48+'Q4'!M48</f>
        <v>0</v>
      </c>
      <c r="N48" s="22">
        <f>'Q1'!N48+'Q2'!N48+'Q3'!N48+'Q4'!N48</f>
        <v>0</v>
      </c>
      <c r="O48" s="22">
        <f>'Q1'!O48+'Q2'!O48+'Q3'!O48+'Q4'!O48</f>
        <v>0</v>
      </c>
      <c r="P48" s="22">
        <f>'Q1'!P48+'Q2'!P48+'Q3'!P48+'Q4'!P48</f>
        <v>0</v>
      </c>
      <c r="Q48" s="22">
        <f>'Q1'!Q48+'Q2'!Q48+'Q3'!Q48+'Q4'!Q48</f>
        <v>0</v>
      </c>
      <c r="R48" s="23">
        <f t="shared" si="1"/>
        <v>295275</v>
      </c>
      <c r="S48" s="8">
        <f t="shared" si="9"/>
        <v>0</v>
      </c>
    </row>
    <row r="49" spans="1:19" x14ac:dyDescent="0.25">
      <c r="A49" s="6" t="s">
        <v>48</v>
      </c>
      <c r="B49" s="6" t="s">
        <v>90</v>
      </c>
      <c r="C49" s="6" t="s">
        <v>18</v>
      </c>
      <c r="D49" s="46">
        <v>88981</v>
      </c>
      <c r="E49" s="46">
        <v>84981</v>
      </c>
      <c r="F49" s="6" t="s">
        <v>19</v>
      </c>
      <c r="G49" s="7">
        <v>549218</v>
      </c>
      <c r="H49" s="7">
        <f t="shared" si="10"/>
        <v>269117</v>
      </c>
      <c r="I49" s="7">
        <f t="shared" si="11"/>
        <v>280101</v>
      </c>
      <c r="J49" s="22">
        <f>'Q1'!J49+'Q2'!J49+'Q3'!J49+'Q4'!J49</f>
        <v>0</v>
      </c>
      <c r="K49" s="22">
        <f>'Q1'!K49+'Q2'!K49+'Q3'!K49+'Q4'!K49</f>
        <v>0</v>
      </c>
      <c r="L49" s="22">
        <f>'Q1'!L49+'Q2'!L49+'Q3'!L49+'Q4'!L49</f>
        <v>0</v>
      </c>
      <c r="M49" s="22">
        <f>'Q1'!M49+'Q2'!M49+'Q3'!M49+'Q4'!M49</f>
        <v>269117</v>
      </c>
      <c r="N49" s="22">
        <f>'Q1'!N49+'Q2'!N49+'Q3'!N49+'Q4'!N49</f>
        <v>0</v>
      </c>
      <c r="O49" s="22">
        <f>'Q1'!O49+'Q2'!O49+'Q3'!O49+'Q4'!O49</f>
        <v>0</v>
      </c>
      <c r="P49" s="22">
        <f>'Q1'!P49+'Q2'!P49+'Q3'!P49+'Q4'!P49</f>
        <v>0</v>
      </c>
      <c r="Q49" s="22">
        <f>'Q1'!Q49+'Q2'!Q49+'Q3'!Q49+'Q4'!Q49</f>
        <v>0</v>
      </c>
      <c r="R49" s="23">
        <f t="shared" si="1"/>
        <v>269117</v>
      </c>
      <c r="S49" s="8">
        <f t="shared" si="9"/>
        <v>0</v>
      </c>
    </row>
    <row r="50" spans="1:19" x14ac:dyDescent="0.25">
      <c r="A50" s="6" t="s">
        <v>49</v>
      </c>
      <c r="B50" s="6" t="s">
        <v>90</v>
      </c>
      <c r="C50" s="6" t="s">
        <v>18</v>
      </c>
      <c r="D50" s="46">
        <v>88981</v>
      </c>
      <c r="E50" s="46">
        <v>84500</v>
      </c>
      <c r="F50" s="6" t="s">
        <v>19</v>
      </c>
      <c r="G50" s="7">
        <v>503531</v>
      </c>
      <c r="H50" s="7">
        <f t="shared" si="10"/>
        <v>246731</v>
      </c>
      <c r="I50" s="7">
        <f t="shared" si="11"/>
        <v>256800</v>
      </c>
      <c r="J50" s="22">
        <f>'Q1'!J50+'Q2'!J50+'Q3'!J50+'Q4'!J50</f>
        <v>0</v>
      </c>
      <c r="K50" s="22">
        <f>'Q1'!K50+'Q2'!K50+'Q3'!K50+'Q4'!K50</f>
        <v>0</v>
      </c>
      <c r="L50" s="22">
        <f>'Q1'!L50+'Q2'!L50+'Q3'!L50+'Q4'!L50</f>
        <v>246731</v>
      </c>
      <c r="M50" s="22">
        <f>'Q1'!M50+'Q2'!M50+'Q3'!M50+'Q4'!M50</f>
        <v>0</v>
      </c>
      <c r="N50" s="22">
        <f>'Q1'!N50+'Q2'!N50+'Q3'!N50+'Q4'!N50</f>
        <v>0</v>
      </c>
      <c r="O50" s="22">
        <f>'Q1'!O50+'Q2'!O50+'Q3'!O50+'Q4'!O50</f>
        <v>0</v>
      </c>
      <c r="P50" s="22">
        <f>'Q1'!P50+'Q2'!P50+'Q3'!P50+'Q4'!P50</f>
        <v>0</v>
      </c>
      <c r="Q50" s="22">
        <f>'Q1'!Q50+'Q2'!Q50+'Q3'!Q50+'Q4'!Q50</f>
        <v>0</v>
      </c>
      <c r="R50" s="23">
        <f t="shared" si="1"/>
        <v>246731</v>
      </c>
      <c r="S50" s="8">
        <f t="shared" si="9"/>
        <v>0</v>
      </c>
    </row>
    <row r="51" spans="1:19" x14ac:dyDescent="0.25">
      <c r="A51" s="6" t="s">
        <v>50</v>
      </c>
      <c r="B51" s="6" t="s">
        <v>90</v>
      </c>
      <c r="C51" s="6" t="s">
        <v>18</v>
      </c>
      <c r="D51" s="46">
        <v>88981</v>
      </c>
      <c r="E51" s="46">
        <v>84981</v>
      </c>
      <c r="F51" s="6" t="s">
        <v>19</v>
      </c>
      <c r="G51" s="7">
        <v>439153</v>
      </c>
      <c r="H51" s="7">
        <f t="shared" si="10"/>
        <v>215185</v>
      </c>
      <c r="I51" s="7">
        <f t="shared" si="11"/>
        <v>223968</v>
      </c>
      <c r="J51" s="22">
        <f>'Q1'!J51+'Q2'!J51+'Q3'!J51+'Q4'!J51</f>
        <v>0</v>
      </c>
      <c r="K51" s="22">
        <f>'Q1'!K51+'Q2'!K51+'Q3'!K51+'Q4'!K51</f>
        <v>0</v>
      </c>
      <c r="L51" s="22">
        <f>'Q1'!L51+'Q2'!L51+'Q3'!L51+'Q4'!L51</f>
        <v>0</v>
      </c>
      <c r="M51" s="22">
        <f>'Q1'!M51+'Q2'!M51+'Q3'!M51+'Q4'!M51</f>
        <v>0</v>
      </c>
      <c r="N51" s="22">
        <f>'Q1'!N51+'Q2'!N51+'Q3'!N51+'Q4'!N51</f>
        <v>0</v>
      </c>
      <c r="O51" s="22">
        <f>'Q1'!O51+'Q2'!O51+'Q3'!O51+'Q4'!O51</f>
        <v>215185</v>
      </c>
      <c r="P51" s="22">
        <f>'Q1'!P51+'Q2'!P51+'Q3'!P51+'Q4'!P51</f>
        <v>0</v>
      </c>
      <c r="Q51" s="22">
        <f>'Q1'!Q51+'Q2'!Q51+'Q3'!Q51+'Q4'!Q51</f>
        <v>0</v>
      </c>
      <c r="R51" s="23">
        <f t="shared" si="1"/>
        <v>215185</v>
      </c>
      <c r="S51" s="8">
        <f t="shared" si="9"/>
        <v>0</v>
      </c>
    </row>
    <row r="52" spans="1:19" x14ac:dyDescent="0.25">
      <c r="A52" s="6" t="s">
        <v>51</v>
      </c>
      <c r="B52" s="6" t="s">
        <v>90</v>
      </c>
      <c r="C52" s="6" t="s">
        <v>18</v>
      </c>
      <c r="D52" s="46">
        <v>88981</v>
      </c>
      <c r="E52" s="46">
        <v>84981</v>
      </c>
      <c r="F52" s="6" t="s">
        <v>19</v>
      </c>
      <c r="G52" s="7">
        <v>394693</v>
      </c>
      <c r="H52" s="7">
        <f t="shared" si="10"/>
        <v>193400</v>
      </c>
      <c r="I52" s="7">
        <f t="shared" si="11"/>
        <v>201293</v>
      </c>
      <c r="J52" s="22">
        <f>'Q1'!J52+'Q2'!J52+'Q3'!J52+'Q4'!J52</f>
        <v>0</v>
      </c>
      <c r="K52" s="22">
        <f>'Q1'!K52+'Q2'!K52+'Q3'!K52+'Q4'!K52</f>
        <v>0</v>
      </c>
      <c r="L52" s="22">
        <f>'Q1'!L52+'Q2'!L52+'Q3'!L52+'Q4'!L52</f>
        <v>193400</v>
      </c>
      <c r="M52" s="22">
        <f>'Q1'!M52+'Q2'!M52+'Q3'!M52+'Q4'!M52</f>
        <v>0</v>
      </c>
      <c r="N52" s="22">
        <f>'Q1'!N52+'Q2'!N52+'Q3'!N52+'Q4'!N52</f>
        <v>0</v>
      </c>
      <c r="O52" s="22">
        <f>'Q1'!O52+'Q2'!O52+'Q3'!O52+'Q4'!O52</f>
        <v>0</v>
      </c>
      <c r="P52" s="22">
        <f>'Q1'!P52+'Q2'!P52+'Q3'!P52+'Q4'!P52</f>
        <v>0</v>
      </c>
      <c r="Q52" s="22">
        <f>'Q1'!Q52+'Q2'!Q52+'Q3'!Q52+'Q4'!Q52</f>
        <v>0</v>
      </c>
      <c r="R52" s="23">
        <f t="shared" si="1"/>
        <v>193400</v>
      </c>
      <c r="S52" s="8">
        <f t="shared" si="9"/>
        <v>0</v>
      </c>
    </row>
    <row r="53" spans="1:19" x14ac:dyDescent="0.25">
      <c r="A53" s="6" t="s">
        <v>52</v>
      </c>
      <c r="B53" s="6" t="s">
        <v>90</v>
      </c>
      <c r="C53" s="6" t="s">
        <v>18</v>
      </c>
      <c r="D53" s="46">
        <v>88981</v>
      </c>
      <c r="E53" s="46">
        <v>84505</v>
      </c>
      <c r="F53" s="6" t="s">
        <v>19</v>
      </c>
      <c r="G53" s="7">
        <v>228988</v>
      </c>
      <c r="H53" s="7">
        <f t="shared" si="10"/>
        <v>112205</v>
      </c>
      <c r="I53" s="7">
        <f t="shared" si="11"/>
        <v>116783</v>
      </c>
      <c r="J53" s="22">
        <f>'Q1'!J53+'Q2'!J53+'Q3'!J53+'Q4'!J53</f>
        <v>0</v>
      </c>
      <c r="K53" s="22">
        <f>'Q1'!K53+'Q2'!K53+'Q3'!K53+'Q4'!K53</f>
        <v>0</v>
      </c>
      <c r="L53" s="22">
        <f>'Q1'!L53+'Q2'!L53+'Q3'!L53+'Q4'!L53</f>
        <v>0</v>
      </c>
      <c r="M53" s="22">
        <f>'Q1'!M53+'Q2'!M53+'Q3'!M53+'Q4'!M53</f>
        <v>112205</v>
      </c>
      <c r="N53" s="22">
        <f>'Q1'!N53+'Q2'!N53+'Q3'!N53+'Q4'!N53</f>
        <v>0</v>
      </c>
      <c r="O53" s="22">
        <f>'Q1'!O53+'Q2'!O53+'Q3'!O53+'Q4'!O53</f>
        <v>0</v>
      </c>
      <c r="P53" s="22">
        <f>'Q1'!P53+'Q2'!P53+'Q3'!P53+'Q4'!P53</f>
        <v>0</v>
      </c>
      <c r="Q53" s="22">
        <f>'Q1'!Q53+'Q2'!Q53+'Q3'!Q53+'Q4'!Q53</f>
        <v>0</v>
      </c>
      <c r="R53" s="23">
        <f t="shared" si="1"/>
        <v>112205</v>
      </c>
      <c r="S53" s="8">
        <f t="shared" si="9"/>
        <v>0</v>
      </c>
    </row>
    <row r="54" spans="1:19" x14ac:dyDescent="0.25">
      <c r="A54" s="6" t="s">
        <v>53</v>
      </c>
      <c r="B54" s="6" t="s">
        <v>90</v>
      </c>
      <c r="C54" s="6" t="s">
        <v>18</v>
      </c>
      <c r="D54" s="46">
        <v>88981</v>
      </c>
      <c r="E54" s="46">
        <v>88944</v>
      </c>
      <c r="F54" s="6" t="s">
        <v>19</v>
      </c>
      <c r="G54" s="7">
        <v>253073</v>
      </c>
      <c r="H54" s="7">
        <f t="shared" si="10"/>
        <v>124006</v>
      </c>
      <c r="I54" s="7">
        <f t="shared" si="11"/>
        <v>129067</v>
      </c>
      <c r="J54" s="22">
        <f>'Q1'!J54+'Q2'!J54+'Q3'!J54+'Q4'!J54</f>
        <v>0</v>
      </c>
      <c r="K54" s="22">
        <f>'Q1'!K54+'Q2'!K54+'Q3'!K54+'Q4'!K54</f>
        <v>0</v>
      </c>
      <c r="L54" s="22">
        <f>'Q1'!L54+'Q2'!L54+'Q3'!L54+'Q4'!L54</f>
        <v>124006</v>
      </c>
      <c r="M54" s="22">
        <f>'Q1'!M54+'Q2'!M54+'Q3'!M54+'Q4'!M54</f>
        <v>0</v>
      </c>
      <c r="N54" s="22">
        <f>'Q1'!N54+'Q2'!N54+'Q3'!N54+'Q4'!N54</f>
        <v>0</v>
      </c>
      <c r="O54" s="22">
        <f>'Q1'!O54+'Q2'!O54+'Q3'!O54+'Q4'!O54</f>
        <v>0</v>
      </c>
      <c r="P54" s="22">
        <f>'Q1'!P54+'Q2'!P54+'Q3'!P54+'Q4'!P54</f>
        <v>0</v>
      </c>
      <c r="Q54" s="22">
        <f>'Q1'!Q54+'Q2'!Q54+'Q3'!Q54+'Q4'!Q54</f>
        <v>0</v>
      </c>
      <c r="R54" s="23">
        <f t="shared" si="1"/>
        <v>124006</v>
      </c>
      <c r="S54" s="8">
        <f t="shared" si="9"/>
        <v>0</v>
      </c>
    </row>
    <row r="55" spans="1:19" x14ac:dyDescent="0.25">
      <c r="A55" s="6" t="s">
        <v>54</v>
      </c>
      <c r="B55" s="6" t="s">
        <v>90</v>
      </c>
      <c r="C55" s="6" t="s">
        <v>18</v>
      </c>
      <c r="D55" s="46">
        <v>88981</v>
      </c>
      <c r="E55" s="46">
        <v>84981</v>
      </c>
      <c r="F55" s="6" t="s">
        <v>19</v>
      </c>
      <c r="G55" s="7">
        <v>3227009</v>
      </c>
      <c r="H55" s="7">
        <f t="shared" si="10"/>
        <v>1581235</v>
      </c>
      <c r="I55" s="7">
        <f t="shared" si="11"/>
        <v>1645774</v>
      </c>
      <c r="J55" s="22">
        <f>'Q1'!J55+'Q2'!J55+'Q3'!J55+'Q4'!J55</f>
        <v>0</v>
      </c>
      <c r="K55" s="22">
        <f>'Q1'!K55+'Q2'!K55+'Q3'!K55+'Q4'!K55</f>
        <v>0</v>
      </c>
      <c r="L55" s="22">
        <f>'Q1'!L55+'Q2'!L55+'Q3'!L55+'Q4'!L55</f>
        <v>1581235</v>
      </c>
      <c r="M55" s="22">
        <f>'Q1'!M55+'Q2'!M55+'Q3'!M55+'Q4'!M55</f>
        <v>0</v>
      </c>
      <c r="N55" s="22">
        <f>'Q1'!N55+'Q2'!N55+'Q3'!N55+'Q4'!N55</f>
        <v>0</v>
      </c>
      <c r="O55" s="22">
        <f>'Q1'!O55+'Q2'!O55+'Q3'!O55+'Q4'!O55</f>
        <v>0</v>
      </c>
      <c r="P55" s="22">
        <f>'Q1'!P55+'Q2'!P55+'Q3'!P55+'Q4'!P55</f>
        <v>0</v>
      </c>
      <c r="Q55" s="22">
        <f>'Q1'!Q55+'Q2'!Q55+'Q3'!Q55+'Q4'!Q55</f>
        <v>0</v>
      </c>
      <c r="R55" s="23">
        <f t="shared" si="1"/>
        <v>1581235</v>
      </c>
      <c r="S55" s="8">
        <f t="shared" si="9"/>
        <v>0</v>
      </c>
    </row>
    <row r="56" spans="1:19" x14ac:dyDescent="0.25">
      <c r="A56" s="6" t="s">
        <v>55</v>
      </c>
      <c r="B56" s="6" t="s">
        <v>90</v>
      </c>
      <c r="C56" s="6" t="s">
        <v>18</v>
      </c>
      <c r="D56" s="46">
        <v>88981</v>
      </c>
      <c r="E56" s="46">
        <v>84981</v>
      </c>
      <c r="F56" s="6" t="s">
        <v>19</v>
      </c>
      <c r="G56" s="7">
        <v>206464</v>
      </c>
      <c r="H56" s="7">
        <f t="shared" si="10"/>
        <v>101168</v>
      </c>
      <c r="I56" s="7">
        <f t="shared" si="11"/>
        <v>105296</v>
      </c>
      <c r="J56" s="22">
        <f>'Q1'!J56+'Q2'!J56+'Q3'!J56+'Q4'!J56</f>
        <v>0</v>
      </c>
      <c r="K56" s="22">
        <f>'Q1'!K56+'Q2'!K56+'Q3'!K56+'Q4'!K56</f>
        <v>0</v>
      </c>
      <c r="L56" s="22">
        <f>'Q1'!L56+'Q2'!L56+'Q3'!L56+'Q4'!L56</f>
        <v>57463</v>
      </c>
      <c r="M56" s="22">
        <f>'Q1'!M56+'Q2'!M56+'Q3'!M56+'Q4'!M56</f>
        <v>43705</v>
      </c>
      <c r="N56" s="22">
        <f>'Q1'!N56+'Q2'!N56+'Q3'!N56+'Q4'!N56</f>
        <v>0</v>
      </c>
      <c r="O56" s="22">
        <f>'Q1'!O56+'Q2'!O56+'Q3'!O56+'Q4'!O56</f>
        <v>0</v>
      </c>
      <c r="P56" s="22">
        <f>'Q1'!P56+'Q2'!P56+'Q3'!P56+'Q4'!P56</f>
        <v>0</v>
      </c>
      <c r="Q56" s="22">
        <f>'Q1'!Q56+'Q2'!Q56+'Q3'!Q56+'Q4'!Q56</f>
        <v>0</v>
      </c>
      <c r="R56" s="23">
        <f t="shared" si="1"/>
        <v>101168</v>
      </c>
      <c r="S56" s="8">
        <f t="shared" si="9"/>
        <v>0</v>
      </c>
    </row>
    <row r="57" spans="1:19" x14ac:dyDescent="0.25">
      <c r="A57" s="6" t="s">
        <v>56</v>
      </c>
      <c r="B57" s="6" t="s">
        <v>90</v>
      </c>
      <c r="C57" s="6" t="s">
        <v>18</v>
      </c>
      <c r="D57" s="46">
        <v>88981</v>
      </c>
      <c r="E57" s="46">
        <v>84981</v>
      </c>
      <c r="F57" s="6" t="s">
        <v>26</v>
      </c>
      <c r="G57" s="7">
        <v>100000</v>
      </c>
      <c r="H57" s="7">
        <f>G57</f>
        <v>100000</v>
      </c>
      <c r="I57" s="7">
        <v>0</v>
      </c>
      <c r="J57" s="22">
        <f>'Q1'!J57+'Q2'!J57+'Q3'!J57+'Q4'!J57</f>
        <v>0</v>
      </c>
      <c r="K57" s="22">
        <f>'Q1'!K57+'Q2'!K57+'Q3'!K57+'Q4'!K57</f>
        <v>0</v>
      </c>
      <c r="L57" s="22">
        <f>'Q1'!L57+'Q2'!L57+'Q3'!L57+'Q4'!L57</f>
        <v>100000</v>
      </c>
      <c r="M57" s="22">
        <f>'Q1'!M57+'Q2'!M57+'Q3'!M57+'Q4'!M57</f>
        <v>0</v>
      </c>
      <c r="N57" s="22">
        <f>'Q1'!N57+'Q2'!N57+'Q3'!N57+'Q4'!N57</f>
        <v>0</v>
      </c>
      <c r="O57" s="22">
        <f>'Q1'!O57+'Q2'!O57+'Q3'!O57+'Q4'!O57</f>
        <v>0</v>
      </c>
      <c r="P57" s="22">
        <f>'Q1'!P57+'Q2'!P57+'Q3'!P57+'Q4'!P57</f>
        <v>0</v>
      </c>
      <c r="Q57" s="22">
        <f>'Q1'!Q57+'Q2'!Q57+'Q3'!Q57+'Q4'!Q57</f>
        <v>0</v>
      </c>
      <c r="R57" s="23">
        <f t="shared" si="1"/>
        <v>100000</v>
      </c>
      <c r="S57" s="8">
        <f t="shared" si="9"/>
        <v>0</v>
      </c>
    </row>
    <row r="58" spans="1:19" x14ac:dyDescent="0.25">
      <c r="A58" s="6" t="s">
        <v>57</v>
      </c>
      <c r="B58" s="6" t="s">
        <v>90</v>
      </c>
      <c r="C58" s="6" t="s">
        <v>18</v>
      </c>
      <c r="D58" s="46">
        <v>88981</v>
      </c>
      <c r="E58" s="46">
        <v>84981</v>
      </c>
      <c r="F58" s="6" t="s">
        <v>26</v>
      </c>
      <c r="G58" s="7">
        <v>500000</v>
      </c>
      <c r="H58" s="7">
        <v>500000</v>
      </c>
      <c r="I58" s="7"/>
      <c r="J58" s="22">
        <f>'Q1'!J58+'Q2'!J58+'Q3'!J58+'Q4'!J58</f>
        <v>0</v>
      </c>
      <c r="K58" s="22">
        <f>'Q1'!K58+'Q2'!K58+'Q3'!K58+'Q4'!K58</f>
        <v>0</v>
      </c>
      <c r="L58" s="22">
        <f>'Q1'!L58+'Q2'!L58+'Q3'!L58+'Q4'!L58</f>
        <v>0</v>
      </c>
      <c r="M58" s="22">
        <f>'Q1'!M58+'Q2'!M58+'Q3'!M58+'Q4'!M58</f>
        <v>0</v>
      </c>
      <c r="N58" s="22">
        <f>'Q1'!N58+'Q2'!N58+'Q3'!N58+'Q4'!N58</f>
        <v>0</v>
      </c>
      <c r="O58" s="22">
        <f>'Q1'!O58+'Q2'!O58+'Q3'!O58+'Q4'!O58</f>
        <v>500000</v>
      </c>
      <c r="P58" s="22">
        <f>'Q1'!P58+'Q2'!P58+'Q3'!P58+'Q4'!P58</f>
        <v>0</v>
      </c>
      <c r="Q58" s="22">
        <f>'Q1'!Q58+'Q2'!Q58+'Q3'!Q58+'Q4'!Q58</f>
        <v>0</v>
      </c>
      <c r="R58" s="23">
        <f t="shared" si="1"/>
        <v>500000</v>
      </c>
      <c r="S58" s="8">
        <f t="shared" si="9"/>
        <v>0</v>
      </c>
    </row>
    <row r="59" spans="1:19" x14ac:dyDescent="0.25">
      <c r="A59" s="6" t="s">
        <v>58</v>
      </c>
      <c r="B59" s="6" t="s">
        <v>90</v>
      </c>
      <c r="C59" s="6" t="s">
        <v>18</v>
      </c>
      <c r="D59" s="46">
        <v>88981</v>
      </c>
      <c r="E59" s="46">
        <v>84981</v>
      </c>
      <c r="F59" s="6" t="s">
        <v>26</v>
      </c>
      <c r="G59" s="7">
        <v>250000</v>
      </c>
      <c r="H59" s="7">
        <f>G59</f>
        <v>250000</v>
      </c>
      <c r="I59" s="7">
        <v>0</v>
      </c>
      <c r="J59" s="22">
        <f>'Q1'!J59+'Q2'!J59+'Q3'!J59+'Q4'!J59</f>
        <v>0</v>
      </c>
      <c r="K59" s="22">
        <f>'Q1'!K59+'Q2'!K59+'Q3'!K59+'Q4'!K59</f>
        <v>0</v>
      </c>
      <c r="L59" s="22">
        <f>'Q1'!L59+'Q2'!L59+'Q3'!L59+'Q4'!L59</f>
        <v>250000</v>
      </c>
      <c r="M59" s="22">
        <f>'Q1'!M59+'Q2'!M59+'Q3'!M59+'Q4'!M59</f>
        <v>0</v>
      </c>
      <c r="N59" s="22">
        <f>'Q1'!N59+'Q2'!N59+'Q3'!N59+'Q4'!N59</f>
        <v>0</v>
      </c>
      <c r="O59" s="22">
        <f>'Q1'!O59+'Q2'!O59+'Q3'!O59+'Q4'!O59</f>
        <v>0</v>
      </c>
      <c r="P59" s="22">
        <f>'Q1'!P59+'Q2'!P59+'Q3'!P59+'Q4'!P59</f>
        <v>0</v>
      </c>
      <c r="Q59" s="22">
        <f>'Q1'!Q59+'Q2'!Q59+'Q3'!Q59+'Q4'!Q59</f>
        <v>0</v>
      </c>
      <c r="R59" s="23">
        <f>SUM(J59:Q59)</f>
        <v>250000</v>
      </c>
      <c r="S59" s="8">
        <f>R59-H59</f>
        <v>0</v>
      </c>
    </row>
    <row r="60" spans="1:19" x14ac:dyDescent="0.25">
      <c r="A60" s="6" t="s">
        <v>92</v>
      </c>
      <c r="B60" s="6" t="s">
        <v>90</v>
      </c>
      <c r="C60" s="6" t="s">
        <v>18</v>
      </c>
      <c r="D60" s="46">
        <v>88981</v>
      </c>
      <c r="E60" s="46">
        <v>84981</v>
      </c>
      <c r="F60" s="6" t="s">
        <v>26</v>
      </c>
      <c r="G60" s="7">
        <v>195000</v>
      </c>
      <c r="H60" s="7">
        <v>195000</v>
      </c>
      <c r="I60" s="7">
        <v>0</v>
      </c>
      <c r="J60" s="22">
        <v>0</v>
      </c>
      <c r="K60" s="22">
        <v>0</v>
      </c>
      <c r="L60" s="22">
        <v>0</v>
      </c>
      <c r="M60" s="22">
        <f>'Q1'!M60+'Q2'!M60+'Q3'!M60+'Q4'!M60</f>
        <v>195000</v>
      </c>
      <c r="N60" s="22">
        <v>0</v>
      </c>
      <c r="O60" s="22">
        <v>0</v>
      </c>
      <c r="P60" s="22">
        <v>0</v>
      </c>
      <c r="Q60" s="22">
        <v>0</v>
      </c>
      <c r="R60" s="23">
        <f>SUM(J60:Q60)</f>
        <v>195000</v>
      </c>
      <c r="S60" s="8">
        <f>R60-H60</f>
        <v>0</v>
      </c>
    </row>
    <row r="61" spans="1:19" x14ac:dyDescent="0.25">
      <c r="A61" s="6" t="s">
        <v>59</v>
      </c>
      <c r="B61" s="6" t="s">
        <v>90</v>
      </c>
      <c r="C61" s="6" t="s">
        <v>18</v>
      </c>
      <c r="D61" s="48">
        <v>88987</v>
      </c>
      <c r="E61" s="48">
        <v>84914</v>
      </c>
      <c r="F61" s="6" t="s">
        <v>60</v>
      </c>
      <c r="G61" s="7">
        <v>300000</v>
      </c>
      <c r="H61" s="7">
        <f>G61</f>
        <v>300000</v>
      </c>
      <c r="I61" s="7">
        <v>0</v>
      </c>
      <c r="J61" s="22">
        <f>'Q1'!J61+'Q2'!J61+'Q3'!J61+'Q4'!J61</f>
        <v>0</v>
      </c>
      <c r="K61" s="22">
        <f>'Q1'!K61+'Q2'!K61+'Q3'!K61+'Q4'!K61</f>
        <v>0</v>
      </c>
      <c r="L61" s="22">
        <f>'Q1'!L61+'Q2'!L61+'Q3'!L61+'Q4'!L61</f>
        <v>300000</v>
      </c>
      <c r="M61" s="22">
        <f>'Q1'!M61+'Q2'!M61+'Q3'!M61+'Q4'!M61</f>
        <v>0</v>
      </c>
      <c r="N61" s="22">
        <f>'Q1'!N61+'Q2'!N61+'Q3'!N61+'Q4'!N61</f>
        <v>0</v>
      </c>
      <c r="O61" s="22">
        <f>'Q1'!O61+'Q2'!O61+'Q3'!O61+'Q4'!O61</f>
        <v>0</v>
      </c>
      <c r="P61" s="22">
        <f>'Q1'!P61+'Q2'!P61+'Q3'!P61+'Q4'!P61</f>
        <v>0</v>
      </c>
      <c r="Q61" s="22">
        <f>'Q1'!Q61+'Q2'!Q61+'Q3'!Q61+'Q4'!Q61</f>
        <v>0</v>
      </c>
      <c r="R61" s="23">
        <f t="shared" si="1"/>
        <v>300000</v>
      </c>
      <c r="S61" s="8">
        <f t="shared" si="9"/>
        <v>0</v>
      </c>
    </row>
    <row r="62" spans="1:19" x14ac:dyDescent="0.25">
      <c r="A62" s="6" t="s">
        <v>61</v>
      </c>
      <c r="B62" s="6" t="s">
        <v>90</v>
      </c>
      <c r="C62" s="6" t="s">
        <v>18</v>
      </c>
      <c r="D62" s="46">
        <v>88981</v>
      </c>
      <c r="E62" s="46">
        <v>84981</v>
      </c>
      <c r="F62" s="6" t="s">
        <v>33</v>
      </c>
      <c r="G62" s="7">
        <v>846173</v>
      </c>
      <c r="H62" s="7">
        <f>G62</f>
        <v>846173</v>
      </c>
      <c r="I62" s="7">
        <v>0</v>
      </c>
      <c r="J62" s="22">
        <f>'Q1'!J62+'Q2'!J62+'Q3'!J62+'Q4'!J62</f>
        <v>0</v>
      </c>
      <c r="K62" s="22">
        <f>'Q1'!K62+'Q2'!K62+'Q3'!K62+'Q4'!K62</f>
        <v>0</v>
      </c>
      <c r="L62" s="22">
        <f>'Q1'!L62+'Q2'!L62+'Q3'!L62+'Q4'!L62</f>
        <v>846173</v>
      </c>
      <c r="M62" s="22">
        <f>'Q1'!M62+'Q2'!M62+'Q3'!M62+'Q4'!M62</f>
        <v>0</v>
      </c>
      <c r="N62" s="22">
        <f>'Q1'!N62+'Q2'!N62+'Q3'!N62+'Q4'!N62</f>
        <v>0</v>
      </c>
      <c r="O62" s="22">
        <f>'Q1'!O62+'Q2'!O62+'Q3'!O62+'Q4'!O62</f>
        <v>0</v>
      </c>
      <c r="P62" s="22">
        <f>'Q1'!P62+'Q2'!P62+'Q3'!P62+'Q4'!P62</f>
        <v>0</v>
      </c>
      <c r="Q62" s="22">
        <f>'Q1'!Q62+'Q2'!Q62+'Q3'!Q62+'Q4'!Q62</f>
        <v>0</v>
      </c>
      <c r="R62" s="23">
        <f t="shared" si="1"/>
        <v>846173</v>
      </c>
      <c r="S62" s="8">
        <f t="shared" si="9"/>
        <v>0</v>
      </c>
    </row>
    <row r="63" spans="1:19" x14ac:dyDescent="0.25">
      <c r="A63" s="6" t="s">
        <v>62</v>
      </c>
      <c r="B63" s="6" t="s">
        <v>90</v>
      </c>
      <c r="C63" s="6" t="s">
        <v>18</v>
      </c>
      <c r="D63" s="47">
        <v>88989</v>
      </c>
      <c r="E63" s="47">
        <v>84916</v>
      </c>
      <c r="F63" s="6" t="s">
        <v>63</v>
      </c>
      <c r="G63" s="7">
        <v>148462</v>
      </c>
      <c r="H63" s="7">
        <f t="shared" si="10"/>
        <v>72747</v>
      </c>
      <c r="I63" s="7">
        <f t="shared" si="11"/>
        <v>75715</v>
      </c>
      <c r="J63" s="22">
        <f>'Q1'!J63+'Q2'!J63+'Q3'!J63+'Q4'!J63</f>
        <v>0</v>
      </c>
      <c r="K63" s="22">
        <f>'Q1'!K63+'Q2'!K63+'Q3'!K63+'Q4'!K63</f>
        <v>0</v>
      </c>
      <c r="L63" s="22">
        <f>'Q1'!L63+'Q2'!L63+'Q3'!L63+'Q4'!L63</f>
        <v>0</v>
      </c>
      <c r="M63" s="22">
        <f>'Q1'!M63+'Q2'!M63+'Q3'!M63+'Q4'!M63</f>
        <v>72747</v>
      </c>
      <c r="N63" s="22">
        <f>'Q1'!N63+'Q2'!N63+'Q3'!N63+'Q4'!N63</f>
        <v>0</v>
      </c>
      <c r="O63" s="22">
        <f>'Q1'!O63+'Q2'!O63+'Q3'!O63+'Q4'!O63</f>
        <v>0</v>
      </c>
      <c r="P63" s="22">
        <f>'Q1'!P63+'Q2'!P63+'Q3'!P63+'Q4'!P63</f>
        <v>0</v>
      </c>
      <c r="Q63" s="22">
        <f>'Q1'!Q63+'Q2'!Q63+'Q3'!Q63+'Q4'!Q63</f>
        <v>0</v>
      </c>
      <c r="R63" s="23">
        <f t="shared" si="1"/>
        <v>72747</v>
      </c>
      <c r="S63" s="8">
        <f t="shared" si="9"/>
        <v>0</v>
      </c>
    </row>
    <row r="64" spans="1:19" x14ac:dyDescent="0.25">
      <c r="A64" s="6" t="s">
        <v>64</v>
      </c>
      <c r="B64" s="6" t="s">
        <v>90</v>
      </c>
      <c r="C64" s="6" t="s">
        <v>18</v>
      </c>
      <c r="D64" s="47">
        <v>88989</v>
      </c>
      <c r="E64" s="47">
        <v>84916</v>
      </c>
      <c r="F64" s="6" t="s">
        <v>63</v>
      </c>
      <c r="G64" s="7">
        <v>145744</v>
      </c>
      <c r="H64" s="7">
        <f t="shared" si="10"/>
        <v>71415</v>
      </c>
      <c r="I64" s="7">
        <f t="shared" si="11"/>
        <v>74329</v>
      </c>
      <c r="J64" s="22">
        <f>'Q1'!J64+'Q2'!J64+'Q3'!J64+'Q4'!J64</f>
        <v>71415</v>
      </c>
      <c r="K64" s="22">
        <f>'Q1'!K64+'Q2'!K64+'Q3'!K64+'Q4'!K64</f>
        <v>0</v>
      </c>
      <c r="L64" s="22">
        <f>'Q1'!L64+'Q2'!L64+'Q3'!L64+'Q4'!L64</f>
        <v>0</v>
      </c>
      <c r="M64" s="22">
        <f>'Q1'!M64+'Q2'!M64+'Q3'!M64+'Q4'!M64</f>
        <v>0</v>
      </c>
      <c r="N64" s="22">
        <f>'Q1'!N64+'Q2'!N64+'Q3'!N64+'Q4'!N64</f>
        <v>0</v>
      </c>
      <c r="O64" s="22">
        <f>'Q1'!O64+'Q2'!O64+'Q3'!O64+'Q4'!O64</f>
        <v>0</v>
      </c>
      <c r="P64" s="22">
        <f>'Q1'!P64+'Q2'!P64+'Q3'!P64+'Q4'!P64</f>
        <v>0</v>
      </c>
      <c r="Q64" s="22">
        <f>'Q1'!Q64+'Q2'!Q64+'Q3'!Q64+'Q4'!Q64</f>
        <v>0</v>
      </c>
      <c r="R64" s="23">
        <f t="shared" si="1"/>
        <v>71415</v>
      </c>
      <c r="S64" s="8">
        <f t="shared" si="9"/>
        <v>0</v>
      </c>
    </row>
    <row r="65" spans="1:19" x14ac:dyDescent="0.25">
      <c r="A65" s="6" t="s">
        <v>65</v>
      </c>
      <c r="B65" s="6" t="s">
        <v>90</v>
      </c>
      <c r="C65" s="6" t="s">
        <v>18</v>
      </c>
      <c r="D65" s="47">
        <v>88990</v>
      </c>
      <c r="E65" s="47">
        <v>84917</v>
      </c>
      <c r="F65" s="6" t="s">
        <v>28</v>
      </c>
      <c r="G65" s="7">
        <v>420000</v>
      </c>
      <c r="H65" s="7">
        <f>G65</f>
        <v>420000</v>
      </c>
      <c r="I65" s="7">
        <v>0</v>
      </c>
      <c r="J65" s="22">
        <f>'Q1'!J65+'Q2'!J65+'Q3'!J65+'Q4'!J65</f>
        <v>0</v>
      </c>
      <c r="K65" s="22">
        <f>'Q1'!K65+'Q2'!K65+'Q3'!K65+'Q4'!K65</f>
        <v>0</v>
      </c>
      <c r="L65" s="22">
        <f>'Q1'!L65+'Q2'!L65+'Q3'!L65+'Q4'!L65</f>
        <v>0</v>
      </c>
      <c r="M65" s="22">
        <f>'Q1'!M65+'Q2'!M65+'Q3'!M65+'Q4'!M65</f>
        <v>420000</v>
      </c>
      <c r="N65" s="22">
        <f>'Q1'!N65+'Q2'!N65+'Q3'!N65+'Q4'!N65</f>
        <v>0</v>
      </c>
      <c r="O65" s="22">
        <f>'Q1'!O65+'Q2'!O65+'Q3'!O65+'Q4'!O65</f>
        <v>0</v>
      </c>
      <c r="P65" s="22">
        <f>'Q1'!P65+'Q2'!P65+'Q3'!P65+'Q4'!P65</f>
        <v>0</v>
      </c>
      <c r="Q65" s="22">
        <f>'Q1'!Q65+'Q2'!Q65+'Q3'!Q65+'Q4'!Q65</f>
        <v>0</v>
      </c>
      <c r="R65" s="23">
        <f t="shared" si="1"/>
        <v>420000</v>
      </c>
      <c r="S65" s="8">
        <f t="shared" si="9"/>
        <v>0</v>
      </c>
    </row>
    <row r="66" spans="1:19" x14ac:dyDescent="0.25">
      <c r="A66" s="6" t="s">
        <v>66</v>
      </c>
      <c r="B66" s="6" t="s">
        <v>90</v>
      </c>
      <c r="C66" s="6" t="s">
        <v>18</v>
      </c>
      <c r="D66" s="47">
        <v>88991</v>
      </c>
      <c r="E66" s="47">
        <v>84918</v>
      </c>
      <c r="F66" s="6" t="s">
        <v>28</v>
      </c>
      <c r="G66" s="7">
        <v>150000</v>
      </c>
      <c r="H66" s="7">
        <f>G66</f>
        <v>150000</v>
      </c>
      <c r="I66" s="7">
        <v>0</v>
      </c>
      <c r="J66" s="22">
        <f>'Q1'!J66+'Q2'!J66+'Q3'!J66+'Q4'!J66</f>
        <v>0</v>
      </c>
      <c r="K66" s="22">
        <f>'Q1'!K66+'Q2'!K66+'Q3'!K66+'Q4'!K66</f>
        <v>0</v>
      </c>
      <c r="L66" s="22">
        <f>'Q1'!L66+'Q2'!L66+'Q3'!L66+'Q4'!L66</f>
        <v>150000</v>
      </c>
      <c r="M66" s="22">
        <f>'Q1'!M66+'Q2'!M66+'Q3'!M66+'Q4'!M66</f>
        <v>0</v>
      </c>
      <c r="N66" s="22">
        <f>'Q1'!N66+'Q2'!N66+'Q3'!N66+'Q4'!N66</f>
        <v>0</v>
      </c>
      <c r="O66" s="22">
        <f>'Q1'!O66+'Q2'!O66+'Q3'!O66+'Q4'!O66</f>
        <v>0</v>
      </c>
      <c r="P66" s="22">
        <f>'Q1'!P66+'Q2'!P66+'Q3'!P66+'Q4'!P66</f>
        <v>0</v>
      </c>
      <c r="Q66" s="22">
        <f>'Q1'!Q66+'Q2'!Q66+'Q3'!Q66+'Q4'!Q66</f>
        <v>0</v>
      </c>
      <c r="R66" s="23">
        <f t="shared" si="1"/>
        <v>150000</v>
      </c>
      <c r="S66" s="8">
        <f t="shared" si="9"/>
        <v>0</v>
      </c>
    </row>
    <row r="67" spans="1:19" x14ac:dyDescent="0.25">
      <c r="A67" s="6" t="s">
        <v>67</v>
      </c>
      <c r="B67" s="6" t="s">
        <v>90</v>
      </c>
      <c r="C67" s="6" t="s">
        <v>18</v>
      </c>
      <c r="D67" s="47">
        <v>88992</v>
      </c>
      <c r="E67" s="47">
        <v>84919</v>
      </c>
      <c r="F67" s="6" t="s">
        <v>28</v>
      </c>
      <c r="G67" s="7">
        <v>365000</v>
      </c>
      <c r="H67" s="7">
        <f>G67</f>
        <v>365000</v>
      </c>
      <c r="I67" s="7">
        <v>0</v>
      </c>
      <c r="J67" s="22">
        <f>'Q1'!J67+'Q2'!J67+'Q3'!J67+'Q4'!J67</f>
        <v>0</v>
      </c>
      <c r="K67" s="22">
        <f>'Q1'!K67+'Q2'!K67+'Q3'!K67+'Q4'!K67</f>
        <v>0</v>
      </c>
      <c r="L67" s="22">
        <f>'Q1'!L67+'Q2'!L67+'Q3'!L67+'Q4'!L67</f>
        <v>365000</v>
      </c>
      <c r="M67" s="22">
        <f>'Q1'!M67+'Q2'!M67+'Q3'!M67+'Q4'!M67</f>
        <v>0</v>
      </c>
      <c r="N67" s="22">
        <f>'Q1'!N67+'Q2'!N67+'Q3'!N67+'Q4'!N67</f>
        <v>0</v>
      </c>
      <c r="O67" s="22">
        <f>'Q1'!O67+'Q2'!O67+'Q3'!O67+'Q4'!O67</f>
        <v>0</v>
      </c>
      <c r="P67" s="22">
        <f>'Q1'!P67+'Q2'!P67+'Q3'!P67+'Q4'!P67</f>
        <v>0</v>
      </c>
      <c r="Q67" s="22">
        <f>'Q1'!Q67+'Q2'!Q67+'Q3'!Q67+'Q4'!Q67</f>
        <v>0</v>
      </c>
      <c r="R67" s="23">
        <f t="shared" si="1"/>
        <v>365000</v>
      </c>
      <c r="S67" s="8">
        <f t="shared" si="9"/>
        <v>0</v>
      </c>
    </row>
    <row r="68" spans="1:19" x14ac:dyDescent="0.25">
      <c r="A68" s="6" t="s">
        <v>68</v>
      </c>
      <c r="B68" s="6" t="s">
        <v>90</v>
      </c>
      <c r="C68" s="6" t="s">
        <v>18</v>
      </c>
      <c r="D68" s="47">
        <v>86901</v>
      </c>
      <c r="E68" s="47">
        <v>84920</v>
      </c>
      <c r="F68" s="6" t="s">
        <v>31</v>
      </c>
      <c r="G68" s="7">
        <v>500000</v>
      </c>
      <c r="H68" s="7">
        <f>G68</f>
        <v>500000</v>
      </c>
      <c r="I68" s="7">
        <v>0</v>
      </c>
      <c r="J68" s="22">
        <f>'Q1'!J68+'Q2'!J68+'Q3'!J68+'Q4'!J68</f>
        <v>0</v>
      </c>
      <c r="K68" s="22">
        <f>'Q1'!K68+'Q2'!K68+'Q3'!K68+'Q4'!K68</f>
        <v>0</v>
      </c>
      <c r="L68" s="22">
        <f>'Q1'!L68+'Q2'!L68+'Q3'!L68+'Q4'!L68</f>
        <v>500000</v>
      </c>
      <c r="M68" s="22">
        <f>'Q1'!M68+'Q2'!M68+'Q3'!M68+'Q4'!M68</f>
        <v>0</v>
      </c>
      <c r="N68" s="22">
        <f>'Q1'!N68+'Q2'!N68+'Q3'!N68+'Q4'!N68</f>
        <v>0</v>
      </c>
      <c r="O68" s="22">
        <f>'Q1'!O68+'Q2'!O68+'Q3'!O68+'Q4'!O68</f>
        <v>0</v>
      </c>
      <c r="P68" s="22">
        <f>'Q1'!P68+'Q2'!P68+'Q3'!P68+'Q4'!P68</f>
        <v>0</v>
      </c>
      <c r="Q68" s="22">
        <f>'Q1'!Q68+'Q2'!Q68+'Q3'!Q68+'Q4'!Q68</f>
        <v>0</v>
      </c>
      <c r="R68" s="23">
        <f t="shared" si="1"/>
        <v>500000</v>
      </c>
      <c r="S68" s="8">
        <f t="shared" si="9"/>
        <v>0</v>
      </c>
    </row>
    <row r="69" spans="1:19" x14ac:dyDescent="0.25">
      <c r="A69" s="6" t="s">
        <v>69</v>
      </c>
      <c r="B69" s="6" t="s">
        <v>90</v>
      </c>
      <c r="C69" s="6" t="s">
        <v>18</v>
      </c>
      <c r="D69" s="47">
        <v>88988</v>
      </c>
      <c r="E69" s="47">
        <v>84915</v>
      </c>
      <c r="F69" s="6" t="s">
        <v>70</v>
      </c>
      <c r="G69" s="7">
        <v>3000000</v>
      </c>
      <c r="H69" s="7">
        <f>G69</f>
        <v>3000000</v>
      </c>
      <c r="I69" s="7">
        <v>0</v>
      </c>
      <c r="J69" s="22">
        <f>'Q1'!J69+'Q2'!J69+'Q3'!J69+'Q4'!J69</f>
        <v>0</v>
      </c>
      <c r="K69" s="22">
        <f>'Q1'!K69+'Q2'!K69+'Q3'!K69+'Q4'!K69</f>
        <v>0</v>
      </c>
      <c r="L69" s="22">
        <f>'Q1'!L69+'Q2'!L69+'Q3'!L69+'Q4'!L69</f>
        <v>3000000</v>
      </c>
      <c r="M69" s="22">
        <f>'Q1'!M69+'Q2'!M69+'Q3'!M69+'Q4'!M69</f>
        <v>0</v>
      </c>
      <c r="N69" s="22">
        <f>'Q1'!N69+'Q2'!N69+'Q3'!N69+'Q4'!N69</f>
        <v>0</v>
      </c>
      <c r="O69" s="22">
        <f>'Q1'!O69+'Q2'!O69+'Q3'!O69+'Q4'!O69</f>
        <v>0</v>
      </c>
      <c r="P69" s="22">
        <f>'Q1'!P69+'Q2'!P69+'Q3'!P69+'Q4'!P69</f>
        <v>0</v>
      </c>
      <c r="Q69" s="22">
        <f>'Q1'!Q69+'Q2'!Q69+'Q3'!Q69+'Q4'!Q69</f>
        <v>0</v>
      </c>
      <c r="R69" s="23">
        <f t="shared" si="1"/>
        <v>3000000</v>
      </c>
      <c r="S69" s="8">
        <f t="shared" si="9"/>
        <v>0</v>
      </c>
    </row>
    <row r="70" spans="1:19" s="32" customFormat="1" x14ac:dyDescent="0.25">
      <c r="A70" s="31" t="s">
        <v>95</v>
      </c>
      <c r="B70" s="32" t="s">
        <v>90</v>
      </c>
      <c r="C70" s="33" t="s">
        <v>18</v>
      </c>
      <c r="D70" s="49">
        <v>30000</v>
      </c>
      <c r="E70" s="49">
        <v>30520</v>
      </c>
      <c r="F70" s="33" t="s">
        <v>98</v>
      </c>
      <c r="G70" s="34">
        <v>2500000</v>
      </c>
      <c r="H70" s="7">
        <f>ROUNDUP(G70*49%,0)</f>
        <v>1225000</v>
      </c>
      <c r="I70" s="7">
        <f>ROUNDUP(G70*51%,0)</f>
        <v>1275000</v>
      </c>
      <c r="J70" s="22">
        <f>'Q1'!J70+'Q2'!J70+'Q3'!J70+'Q4'!J70</f>
        <v>0</v>
      </c>
      <c r="K70" s="22">
        <f>'Q1'!K70+'Q2'!K70+'Q3'!K70+'Q4'!K70</f>
        <v>0</v>
      </c>
      <c r="L70" s="22">
        <f>'Q1'!L70+'Q2'!L70+'Q3'!L70+'Q4'!L70</f>
        <v>245000</v>
      </c>
      <c r="M70" s="22">
        <f>'Q1'!M70+'Q2'!M70+'Q3'!M70+'Q4'!M70</f>
        <v>637000</v>
      </c>
      <c r="N70" s="22">
        <f>'Q1'!N70+'Q2'!N70+'Q3'!N70+'Q4'!N70</f>
        <v>0</v>
      </c>
      <c r="O70" s="22">
        <f>'Q1'!O70+'Q2'!O70+'Q3'!O70+'Q4'!O70</f>
        <v>343000</v>
      </c>
      <c r="P70" s="22">
        <f>'Q1'!P70+'Q2'!P70+'Q3'!P70+'Q4'!P70</f>
        <v>0</v>
      </c>
      <c r="Q70" s="22">
        <f>'Q1'!Q70+'Q2'!Q70+'Q3'!Q70+'Q4'!Q70</f>
        <v>0</v>
      </c>
      <c r="R70" s="23">
        <f>SUM(J70:Q70)</f>
        <v>1225000</v>
      </c>
      <c r="S70" s="8">
        <f>R70-H70</f>
        <v>0</v>
      </c>
    </row>
    <row r="71" spans="1:19" s="32" customFormat="1" x14ac:dyDescent="0.25">
      <c r="A71" s="31" t="s">
        <v>96</v>
      </c>
      <c r="B71" s="32" t="s">
        <v>90</v>
      </c>
      <c r="C71" s="33" t="s">
        <v>18</v>
      </c>
      <c r="D71" s="49">
        <v>30000</v>
      </c>
      <c r="E71" s="49">
        <v>30521</v>
      </c>
      <c r="F71" s="33" t="s">
        <v>98</v>
      </c>
      <c r="G71" s="34">
        <v>2150000</v>
      </c>
      <c r="H71" s="7">
        <f>ROUNDUP(G71*49%,0)</f>
        <v>1053500</v>
      </c>
      <c r="I71" s="7">
        <f>ROUNDUP(G71*51%,0)</f>
        <v>1096500</v>
      </c>
      <c r="J71" s="22">
        <f>'Q1'!J71+'Q2'!J71+'Q3'!J71+'Q4'!J71</f>
        <v>0</v>
      </c>
      <c r="K71" s="22">
        <f>'Q1'!K71+'Q2'!K71+'Q3'!K71+'Q4'!K71</f>
        <v>0</v>
      </c>
      <c r="L71" s="22">
        <f>'Q1'!L71+'Q2'!L71+'Q3'!L71+'Q4'!L71</f>
        <v>490000</v>
      </c>
      <c r="M71" s="22">
        <f>'Q1'!M71+'Q2'!M71+'Q3'!M71+'Q4'!M71</f>
        <v>183750</v>
      </c>
      <c r="N71" s="22">
        <f>'Q1'!N71+'Q2'!N71+'Q3'!N71+'Q4'!N71</f>
        <v>0</v>
      </c>
      <c r="O71" s="22">
        <f>'Q1'!O71+'Q2'!O71+'Q3'!O71+'Q4'!O71</f>
        <v>208250</v>
      </c>
      <c r="P71" s="22">
        <f>'Q1'!P71+'Q2'!P71+'Q3'!P71+'Q4'!P71</f>
        <v>0</v>
      </c>
      <c r="Q71" s="22">
        <f>'Q1'!Q71+'Q2'!Q71+'Q3'!Q71+'Q4'!Q71</f>
        <v>0</v>
      </c>
      <c r="R71" s="23">
        <f>SUM(J71:Q71)</f>
        <v>882000</v>
      </c>
      <c r="S71" s="8">
        <f>R71-H71</f>
        <v>-171500</v>
      </c>
    </row>
    <row r="72" spans="1:19" s="32" customFormat="1" x14ac:dyDescent="0.25">
      <c r="A72" s="31" t="s">
        <v>97</v>
      </c>
      <c r="B72" s="32" t="s">
        <v>90</v>
      </c>
      <c r="C72" s="33" t="s">
        <v>18</v>
      </c>
      <c r="D72" s="49">
        <v>30000</v>
      </c>
      <c r="E72" s="49">
        <v>30522</v>
      </c>
      <c r="F72" s="33" t="s">
        <v>98</v>
      </c>
      <c r="G72" s="34">
        <v>250000</v>
      </c>
      <c r="H72" s="7">
        <f>ROUNDUP(G72*49%,0)</f>
        <v>122500</v>
      </c>
      <c r="I72" s="7">
        <f>ROUNDUP(G72*51%,0)</f>
        <v>127500</v>
      </c>
      <c r="J72" s="22">
        <f>'Q1'!J72+'Q2'!J72+'Q3'!J72+'Q4'!J72</f>
        <v>0</v>
      </c>
      <c r="K72" s="22">
        <f>'Q1'!K72+'Q2'!K72+'Q3'!K72+'Q4'!K72</f>
        <v>0</v>
      </c>
      <c r="L72" s="22">
        <f>'Q1'!L72+'Q2'!L72+'Q3'!L72+'Q4'!L72</f>
        <v>0</v>
      </c>
      <c r="M72" s="22">
        <f>'Q1'!M72+'Q2'!M72+'Q3'!M72+'Q4'!M72</f>
        <v>0</v>
      </c>
      <c r="N72" s="22">
        <f>'Q1'!N72+'Q2'!N72+'Q3'!N72+'Q4'!N72</f>
        <v>0</v>
      </c>
      <c r="O72" s="22">
        <f>'Q1'!O72+'Q2'!O72+'Q3'!O72+'Q4'!O72</f>
        <v>0</v>
      </c>
      <c r="P72" s="22">
        <f>'Q1'!P72+'Q2'!P72+'Q3'!P72+'Q4'!P72</f>
        <v>0</v>
      </c>
      <c r="Q72" s="22">
        <f>'Q1'!Q72+'Q2'!Q72+'Q3'!Q72+'Q4'!Q72</f>
        <v>0</v>
      </c>
      <c r="R72" s="23">
        <f>SUM(J72:Q72)</f>
        <v>0</v>
      </c>
      <c r="S72" s="8">
        <f>R72-H72</f>
        <v>-122500</v>
      </c>
    </row>
    <row r="73" spans="1:19" x14ac:dyDescent="0.25">
      <c r="A73" s="6"/>
      <c r="B73" s="6"/>
      <c r="C73" s="6"/>
      <c r="F73" s="6"/>
      <c r="G73" s="7"/>
      <c r="H73" s="7"/>
      <c r="I73" s="7"/>
      <c r="S73" s="8"/>
    </row>
    <row r="74" spans="1:19" x14ac:dyDescent="0.25">
      <c r="A74" s="6"/>
      <c r="B74" s="6"/>
      <c r="C74" s="6"/>
      <c r="F74" s="6"/>
      <c r="G74" s="7"/>
      <c r="H74" s="7"/>
      <c r="I74" s="7"/>
      <c r="S74" s="8"/>
    </row>
    <row r="75" spans="1:19" x14ac:dyDescent="0.25">
      <c r="A75" s="2" t="s">
        <v>71</v>
      </c>
      <c r="B75" s="2"/>
      <c r="C75" s="2"/>
      <c r="D75" s="45"/>
      <c r="E75" s="45"/>
      <c r="F75" s="2"/>
      <c r="G75" s="4">
        <f>G39+G29+G25+G10+G8+G5+G27</f>
        <v>1484694253</v>
      </c>
      <c r="H75" s="4">
        <f t="shared" ref="H75:Q75" si="12">H39+H29+H25+H10+H8+H5+H27</f>
        <v>738942652</v>
      </c>
      <c r="I75" s="4">
        <f>I39+I29+I25+I10+I8+I5+I27</f>
        <v>745751601</v>
      </c>
      <c r="J75" s="4">
        <f t="shared" si="12"/>
        <v>26311732.575290777</v>
      </c>
      <c r="K75" s="4">
        <f t="shared" si="12"/>
        <v>38246152.443369612</v>
      </c>
      <c r="L75" s="4">
        <f t="shared" si="12"/>
        <v>303646915.06152856</v>
      </c>
      <c r="M75" s="4">
        <f t="shared" si="12"/>
        <v>134129799.40579617</v>
      </c>
      <c r="N75" s="4">
        <f t="shared" si="12"/>
        <v>30187575.298610035</v>
      </c>
      <c r="O75" s="4">
        <f t="shared" si="12"/>
        <v>99535113.32906206</v>
      </c>
      <c r="P75" s="4">
        <f t="shared" si="12"/>
        <v>36195171.526342757</v>
      </c>
      <c r="Q75" s="4">
        <f t="shared" si="12"/>
        <v>70396190</v>
      </c>
      <c r="R75" s="23">
        <f>SUM(J75:Q75)</f>
        <v>738648649.63999999</v>
      </c>
      <c r="S75" s="8">
        <f>R75-H75</f>
        <v>-294002.36000001431</v>
      </c>
    </row>
    <row r="76" spans="1:19" x14ac:dyDescent="0.25">
      <c r="A76" s="2"/>
      <c r="B76" s="2"/>
      <c r="C76" s="2"/>
      <c r="D76" s="45"/>
      <c r="E76" s="45"/>
      <c r="F76" s="2"/>
      <c r="G76" s="4"/>
      <c r="H76" s="4"/>
      <c r="I7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8"/>
  <sheetViews>
    <sheetView zoomScale="70" zoomScaleNormal="70" workbookViewId="0">
      <pane ySplit="1" topLeftCell="A2" activePane="bottomLeft" state="frozen"/>
      <selection pane="bottomLeft" activeCell="D1" sqref="D1:E1048576"/>
    </sheetView>
  </sheetViews>
  <sheetFormatPr defaultColWidth="9.140625" defaultRowHeight="15" x14ac:dyDescent="0.25"/>
  <cols>
    <col min="1" max="1" width="49.5703125" style="1" customWidth="1"/>
    <col min="2" max="2" width="11" style="1" customWidth="1"/>
    <col min="3" max="3" width="5.28515625" style="1" bestFit="1" customWidth="1"/>
    <col min="4" max="4" width="8.42578125" style="46" bestFit="1" customWidth="1"/>
    <col min="5" max="5" width="9.140625" style="46" customWidth="1"/>
    <col min="6" max="6" width="7.85546875" style="1" bestFit="1" customWidth="1"/>
    <col min="7" max="9" width="16.85546875" style="1" bestFit="1" customWidth="1"/>
    <col min="10" max="10" width="13.28515625" style="10" bestFit="1" customWidth="1"/>
    <col min="11" max="11" width="14.28515625" style="10" bestFit="1" customWidth="1"/>
    <col min="12" max="12" width="15.28515625" style="10" bestFit="1" customWidth="1"/>
    <col min="13" max="13" width="14.28515625" style="10" bestFit="1" customWidth="1"/>
    <col min="14" max="14" width="14.140625" style="10" bestFit="1" customWidth="1"/>
    <col min="15" max="16" width="14.28515625" style="10" bestFit="1" customWidth="1"/>
    <col min="17" max="17" width="15.28515625" style="10" bestFit="1" customWidth="1"/>
    <col min="18" max="18" width="15.140625" style="1" bestFit="1" customWidth="1"/>
    <col min="19" max="19" width="13.28515625" style="12" bestFit="1" customWidth="1"/>
    <col min="20" max="16384" width="9.140625" style="1"/>
  </cols>
  <sheetData>
    <row r="1" spans="1:19" x14ac:dyDescent="0.25">
      <c r="A1" s="2" t="s">
        <v>11</v>
      </c>
      <c r="B1" s="2" t="s">
        <v>88</v>
      </c>
      <c r="C1" s="2" t="s">
        <v>12</v>
      </c>
      <c r="D1" s="45" t="s">
        <v>13</v>
      </c>
      <c r="E1" s="45" t="s">
        <v>0</v>
      </c>
      <c r="F1" s="2" t="s">
        <v>14</v>
      </c>
      <c r="G1" s="3" t="s">
        <v>15</v>
      </c>
      <c r="H1" s="4" t="s">
        <v>16</v>
      </c>
      <c r="I1" s="4" t="s">
        <v>17</v>
      </c>
      <c r="J1" s="13" t="s">
        <v>1</v>
      </c>
      <c r="K1" s="13" t="s">
        <v>2</v>
      </c>
      <c r="L1" s="13" t="s">
        <v>3</v>
      </c>
      <c r="M1" s="13" t="s">
        <v>4</v>
      </c>
      <c r="N1" s="13" t="s">
        <v>5</v>
      </c>
      <c r="O1" s="13" t="s">
        <v>6</v>
      </c>
      <c r="P1" s="13" t="s">
        <v>7</v>
      </c>
      <c r="Q1" s="13" t="s">
        <v>8</v>
      </c>
      <c r="R1" s="5" t="s">
        <v>9</v>
      </c>
      <c r="S1" s="11" t="s">
        <v>10</v>
      </c>
    </row>
    <row r="2" spans="1:19" x14ac:dyDescent="0.25">
      <c r="A2" s="6"/>
      <c r="B2" s="6"/>
      <c r="C2" s="6"/>
      <c r="F2" s="6"/>
      <c r="G2" s="7"/>
      <c r="H2" s="7"/>
      <c r="I2" s="7"/>
      <c r="R2" s="9"/>
    </row>
    <row r="3" spans="1:19" x14ac:dyDescent="0.25">
      <c r="A3" s="2" t="s">
        <v>72</v>
      </c>
      <c r="B3" s="2"/>
      <c r="C3" s="2"/>
      <c r="D3" s="45"/>
      <c r="E3" s="45"/>
      <c r="F3" s="2"/>
      <c r="G3" s="4">
        <f>G5+G8</f>
        <v>1005047933</v>
      </c>
      <c r="H3" s="4">
        <f>H5+H8</f>
        <v>495617373</v>
      </c>
      <c r="I3" s="4">
        <f>I5+I8</f>
        <v>509430560</v>
      </c>
      <c r="R3" s="9"/>
    </row>
    <row r="4" spans="1:19" s="6" customFormat="1" x14ac:dyDescent="0.25">
      <c r="A4" s="6" t="s">
        <v>73</v>
      </c>
      <c r="B4" s="6" t="s">
        <v>89</v>
      </c>
      <c r="C4" s="6" t="s">
        <v>18</v>
      </c>
      <c r="D4" s="46">
        <v>88983</v>
      </c>
      <c r="E4" s="46">
        <v>84983</v>
      </c>
      <c r="F4" s="6" t="s">
        <v>19</v>
      </c>
      <c r="G4" s="7">
        <f>998717592+165859</f>
        <v>998883451</v>
      </c>
      <c r="H4" s="7">
        <f>ROUNDUP(G4*49%,0)</f>
        <v>489452891</v>
      </c>
      <c r="I4" s="7">
        <f>ROUNDDOWN(G4*51%,0)</f>
        <v>509430560</v>
      </c>
      <c r="J4" s="14">
        <v>8465003</v>
      </c>
      <c r="K4" s="14">
        <v>12379357</v>
      </c>
      <c r="L4" s="14">
        <v>56917699</v>
      </c>
      <c r="M4" s="14">
        <v>43705392</v>
      </c>
      <c r="N4" s="14">
        <v>9956863</v>
      </c>
      <c r="O4" s="14">
        <v>32845471</v>
      </c>
      <c r="P4" s="14">
        <v>11933257</v>
      </c>
      <c r="Q4" s="15"/>
      <c r="R4" s="16">
        <f>J4+K4+L4+M4+N4+O4+P4+Q4</f>
        <v>176203042</v>
      </c>
      <c r="S4" s="17"/>
    </row>
    <row r="5" spans="1:19" x14ac:dyDescent="0.25">
      <c r="A5" s="2" t="s">
        <v>74</v>
      </c>
      <c r="B5" s="2"/>
      <c r="C5" s="2"/>
      <c r="D5" s="45"/>
      <c r="E5" s="45"/>
      <c r="F5" s="2"/>
      <c r="G5" s="4">
        <f>SUM(G4:G4)</f>
        <v>998883451</v>
      </c>
      <c r="H5" s="4">
        <f>SUM(H4:H4)</f>
        <v>489452891</v>
      </c>
      <c r="I5" s="4">
        <f t="shared" ref="I5:Q5" si="0">SUM(I4:I4)</f>
        <v>509430560</v>
      </c>
      <c r="J5" s="4">
        <f t="shared" si="0"/>
        <v>8465003</v>
      </c>
      <c r="K5" s="4">
        <f t="shared" si="0"/>
        <v>12379357</v>
      </c>
      <c r="L5" s="4">
        <f t="shared" si="0"/>
        <v>56917699</v>
      </c>
      <c r="M5" s="4">
        <f t="shared" si="0"/>
        <v>43705392</v>
      </c>
      <c r="N5" s="4">
        <f t="shared" si="0"/>
        <v>9956863</v>
      </c>
      <c r="O5" s="4">
        <f t="shared" si="0"/>
        <v>32845471</v>
      </c>
      <c r="P5" s="4">
        <f t="shared" si="0"/>
        <v>11933257</v>
      </c>
      <c r="Q5" s="4">
        <f t="shared" si="0"/>
        <v>0</v>
      </c>
      <c r="R5" s="19">
        <f>J5+K5+L5+M5+N5+O5+P5+Q5</f>
        <v>176203042</v>
      </c>
    </row>
    <row r="6" spans="1:19" x14ac:dyDescent="0.25">
      <c r="A6" s="2"/>
      <c r="B6" s="2"/>
      <c r="C6" s="2"/>
      <c r="D6" s="45"/>
      <c r="E6" s="45"/>
      <c r="F6" s="2"/>
      <c r="G6" s="4"/>
      <c r="H6" s="4"/>
      <c r="I6" s="4"/>
      <c r="R6" s="16"/>
    </row>
    <row r="7" spans="1:19" x14ac:dyDescent="0.25">
      <c r="A7" s="6" t="s">
        <v>20</v>
      </c>
      <c r="B7" s="6" t="s">
        <v>90</v>
      </c>
      <c r="C7" s="6" t="s">
        <v>18</v>
      </c>
      <c r="D7" s="47">
        <v>88983</v>
      </c>
      <c r="E7" s="47">
        <v>84989</v>
      </c>
      <c r="F7" s="6" t="s">
        <v>19</v>
      </c>
      <c r="G7" s="7">
        <v>6164482</v>
      </c>
      <c r="H7" s="7">
        <f>G7</f>
        <v>6164482</v>
      </c>
      <c r="I7" s="7">
        <v>0</v>
      </c>
      <c r="J7" s="10">
        <v>605221</v>
      </c>
      <c r="K7" s="10">
        <v>876365</v>
      </c>
      <c r="M7" s="10">
        <v>3099030</v>
      </c>
      <c r="N7" s="10">
        <v>722594</v>
      </c>
      <c r="P7" s="10">
        <v>861272</v>
      </c>
      <c r="R7" s="16">
        <f t="shared" ref="R7:R72" si="1">J7+K7+L7+M7+N7+O7+P7+Q7</f>
        <v>6164482</v>
      </c>
      <c r="S7" s="12" t="s">
        <v>87</v>
      </c>
    </row>
    <row r="8" spans="1:19" x14ac:dyDescent="0.25">
      <c r="A8" s="2" t="s">
        <v>75</v>
      </c>
      <c r="B8" s="2"/>
      <c r="C8" s="2"/>
      <c r="D8" s="45"/>
      <c r="E8" s="45"/>
      <c r="F8" s="2"/>
      <c r="G8" s="4">
        <f>SUM(G7:G7)</f>
        <v>6164482</v>
      </c>
      <c r="H8" s="4">
        <f>SUM(H7:H7)</f>
        <v>6164482</v>
      </c>
      <c r="I8" s="4">
        <f>SUM(I7:I7)</f>
        <v>0</v>
      </c>
      <c r="J8" s="4">
        <f t="shared" ref="J8:Q8" si="2">SUM(J7:J7)</f>
        <v>605221</v>
      </c>
      <c r="K8" s="4">
        <f t="shared" si="2"/>
        <v>876365</v>
      </c>
      <c r="L8" s="4">
        <f t="shared" si="2"/>
        <v>0</v>
      </c>
      <c r="M8" s="4">
        <f t="shared" si="2"/>
        <v>3099030</v>
      </c>
      <c r="N8" s="4">
        <f t="shared" si="2"/>
        <v>722594</v>
      </c>
      <c r="O8" s="4">
        <f t="shared" si="2"/>
        <v>0</v>
      </c>
      <c r="P8" s="4">
        <f t="shared" si="2"/>
        <v>861272</v>
      </c>
      <c r="Q8" s="4">
        <f t="shared" si="2"/>
        <v>0</v>
      </c>
      <c r="R8" s="19">
        <f t="shared" si="1"/>
        <v>6164482</v>
      </c>
    </row>
    <row r="9" spans="1:19" x14ac:dyDescent="0.25">
      <c r="A9" s="6"/>
      <c r="B9" s="6"/>
      <c r="C9" s="6"/>
      <c r="F9" s="6"/>
      <c r="G9" s="7"/>
      <c r="H9" s="7"/>
      <c r="I9" s="7"/>
      <c r="R9" s="16"/>
    </row>
    <row r="10" spans="1:19" s="5" customFormat="1" x14ac:dyDescent="0.25">
      <c r="A10" s="2" t="s">
        <v>76</v>
      </c>
      <c r="B10" s="2"/>
      <c r="C10" s="2"/>
      <c r="D10" s="45"/>
      <c r="E10" s="45"/>
      <c r="F10" s="2"/>
      <c r="G10" s="4">
        <f>G12+G21+G23</f>
        <v>243268086</v>
      </c>
      <c r="H10" s="4">
        <f>H12+H21+H23</f>
        <v>121835515</v>
      </c>
      <c r="I10" s="4">
        <f>I12+I21+I23</f>
        <v>121432571</v>
      </c>
      <c r="J10" s="4">
        <f t="shared" ref="J10:Q10" si="3">J12+J21+J23</f>
        <v>0</v>
      </c>
      <c r="K10" s="4">
        <f t="shared" si="3"/>
        <v>0</v>
      </c>
      <c r="L10" s="4">
        <f t="shared" si="3"/>
        <v>44126099</v>
      </c>
      <c r="M10" s="4">
        <f t="shared" si="3"/>
        <v>0</v>
      </c>
      <c r="N10" s="4">
        <f t="shared" si="3"/>
        <v>0</v>
      </c>
      <c r="O10" s="4">
        <f t="shared" si="3"/>
        <v>0</v>
      </c>
      <c r="P10" s="4">
        <f t="shared" si="3"/>
        <v>0</v>
      </c>
      <c r="Q10" s="4">
        <f t="shared" si="3"/>
        <v>0</v>
      </c>
      <c r="R10" s="19">
        <f t="shared" si="1"/>
        <v>44126099</v>
      </c>
      <c r="S10" s="11"/>
    </row>
    <row r="11" spans="1:19" x14ac:dyDescent="0.25">
      <c r="A11" s="6" t="s">
        <v>21</v>
      </c>
      <c r="B11" s="6" t="s">
        <v>90</v>
      </c>
      <c r="C11" s="6" t="s">
        <v>18</v>
      </c>
      <c r="D11" s="46">
        <v>86900</v>
      </c>
      <c r="E11" s="46">
        <v>84904</v>
      </c>
      <c r="F11" s="6" t="s">
        <v>19</v>
      </c>
      <c r="G11" s="7">
        <v>97016982</v>
      </c>
      <c r="H11" s="7">
        <f>ROUNDUP(G11*49%,0)</f>
        <v>47538322</v>
      </c>
      <c r="I11" s="7">
        <f>ROUNDDOWN(G11*51%,0)</f>
        <v>49478660</v>
      </c>
      <c r="L11" s="10">
        <f>ROUND(H11*36%,0)</f>
        <v>17113796</v>
      </c>
      <c r="R11" s="16">
        <f t="shared" si="1"/>
        <v>17113796</v>
      </c>
    </row>
    <row r="12" spans="1:19" s="5" customFormat="1" x14ac:dyDescent="0.25">
      <c r="A12" s="2" t="s">
        <v>77</v>
      </c>
      <c r="B12" s="2"/>
      <c r="C12" s="2"/>
      <c r="D12" s="45"/>
      <c r="E12" s="45"/>
      <c r="F12" s="2"/>
      <c r="G12" s="4">
        <f>SUM(G11:G11)</f>
        <v>97016982</v>
      </c>
      <c r="H12" s="4">
        <f t="shared" ref="H12:Q12" si="4">SUM(H11:H11)</f>
        <v>47538322</v>
      </c>
      <c r="I12" s="4">
        <f t="shared" si="4"/>
        <v>49478660</v>
      </c>
      <c r="J12" s="4">
        <f t="shared" si="4"/>
        <v>0</v>
      </c>
      <c r="K12" s="4">
        <f t="shared" si="4"/>
        <v>0</v>
      </c>
      <c r="L12" s="4">
        <f t="shared" si="4"/>
        <v>17113796</v>
      </c>
      <c r="M12" s="4">
        <f t="shared" si="4"/>
        <v>0</v>
      </c>
      <c r="N12" s="4">
        <f t="shared" si="4"/>
        <v>0</v>
      </c>
      <c r="O12" s="4">
        <f t="shared" si="4"/>
        <v>0</v>
      </c>
      <c r="P12" s="4">
        <f t="shared" si="4"/>
        <v>0</v>
      </c>
      <c r="Q12" s="4">
        <f t="shared" si="4"/>
        <v>0</v>
      </c>
      <c r="R12" s="19">
        <f t="shared" si="1"/>
        <v>17113796</v>
      </c>
      <c r="S12" s="11"/>
    </row>
    <row r="13" spans="1:19" x14ac:dyDescent="0.25">
      <c r="A13" s="6"/>
      <c r="B13" s="6"/>
      <c r="C13" s="6"/>
      <c r="F13" s="6"/>
      <c r="G13" s="7"/>
      <c r="H13" s="7"/>
      <c r="I13" s="7"/>
      <c r="R13" s="16">
        <f t="shared" si="1"/>
        <v>0</v>
      </c>
    </row>
    <row r="14" spans="1:19" x14ac:dyDescent="0.25">
      <c r="A14" s="6" t="s">
        <v>22</v>
      </c>
      <c r="B14" s="6" t="s">
        <v>90</v>
      </c>
      <c r="C14" s="6" t="s">
        <v>18</v>
      </c>
      <c r="D14" s="46">
        <v>86900</v>
      </c>
      <c r="E14" s="46">
        <v>84901</v>
      </c>
      <c r="F14" s="6" t="s">
        <v>19</v>
      </c>
      <c r="G14" s="7">
        <v>67769936</v>
      </c>
      <c r="H14" s="7">
        <f>ROUNDUP(G14*49%,0)</f>
        <v>33207269</v>
      </c>
      <c r="I14" s="7">
        <f>ROUNDDOWN(G14*51%,0)</f>
        <v>34562667</v>
      </c>
      <c r="L14" s="10">
        <f>ROUND(H14*36%,0)</f>
        <v>11954617</v>
      </c>
      <c r="R14" s="16">
        <f t="shared" si="1"/>
        <v>11954617</v>
      </c>
    </row>
    <row r="15" spans="1:19" x14ac:dyDescent="0.25">
      <c r="A15" s="6" t="s">
        <v>23</v>
      </c>
      <c r="B15" s="6" t="s">
        <v>90</v>
      </c>
      <c r="C15" s="6" t="s">
        <v>18</v>
      </c>
      <c r="D15" s="46">
        <v>86900</v>
      </c>
      <c r="E15" s="46">
        <v>84901</v>
      </c>
      <c r="F15" s="6" t="s">
        <v>19</v>
      </c>
      <c r="G15" s="7">
        <v>2000000</v>
      </c>
      <c r="H15" s="7">
        <f>G15</f>
        <v>2000000</v>
      </c>
      <c r="I15" s="7">
        <v>0</v>
      </c>
      <c r="L15" s="10">
        <f>ROUND(H15*100%,0)</f>
        <v>2000000</v>
      </c>
      <c r="R15" s="16">
        <f t="shared" si="1"/>
        <v>2000000</v>
      </c>
      <c r="S15" s="12" t="s">
        <v>87</v>
      </c>
    </row>
    <row r="16" spans="1:19" x14ac:dyDescent="0.25">
      <c r="A16" s="6" t="s">
        <v>24</v>
      </c>
      <c r="B16" s="6" t="s">
        <v>90</v>
      </c>
      <c r="C16" s="6" t="s">
        <v>25</v>
      </c>
      <c r="D16" s="46">
        <v>41100</v>
      </c>
      <c r="E16" s="48">
        <v>42003</v>
      </c>
      <c r="F16" s="6" t="s">
        <v>19</v>
      </c>
      <c r="G16" s="7">
        <v>56406064</v>
      </c>
      <c r="H16" s="7">
        <f>ROUNDUP(G16*49%,0)</f>
        <v>27638972</v>
      </c>
      <c r="I16" s="7">
        <f>ROUNDDOWN(G16*51%,0)</f>
        <v>28767092</v>
      </c>
      <c r="L16" s="10">
        <f>ROUND(H16*25%,0)</f>
        <v>6909743</v>
      </c>
      <c r="R16" s="16">
        <f t="shared" si="1"/>
        <v>6909743</v>
      </c>
    </row>
    <row r="17" spans="1:19" x14ac:dyDescent="0.25">
      <c r="A17" s="6" t="s">
        <v>27</v>
      </c>
      <c r="B17" s="6" t="s">
        <v>90</v>
      </c>
      <c r="C17" s="6" t="s">
        <v>18</v>
      </c>
      <c r="D17" s="46">
        <v>86900</v>
      </c>
      <c r="E17" s="46">
        <v>84901</v>
      </c>
      <c r="F17" s="6" t="s">
        <v>28</v>
      </c>
      <c r="G17" s="7">
        <v>3085581</v>
      </c>
      <c r="H17" s="7">
        <f>ROUNDUP(G17*49%,0)</f>
        <v>1511935</v>
      </c>
      <c r="I17" s="7">
        <f>ROUNDDOWN(G17*51%,0)</f>
        <v>1573646</v>
      </c>
      <c r="L17" s="10">
        <f>ROUND(H17*36%,0)</f>
        <v>544297</v>
      </c>
      <c r="R17" s="16">
        <f t="shared" si="1"/>
        <v>544297</v>
      </c>
    </row>
    <row r="18" spans="1:19" x14ac:dyDescent="0.25">
      <c r="A18" s="6" t="s">
        <v>29</v>
      </c>
      <c r="B18" s="6" t="s">
        <v>90</v>
      </c>
      <c r="C18" s="6" t="s">
        <v>18</v>
      </c>
      <c r="D18" s="46">
        <v>86900</v>
      </c>
      <c r="E18" s="46">
        <v>84901</v>
      </c>
      <c r="F18" s="6" t="s">
        <v>26</v>
      </c>
      <c r="G18" s="7">
        <v>135000</v>
      </c>
      <c r="H18" s="7">
        <f>G18</f>
        <v>135000</v>
      </c>
      <c r="I18" s="7">
        <v>0</v>
      </c>
      <c r="L18" s="10">
        <f>ROUND(H18*100%,0)</f>
        <v>135000</v>
      </c>
      <c r="R18" s="16">
        <f t="shared" si="1"/>
        <v>135000</v>
      </c>
      <c r="S18" s="12" t="s">
        <v>87</v>
      </c>
    </row>
    <row r="19" spans="1:19" x14ac:dyDescent="0.25">
      <c r="A19" s="6" t="s">
        <v>30</v>
      </c>
      <c r="B19" s="6" t="s">
        <v>90</v>
      </c>
      <c r="C19" s="6" t="s">
        <v>18</v>
      </c>
      <c r="D19" s="46">
        <v>86900</v>
      </c>
      <c r="E19" s="46">
        <v>84901</v>
      </c>
      <c r="F19" s="6" t="s">
        <v>31</v>
      </c>
      <c r="G19" s="7">
        <v>3000000</v>
      </c>
      <c r="H19" s="7">
        <f>G19</f>
        <v>3000000</v>
      </c>
      <c r="I19" s="7">
        <v>0</v>
      </c>
      <c r="L19" s="10">
        <f>ROUND(H19*100%,0)</f>
        <v>3000000</v>
      </c>
      <c r="R19" s="16">
        <f t="shared" si="1"/>
        <v>3000000</v>
      </c>
      <c r="S19" s="12" t="s">
        <v>87</v>
      </c>
    </row>
    <row r="20" spans="1:19" x14ac:dyDescent="0.25">
      <c r="A20" s="6" t="s">
        <v>32</v>
      </c>
      <c r="B20" s="6" t="s">
        <v>90</v>
      </c>
      <c r="C20" s="6" t="s">
        <v>18</v>
      </c>
      <c r="D20" s="46">
        <v>86900</v>
      </c>
      <c r="E20" s="46">
        <v>84901</v>
      </c>
      <c r="F20" s="6" t="s">
        <v>33</v>
      </c>
      <c r="G20" s="7">
        <v>30000</v>
      </c>
      <c r="H20" s="7">
        <f>G20</f>
        <v>30000</v>
      </c>
      <c r="I20" s="7">
        <v>0</v>
      </c>
      <c r="L20" s="10">
        <f>ROUND(H20*100%,0)</f>
        <v>30000</v>
      </c>
      <c r="R20" s="16">
        <f t="shared" si="1"/>
        <v>30000</v>
      </c>
      <c r="S20" s="12" t="s">
        <v>87</v>
      </c>
    </row>
    <row r="21" spans="1:19" x14ac:dyDescent="0.25">
      <c r="A21" s="2" t="s">
        <v>78</v>
      </c>
      <c r="B21" s="2"/>
      <c r="C21" s="2"/>
      <c r="D21" s="45"/>
      <c r="E21" s="45"/>
      <c r="F21" s="2"/>
      <c r="G21" s="4">
        <f>SUM(G14:G20)</f>
        <v>132426581</v>
      </c>
      <c r="H21" s="4">
        <f>SUM(H14:H20)</f>
        <v>67523176</v>
      </c>
      <c r="I21" s="4">
        <f>SUM(I14:I20)</f>
        <v>64903405</v>
      </c>
      <c r="J21" s="4">
        <f t="shared" ref="J21:Q21" si="5">SUM(J14:J20)</f>
        <v>0</v>
      </c>
      <c r="K21" s="4">
        <f t="shared" si="5"/>
        <v>0</v>
      </c>
      <c r="L21" s="4">
        <f t="shared" si="5"/>
        <v>24573657</v>
      </c>
      <c r="M21" s="4">
        <f t="shared" si="5"/>
        <v>0</v>
      </c>
      <c r="N21" s="4">
        <f t="shared" si="5"/>
        <v>0</v>
      </c>
      <c r="O21" s="4">
        <f t="shared" si="5"/>
        <v>0</v>
      </c>
      <c r="P21" s="4">
        <f t="shared" si="5"/>
        <v>0</v>
      </c>
      <c r="Q21" s="4">
        <f t="shared" si="5"/>
        <v>0</v>
      </c>
      <c r="R21" s="19">
        <f t="shared" si="1"/>
        <v>24573657</v>
      </c>
    </row>
    <row r="22" spans="1:19" x14ac:dyDescent="0.25">
      <c r="A22" s="6"/>
      <c r="B22" s="6"/>
      <c r="C22" s="6"/>
      <c r="E22" s="46" t="s">
        <v>34</v>
      </c>
      <c r="F22" s="6"/>
      <c r="G22" s="7"/>
      <c r="H22" s="7"/>
      <c r="I22" s="7"/>
      <c r="R22" s="16"/>
    </row>
    <row r="23" spans="1:19" s="5" customFormat="1" x14ac:dyDescent="0.25">
      <c r="A23" s="2" t="s">
        <v>79</v>
      </c>
      <c r="B23" s="6" t="s">
        <v>90</v>
      </c>
      <c r="C23" s="2" t="s">
        <v>18</v>
      </c>
      <c r="D23" s="45">
        <v>86900</v>
      </c>
      <c r="E23" s="45">
        <v>84902</v>
      </c>
      <c r="F23" s="2"/>
      <c r="G23" s="4">
        <v>13824523</v>
      </c>
      <c r="H23" s="4">
        <f>ROUNDUP(G23*49%,0)</f>
        <v>6774017</v>
      </c>
      <c r="I23" s="4">
        <f>ROUNDDOWN(G23*51%,0)</f>
        <v>7050506</v>
      </c>
      <c r="J23" s="13"/>
      <c r="K23" s="13"/>
      <c r="L23" s="13">
        <f>ROUND(H23*36%,0)</f>
        <v>2438646</v>
      </c>
      <c r="M23" s="13"/>
      <c r="N23" s="13"/>
      <c r="O23" s="13"/>
      <c r="P23" s="13"/>
      <c r="Q23" s="13"/>
      <c r="R23" s="19">
        <f t="shared" si="1"/>
        <v>2438646</v>
      </c>
      <c r="S23" s="11"/>
    </row>
    <row r="24" spans="1:19" x14ac:dyDescent="0.25">
      <c r="A24" s="6"/>
      <c r="B24" s="6"/>
      <c r="C24" s="6"/>
      <c r="F24" s="6"/>
      <c r="G24" s="7"/>
      <c r="H24" s="4"/>
      <c r="I24" s="4"/>
      <c r="R24" s="16"/>
    </row>
    <row r="25" spans="1:19" s="2" customFormat="1" x14ac:dyDescent="0.25">
      <c r="A25" s="2" t="s">
        <v>80</v>
      </c>
      <c r="B25" s="6" t="s">
        <v>90</v>
      </c>
      <c r="C25" s="2" t="s">
        <v>25</v>
      </c>
      <c r="D25" s="45">
        <v>41200</v>
      </c>
      <c r="E25" s="45">
        <v>42001</v>
      </c>
      <c r="F25" s="2" t="s">
        <v>19</v>
      </c>
      <c r="G25" s="4">
        <v>18329943</v>
      </c>
      <c r="H25" s="4">
        <f>ROUNDUP(G25*50%,0)</f>
        <v>9164972</v>
      </c>
      <c r="I25" s="4">
        <f>ROUNDDOWN(G25*50%,0)</f>
        <v>9164971</v>
      </c>
      <c r="J25" s="20">
        <v>396595</v>
      </c>
      <c r="K25" s="20">
        <v>396595</v>
      </c>
      <c r="L25" s="20">
        <v>167377</v>
      </c>
      <c r="M25" s="20">
        <v>370109</v>
      </c>
      <c r="N25" s="20">
        <v>396595</v>
      </c>
      <c r="O25" s="20">
        <v>167377</v>
      </c>
      <c r="P25" s="20">
        <v>396595</v>
      </c>
      <c r="Q25" s="20">
        <v>0</v>
      </c>
      <c r="R25" s="19">
        <f t="shared" si="1"/>
        <v>2291243</v>
      </c>
      <c r="S25" s="21"/>
    </row>
    <row r="26" spans="1:19" s="2" customFormat="1" x14ac:dyDescent="0.25">
      <c r="B26" s="6"/>
      <c r="D26" s="45"/>
      <c r="E26" s="45"/>
      <c r="G26" s="4"/>
      <c r="H26" s="4"/>
      <c r="I26" s="4"/>
      <c r="J26" s="20"/>
      <c r="K26" s="20"/>
      <c r="L26" s="20"/>
      <c r="M26" s="20"/>
      <c r="N26" s="20"/>
      <c r="O26" s="20"/>
      <c r="P26" s="20"/>
      <c r="Q26" s="20"/>
      <c r="R26" s="19"/>
      <c r="S26" s="21"/>
    </row>
    <row r="27" spans="1:19" s="2" customFormat="1" x14ac:dyDescent="0.25">
      <c r="A27" s="35" t="s">
        <v>100</v>
      </c>
      <c r="B27" s="37" t="s">
        <v>90</v>
      </c>
      <c r="C27" s="31" t="s">
        <v>18</v>
      </c>
      <c r="D27" s="47">
        <v>88942</v>
      </c>
      <c r="E27" s="47">
        <v>84942</v>
      </c>
      <c r="F27" s="33"/>
      <c r="G27" s="36">
        <v>13119216</v>
      </c>
      <c r="H27" s="36">
        <f>ROUNDUP(G27*50%,0)</f>
        <v>6559608</v>
      </c>
      <c r="I27" s="36">
        <f>ROUNDDOWN(G27*50%,0)</f>
        <v>6559608</v>
      </c>
      <c r="J27" s="20">
        <v>158081</v>
      </c>
      <c r="K27" s="20">
        <v>33384</v>
      </c>
      <c r="L27" s="20">
        <v>263433</v>
      </c>
      <c r="M27" s="20">
        <v>540532</v>
      </c>
      <c r="N27" s="20">
        <v>44790</v>
      </c>
      <c r="O27" s="20">
        <v>487311</v>
      </c>
      <c r="P27" s="20">
        <v>94812</v>
      </c>
      <c r="Q27" s="20">
        <v>0</v>
      </c>
      <c r="R27" s="19">
        <f t="shared" si="1"/>
        <v>1622343</v>
      </c>
      <c r="S27" s="21"/>
    </row>
    <row r="28" spans="1:19" x14ac:dyDescent="0.25">
      <c r="A28" s="6"/>
      <c r="B28" s="6"/>
      <c r="C28" s="6"/>
      <c r="F28" s="6"/>
      <c r="G28" s="7"/>
      <c r="H28" s="7"/>
      <c r="I28" s="7"/>
      <c r="R28" s="19"/>
    </row>
    <row r="29" spans="1:19" x14ac:dyDescent="0.25">
      <c r="A29" s="2" t="s">
        <v>81</v>
      </c>
      <c r="B29" s="2"/>
      <c r="C29" s="2"/>
      <c r="D29" s="45"/>
      <c r="E29" s="45"/>
      <c r="F29" s="2"/>
      <c r="G29" s="4">
        <f t="shared" ref="G29:Q29" si="6">SUM(G30:G36)</f>
        <v>140792377</v>
      </c>
      <c r="H29" s="4">
        <f t="shared" si="6"/>
        <v>70396190</v>
      </c>
      <c r="I29" s="4">
        <f t="shared" si="6"/>
        <v>70396187</v>
      </c>
      <c r="J29" s="4">
        <f t="shared" si="6"/>
        <v>0</v>
      </c>
      <c r="K29" s="4">
        <f t="shared" si="6"/>
        <v>0</v>
      </c>
      <c r="L29" s="4">
        <f t="shared" si="6"/>
        <v>0</v>
      </c>
      <c r="M29" s="4">
        <f t="shared" si="6"/>
        <v>0</v>
      </c>
      <c r="N29" s="4">
        <f t="shared" si="6"/>
        <v>0</v>
      </c>
      <c r="O29" s="4">
        <f t="shared" si="6"/>
        <v>0</v>
      </c>
      <c r="P29" s="4">
        <f t="shared" si="6"/>
        <v>0</v>
      </c>
      <c r="Q29" s="4">
        <f t="shared" si="6"/>
        <v>17599047</v>
      </c>
      <c r="R29" s="19">
        <f t="shared" si="1"/>
        <v>17599047</v>
      </c>
    </row>
    <row r="30" spans="1:19" x14ac:dyDescent="0.25">
      <c r="A30" s="6" t="s">
        <v>82</v>
      </c>
      <c r="B30" s="6" t="s">
        <v>90</v>
      </c>
      <c r="C30" s="6" t="s">
        <v>18</v>
      </c>
      <c r="D30" s="46">
        <v>87900</v>
      </c>
      <c r="E30" s="46">
        <v>84900</v>
      </c>
      <c r="F30" s="6" t="s">
        <v>19</v>
      </c>
      <c r="G30" s="7">
        <v>117158647</v>
      </c>
      <c r="H30" s="7">
        <f>ROUNDUP(G30*50%,0)</f>
        <v>58579324</v>
      </c>
      <c r="I30" s="7">
        <f>ROUNDDOWN(G30*50%,0)</f>
        <v>58579323</v>
      </c>
      <c r="Q30" s="10">
        <f t="shared" ref="Q30:Q36" si="7">ROUND(25%*H30,0)</f>
        <v>14644831</v>
      </c>
      <c r="R30" s="16">
        <f t="shared" si="1"/>
        <v>14644831</v>
      </c>
    </row>
    <row r="31" spans="1:19" x14ac:dyDescent="0.25">
      <c r="A31" s="6" t="s">
        <v>83</v>
      </c>
      <c r="B31" s="6" t="s">
        <v>90</v>
      </c>
      <c r="C31" s="6" t="s">
        <v>18</v>
      </c>
      <c r="D31" s="46">
        <v>87900</v>
      </c>
      <c r="E31" s="46">
        <v>84908</v>
      </c>
      <c r="F31" s="6" t="s">
        <v>19</v>
      </c>
      <c r="G31" s="7">
        <v>2000000</v>
      </c>
      <c r="H31" s="7">
        <f t="shared" ref="H31:H36" si="8">ROUNDUP(G31*50%,0)</f>
        <v>1000000</v>
      </c>
      <c r="I31" s="7">
        <f t="shared" ref="I31:I36" si="9">ROUNDDOWN(G31*50%,0)</f>
        <v>1000000</v>
      </c>
      <c r="Q31" s="10">
        <f t="shared" si="7"/>
        <v>250000</v>
      </c>
      <c r="R31" s="16">
        <f t="shared" si="1"/>
        <v>250000</v>
      </c>
    </row>
    <row r="32" spans="1:19" x14ac:dyDescent="0.25">
      <c r="A32" s="6" t="s">
        <v>35</v>
      </c>
      <c r="B32" s="6" t="s">
        <v>90</v>
      </c>
      <c r="C32" s="6" t="s">
        <v>18</v>
      </c>
      <c r="D32" s="46">
        <v>87900</v>
      </c>
      <c r="E32" s="46">
        <v>84900</v>
      </c>
      <c r="F32" s="6" t="s">
        <v>19</v>
      </c>
      <c r="G32" s="7">
        <v>5400000</v>
      </c>
      <c r="H32" s="7">
        <f t="shared" si="8"/>
        <v>2700000</v>
      </c>
      <c r="I32" s="7">
        <f t="shared" si="9"/>
        <v>2700000</v>
      </c>
      <c r="Q32" s="10">
        <f t="shared" si="7"/>
        <v>675000</v>
      </c>
      <c r="R32" s="16">
        <f t="shared" si="1"/>
        <v>675000</v>
      </c>
    </row>
    <row r="33" spans="1:19" x14ac:dyDescent="0.25">
      <c r="A33" s="6" t="s">
        <v>36</v>
      </c>
      <c r="B33" s="6" t="s">
        <v>90</v>
      </c>
      <c r="C33" s="6" t="s">
        <v>18</v>
      </c>
      <c r="D33" s="46">
        <v>87900</v>
      </c>
      <c r="E33" s="47">
        <v>84911</v>
      </c>
      <c r="F33" s="6" t="s">
        <v>19</v>
      </c>
      <c r="G33" s="7">
        <v>1000000</v>
      </c>
      <c r="H33" s="7">
        <f t="shared" si="8"/>
        <v>500000</v>
      </c>
      <c r="I33" s="7">
        <f t="shared" si="9"/>
        <v>500000</v>
      </c>
      <c r="Q33" s="10">
        <f t="shared" si="7"/>
        <v>125000</v>
      </c>
      <c r="R33" s="16">
        <f t="shared" si="1"/>
        <v>125000</v>
      </c>
    </row>
    <row r="34" spans="1:19" x14ac:dyDescent="0.25">
      <c r="A34" s="6" t="s">
        <v>84</v>
      </c>
      <c r="B34" s="6" t="s">
        <v>90</v>
      </c>
      <c r="C34" s="6" t="s">
        <v>18</v>
      </c>
      <c r="D34" s="46">
        <v>87900</v>
      </c>
      <c r="E34" s="46">
        <v>84908</v>
      </c>
      <c r="F34" s="6" t="s">
        <v>19</v>
      </c>
      <c r="G34" s="7">
        <v>9722521</v>
      </c>
      <c r="H34" s="7">
        <f t="shared" si="8"/>
        <v>4861261</v>
      </c>
      <c r="I34" s="7">
        <f t="shared" si="9"/>
        <v>4861260</v>
      </c>
      <c r="Q34" s="10">
        <f t="shared" si="7"/>
        <v>1215315</v>
      </c>
      <c r="R34" s="16">
        <f t="shared" si="1"/>
        <v>1215315</v>
      </c>
    </row>
    <row r="35" spans="1:19" x14ac:dyDescent="0.25">
      <c r="A35" s="6" t="s">
        <v>85</v>
      </c>
      <c r="B35" s="6" t="s">
        <v>90</v>
      </c>
      <c r="C35" s="6" t="s">
        <v>18</v>
      </c>
      <c r="D35" s="46">
        <v>87900</v>
      </c>
      <c r="E35" s="46">
        <v>84905</v>
      </c>
      <c r="F35" s="6" t="s">
        <v>19</v>
      </c>
      <c r="G35" s="7">
        <v>4011209</v>
      </c>
      <c r="H35" s="7">
        <f t="shared" si="8"/>
        <v>2005605</v>
      </c>
      <c r="I35" s="7">
        <f t="shared" si="9"/>
        <v>2005604</v>
      </c>
      <c r="Q35" s="10">
        <f t="shared" si="7"/>
        <v>501401</v>
      </c>
      <c r="R35" s="16">
        <f t="shared" si="1"/>
        <v>501401</v>
      </c>
    </row>
    <row r="36" spans="1:19" x14ac:dyDescent="0.25">
      <c r="A36" s="6" t="s">
        <v>37</v>
      </c>
      <c r="B36" s="6" t="s">
        <v>90</v>
      </c>
      <c r="C36" s="6" t="s">
        <v>18</v>
      </c>
      <c r="D36" s="46">
        <v>87900</v>
      </c>
      <c r="E36" s="48">
        <v>84912</v>
      </c>
      <c r="F36" s="6" t="s">
        <v>38</v>
      </c>
      <c r="G36" s="7">
        <v>1500000</v>
      </c>
      <c r="H36" s="7">
        <f t="shared" si="8"/>
        <v>750000</v>
      </c>
      <c r="I36" s="7">
        <f t="shared" si="9"/>
        <v>750000</v>
      </c>
      <c r="Q36" s="10">
        <f t="shared" si="7"/>
        <v>187500</v>
      </c>
      <c r="R36" s="16">
        <f t="shared" si="1"/>
        <v>187500</v>
      </c>
    </row>
    <row r="37" spans="1:19" x14ac:dyDescent="0.25">
      <c r="A37" s="6"/>
      <c r="B37" s="6"/>
      <c r="C37" s="6"/>
      <c r="F37" s="6"/>
      <c r="G37" s="7"/>
      <c r="H37" s="7"/>
      <c r="I37" s="7"/>
      <c r="R37" s="16"/>
    </row>
    <row r="38" spans="1:19" x14ac:dyDescent="0.25">
      <c r="A38" s="6"/>
      <c r="B38" s="6"/>
      <c r="C38" s="6"/>
      <c r="F38" s="6"/>
      <c r="G38" s="7"/>
      <c r="H38" s="7"/>
      <c r="I38" s="7"/>
      <c r="R38" s="16"/>
    </row>
    <row r="39" spans="1:19" s="5" customFormat="1" x14ac:dyDescent="0.25">
      <c r="A39" s="2" t="s">
        <v>86</v>
      </c>
      <c r="B39" s="2"/>
      <c r="C39" s="2"/>
      <c r="D39" s="45"/>
      <c r="E39" s="45"/>
      <c r="F39" s="2"/>
      <c r="G39" s="4">
        <f>SUM(G40:G72)</f>
        <v>64277188</v>
      </c>
      <c r="H39" s="4">
        <f>SUM(H40:H72)</f>
        <v>34620179</v>
      </c>
      <c r="I39" s="4">
        <f>SUM(I40:I72)</f>
        <v>29657009</v>
      </c>
      <c r="J39" s="4">
        <f>SUM(J40:J72)</f>
        <v>90642</v>
      </c>
      <c r="K39" s="4">
        <f t="shared" ref="K39:Q39" si="10">SUM(K40:K72)</f>
        <v>498016</v>
      </c>
      <c r="L39" s="4">
        <f t="shared" si="10"/>
        <v>10609981</v>
      </c>
      <c r="M39" s="4">
        <f t="shared" si="10"/>
        <v>2592676</v>
      </c>
      <c r="N39" s="4">
        <f t="shared" si="10"/>
        <v>73238</v>
      </c>
      <c r="O39" s="4">
        <f t="shared" si="10"/>
        <v>1348686</v>
      </c>
      <c r="P39" s="4">
        <f t="shared" si="10"/>
        <v>111416</v>
      </c>
      <c r="Q39" s="4">
        <f t="shared" si="10"/>
        <v>0</v>
      </c>
      <c r="R39" s="4">
        <f>SUM(R40:R72)</f>
        <v>15324655</v>
      </c>
      <c r="S39" s="11"/>
    </row>
    <row r="40" spans="1:19" s="6" customFormat="1" x14ac:dyDescent="0.25">
      <c r="A40" s="6" t="s">
        <v>39</v>
      </c>
      <c r="B40" s="6" t="s">
        <v>89</v>
      </c>
      <c r="C40" s="6" t="s">
        <v>18</v>
      </c>
      <c r="D40" s="46">
        <v>88981</v>
      </c>
      <c r="E40" s="46">
        <v>84981</v>
      </c>
      <c r="F40" s="6" t="s">
        <v>19</v>
      </c>
      <c r="G40" s="7">
        <v>30849152</v>
      </c>
      <c r="H40" s="7">
        <f>ROUNDUP(G40*49%,0)</f>
        <v>15116085</v>
      </c>
      <c r="I40" s="7">
        <f>ROUNDDOWN(G40*51%,0)</f>
        <v>15733067</v>
      </c>
      <c r="J40" s="15">
        <v>64933</v>
      </c>
      <c r="K40" s="15">
        <v>391717</v>
      </c>
      <c r="L40" s="15">
        <v>3025408</v>
      </c>
      <c r="M40" s="15">
        <v>1284859</v>
      </c>
      <c r="N40" s="15">
        <v>73238</v>
      </c>
      <c r="O40" s="15">
        <v>490219</v>
      </c>
      <c r="P40" s="15">
        <v>111416</v>
      </c>
      <c r="Q40" s="15"/>
      <c r="R40" s="16">
        <f t="shared" si="1"/>
        <v>5441790</v>
      </c>
      <c r="S40" s="18"/>
    </row>
    <row r="41" spans="1:19" x14ac:dyDescent="0.25">
      <c r="A41" s="6" t="s">
        <v>40</v>
      </c>
      <c r="B41" s="6" t="s">
        <v>90</v>
      </c>
      <c r="C41" s="6" t="s">
        <v>18</v>
      </c>
      <c r="D41" s="46">
        <v>88981</v>
      </c>
      <c r="E41" s="46">
        <v>84504</v>
      </c>
      <c r="F41" s="6" t="s">
        <v>19</v>
      </c>
      <c r="G41" s="7">
        <v>4288845</v>
      </c>
      <c r="H41" s="7">
        <f t="shared" ref="H41:H64" si="11">ROUNDUP(G41*49%,0)</f>
        <v>2101535</v>
      </c>
      <c r="I41" s="7">
        <f t="shared" ref="I41:I64" si="12">ROUNDDOWN(G41*51%,0)</f>
        <v>2187310</v>
      </c>
      <c r="L41" s="10">
        <f>ROUND(36%*H41,0)</f>
        <v>756553</v>
      </c>
      <c r="R41" s="16">
        <f t="shared" si="1"/>
        <v>756553</v>
      </c>
    </row>
    <row r="42" spans="1:19" x14ac:dyDescent="0.25">
      <c r="A42" s="6" t="s">
        <v>41</v>
      </c>
      <c r="B42" s="6" t="s">
        <v>90</v>
      </c>
      <c r="C42" s="6" t="s">
        <v>18</v>
      </c>
      <c r="D42" s="46">
        <v>88981</v>
      </c>
      <c r="E42" s="46">
        <v>84981</v>
      </c>
      <c r="F42" s="6" t="s">
        <v>19</v>
      </c>
      <c r="G42" s="7">
        <v>3152391</v>
      </c>
      <c r="H42" s="7">
        <f t="shared" si="11"/>
        <v>1544672</v>
      </c>
      <c r="I42" s="7">
        <f t="shared" si="12"/>
        <v>1607719</v>
      </c>
      <c r="M42" s="10">
        <v>194629</v>
      </c>
      <c r="O42" s="10">
        <v>361453</v>
      </c>
      <c r="R42" s="16">
        <f t="shared" si="1"/>
        <v>556082</v>
      </c>
    </row>
    <row r="43" spans="1:19" x14ac:dyDescent="0.25">
      <c r="A43" s="6" t="s">
        <v>42</v>
      </c>
      <c r="B43" s="6" t="s">
        <v>90</v>
      </c>
      <c r="C43" s="6" t="s">
        <v>18</v>
      </c>
      <c r="D43" s="46">
        <v>88981</v>
      </c>
      <c r="E43" s="46">
        <v>84505</v>
      </c>
      <c r="F43" s="6" t="s">
        <v>19</v>
      </c>
      <c r="G43" s="7">
        <v>2848133</v>
      </c>
      <c r="H43" s="7">
        <f t="shared" si="11"/>
        <v>1395586</v>
      </c>
      <c r="I43" s="7">
        <f t="shared" si="12"/>
        <v>1452547</v>
      </c>
      <c r="M43" s="10">
        <f>ROUND(36%*H43,0)</f>
        <v>502411</v>
      </c>
      <c r="R43" s="16">
        <f t="shared" si="1"/>
        <v>502411</v>
      </c>
    </row>
    <row r="44" spans="1:19" x14ac:dyDescent="0.25">
      <c r="A44" s="6" t="s">
        <v>43</v>
      </c>
      <c r="B44" s="6" t="s">
        <v>90</v>
      </c>
      <c r="C44" s="6" t="s">
        <v>18</v>
      </c>
      <c r="D44" s="46">
        <v>88981</v>
      </c>
      <c r="E44" s="46">
        <v>84981</v>
      </c>
      <c r="F44" s="6" t="s">
        <v>19</v>
      </c>
      <c r="G44" s="7">
        <v>1563951</v>
      </c>
      <c r="H44" s="7">
        <f t="shared" si="11"/>
        <v>766336</v>
      </c>
      <c r="I44" s="7">
        <f t="shared" si="12"/>
        <v>797615</v>
      </c>
      <c r="L44" s="10">
        <f t="shared" ref="L44:L55" si="13">ROUND(36%*H44,0)</f>
        <v>275881</v>
      </c>
      <c r="R44" s="16">
        <f t="shared" si="1"/>
        <v>275881</v>
      </c>
    </row>
    <row r="45" spans="1:19" x14ac:dyDescent="0.25">
      <c r="A45" s="6" t="s">
        <v>44</v>
      </c>
      <c r="B45" s="6" t="s">
        <v>90</v>
      </c>
      <c r="C45" s="6" t="s">
        <v>18</v>
      </c>
      <c r="D45" s="46">
        <v>88981</v>
      </c>
      <c r="E45" s="46">
        <v>84981</v>
      </c>
      <c r="F45" s="6" t="s">
        <v>19</v>
      </c>
      <c r="G45" s="7">
        <v>1312851</v>
      </c>
      <c r="H45" s="7">
        <f t="shared" si="11"/>
        <v>643297</v>
      </c>
      <c r="I45" s="7">
        <f t="shared" si="12"/>
        <v>669554</v>
      </c>
      <c r="L45" s="10">
        <v>110004</v>
      </c>
      <c r="M45" s="10">
        <v>11579</v>
      </c>
      <c r="O45" s="10">
        <v>110004</v>
      </c>
      <c r="R45" s="16">
        <f t="shared" si="1"/>
        <v>231587</v>
      </c>
    </row>
    <row r="46" spans="1:19" x14ac:dyDescent="0.25">
      <c r="A46" s="6" t="s">
        <v>45</v>
      </c>
      <c r="B46" s="6" t="s">
        <v>90</v>
      </c>
      <c r="C46" s="6" t="s">
        <v>18</v>
      </c>
      <c r="D46" s="46">
        <v>88981</v>
      </c>
      <c r="E46" s="46">
        <v>84981</v>
      </c>
      <c r="F46" s="6" t="s">
        <v>19</v>
      </c>
      <c r="G46" s="7">
        <v>1254779</v>
      </c>
      <c r="H46" s="7">
        <f t="shared" si="11"/>
        <v>614842</v>
      </c>
      <c r="I46" s="7">
        <f t="shared" si="12"/>
        <v>639937</v>
      </c>
      <c r="O46" s="10">
        <f>ROUND(36%*H46,0)</f>
        <v>221343</v>
      </c>
      <c r="R46" s="16">
        <f t="shared" si="1"/>
        <v>221343</v>
      </c>
    </row>
    <row r="47" spans="1:19" x14ac:dyDescent="0.25">
      <c r="A47" s="6" t="s">
        <v>46</v>
      </c>
      <c r="B47" s="6" t="s">
        <v>90</v>
      </c>
      <c r="C47" s="6" t="s">
        <v>18</v>
      </c>
      <c r="D47" s="46">
        <v>88981</v>
      </c>
      <c r="E47" s="46">
        <v>84981</v>
      </c>
      <c r="F47" s="6" t="s">
        <v>19</v>
      </c>
      <c r="G47" s="7">
        <v>781976</v>
      </c>
      <c r="H47" s="7">
        <f t="shared" si="11"/>
        <v>383169</v>
      </c>
      <c r="I47" s="7">
        <f t="shared" si="12"/>
        <v>398807</v>
      </c>
      <c r="L47" s="10">
        <f t="shared" si="13"/>
        <v>137941</v>
      </c>
      <c r="R47" s="16">
        <f t="shared" si="1"/>
        <v>137941</v>
      </c>
    </row>
    <row r="48" spans="1:19" x14ac:dyDescent="0.25">
      <c r="A48" s="6" t="s">
        <v>47</v>
      </c>
      <c r="B48" s="6" t="s">
        <v>90</v>
      </c>
      <c r="C48" s="6" t="s">
        <v>18</v>
      </c>
      <c r="D48" s="46">
        <v>88981</v>
      </c>
      <c r="E48" s="46">
        <v>84518</v>
      </c>
      <c r="F48" s="6" t="s">
        <v>19</v>
      </c>
      <c r="G48" s="7">
        <v>602602</v>
      </c>
      <c r="H48" s="7">
        <f t="shared" si="11"/>
        <v>295275</v>
      </c>
      <c r="I48" s="7">
        <f t="shared" si="12"/>
        <v>307327</v>
      </c>
      <c r="K48" s="10">
        <f>ROUND(36%*H48,0)</f>
        <v>106299</v>
      </c>
      <c r="R48" s="16">
        <f t="shared" si="1"/>
        <v>106299</v>
      </c>
    </row>
    <row r="49" spans="1:19" x14ac:dyDescent="0.25">
      <c r="A49" s="6" t="s">
        <v>48</v>
      </c>
      <c r="B49" s="6" t="s">
        <v>90</v>
      </c>
      <c r="C49" s="6" t="s">
        <v>18</v>
      </c>
      <c r="D49" s="46">
        <v>88981</v>
      </c>
      <c r="E49" s="46">
        <v>84981</v>
      </c>
      <c r="F49" s="6" t="s">
        <v>19</v>
      </c>
      <c r="G49" s="7">
        <v>549218</v>
      </c>
      <c r="H49" s="7">
        <f t="shared" si="11"/>
        <v>269117</v>
      </c>
      <c r="I49" s="7">
        <f t="shared" si="12"/>
        <v>280101</v>
      </c>
      <c r="M49" s="10">
        <f>ROUND(36%*H49,0)</f>
        <v>96882</v>
      </c>
      <c r="R49" s="16">
        <f t="shared" si="1"/>
        <v>96882</v>
      </c>
    </row>
    <row r="50" spans="1:19" x14ac:dyDescent="0.25">
      <c r="A50" s="6" t="s">
        <v>49</v>
      </c>
      <c r="B50" s="6" t="s">
        <v>90</v>
      </c>
      <c r="C50" s="6" t="s">
        <v>18</v>
      </c>
      <c r="D50" s="46">
        <v>88981</v>
      </c>
      <c r="E50" s="46">
        <v>84500</v>
      </c>
      <c r="F50" s="6" t="s">
        <v>19</v>
      </c>
      <c r="G50" s="7">
        <v>503531</v>
      </c>
      <c r="H50" s="7">
        <f t="shared" si="11"/>
        <v>246731</v>
      </c>
      <c r="I50" s="7">
        <f t="shared" si="12"/>
        <v>256800</v>
      </c>
      <c r="L50" s="10">
        <f t="shared" si="13"/>
        <v>88823</v>
      </c>
      <c r="R50" s="16">
        <f t="shared" si="1"/>
        <v>88823</v>
      </c>
    </row>
    <row r="51" spans="1:19" x14ac:dyDescent="0.25">
      <c r="A51" s="6" t="s">
        <v>50</v>
      </c>
      <c r="B51" s="6" t="s">
        <v>90</v>
      </c>
      <c r="C51" s="6" t="s">
        <v>18</v>
      </c>
      <c r="D51" s="46">
        <v>88981</v>
      </c>
      <c r="E51" s="46">
        <v>84981</v>
      </c>
      <c r="F51" s="6" t="s">
        <v>19</v>
      </c>
      <c r="G51" s="7">
        <v>439153</v>
      </c>
      <c r="H51" s="7">
        <f t="shared" si="11"/>
        <v>215185</v>
      </c>
      <c r="I51" s="7">
        <f t="shared" si="12"/>
        <v>223968</v>
      </c>
      <c r="O51" s="10">
        <f>ROUND(36%*H51,0)</f>
        <v>77467</v>
      </c>
      <c r="R51" s="16">
        <f t="shared" si="1"/>
        <v>77467</v>
      </c>
    </row>
    <row r="52" spans="1:19" x14ac:dyDescent="0.25">
      <c r="A52" s="6" t="s">
        <v>51</v>
      </c>
      <c r="B52" s="6" t="s">
        <v>90</v>
      </c>
      <c r="C52" s="6" t="s">
        <v>18</v>
      </c>
      <c r="D52" s="46">
        <v>88981</v>
      </c>
      <c r="E52" s="46">
        <v>84981</v>
      </c>
      <c r="F52" s="6" t="s">
        <v>19</v>
      </c>
      <c r="G52" s="7">
        <v>394693</v>
      </c>
      <c r="H52" s="7">
        <f t="shared" si="11"/>
        <v>193400</v>
      </c>
      <c r="I52" s="7">
        <f t="shared" si="12"/>
        <v>201293</v>
      </c>
      <c r="L52" s="10">
        <f t="shared" si="13"/>
        <v>69624</v>
      </c>
      <c r="R52" s="16">
        <f t="shared" si="1"/>
        <v>69624</v>
      </c>
    </row>
    <row r="53" spans="1:19" x14ac:dyDescent="0.25">
      <c r="A53" s="6" t="s">
        <v>52</v>
      </c>
      <c r="B53" s="6" t="s">
        <v>90</v>
      </c>
      <c r="C53" s="6" t="s">
        <v>18</v>
      </c>
      <c r="D53" s="46">
        <v>88981</v>
      </c>
      <c r="E53" s="46">
        <v>84505</v>
      </c>
      <c r="F53" s="6" t="s">
        <v>19</v>
      </c>
      <c r="G53" s="7">
        <v>228988</v>
      </c>
      <c r="H53" s="7">
        <f t="shared" si="11"/>
        <v>112205</v>
      </c>
      <c r="I53" s="7">
        <f t="shared" si="12"/>
        <v>116783</v>
      </c>
      <c r="M53" s="10">
        <f>ROUND(36%*H53,0)</f>
        <v>40394</v>
      </c>
      <c r="R53" s="16">
        <f t="shared" si="1"/>
        <v>40394</v>
      </c>
    </row>
    <row r="54" spans="1:19" x14ac:dyDescent="0.25">
      <c r="A54" s="6" t="s">
        <v>53</v>
      </c>
      <c r="B54" s="6" t="s">
        <v>90</v>
      </c>
      <c r="C54" s="6" t="s">
        <v>18</v>
      </c>
      <c r="D54" s="46">
        <v>88981</v>
      </c>
      <c r="E54" s="46">
        <v>88944</v>
      </c>
      <c r="F54" s="6" t="s">
        <v>19</v>
      </c>
      <c r="G54" s="7">
        <v>253073</v>
      </c>
      <c r="H54" s="7">
        <f t="shared" si="11"/>
        <v>124006</v>
      </c>
      <c r="I54" s="7">
        <f t="shared" si="12"/>
        <v>129067</v>
      </c>
      <c r="L54" s="10">
        <f t="shared" si="13"/>
        <v>44642</v>
      </c>
      <c r="R54" s="16">
        <f t="shared" si="1"/>
        <v>44642</v>
      </c>
    </row>
    <row r="55" spans="1:19" x14ac:dyDescent="0.25">
      <c r="A55" s="6" t="s">
        <v>54</v>
      </c>
      <c r="B55" s="6" t="s">
        <v>90</v>
      </c>
      <c r="C55" s="6" t="s">
        <v>18</v>
      </c>
      <c r="D55" s="46">
        <v>88981</v>
      </c>
      <c r="E55" s="46">
        <v>84981</v>
      </c>
      <c r="F55" s="6" t="s">
        <v>19</v>
      </c>
      <c r="G55" s="7">
        <v>3227009</v>
      </c>
      <c r="H55" s="7">
        <f t="shared" si="11"/>
        <v>1581235</v>
      </c>
      <c r="I55" s="7">
        <f t="shared" si="12"/>
        <v>1645774</v>
      </c>
      <c r="L55" s="10">
        <f t="shared" si="13"/>
        <v>569245</v>
      </c>
      <c r="R55" s="16">
        <f t="shared" si="1"/>
        <v>569245</v>
      </c>
    </row>
    <row r="56" spans="1:19" s="6" customFormat="1" x14ac:dyDescent="0.25">
      <c r="A56" s="6" t="s">
        <v>55</v>
      </c>
      <c r="B56" s="6" t="s">
        <v>90</v>
      </c>
      <c r="C56" s="6" t="s">
        <v>18</v>
      </c>
      <c r="D56" s="46">
        <v>88981</v>
      </c>
      <c r="E56" s="46">
        <v>84981</v>
      </c>
      <c r="F56" s="6" t="s">
        <v>19</v>
      </c>
      <c r="G56" s="7">
        <v>206464</v>
      </c>
      <c r="H56" s="7">
        <f t="shared" si="11"/>
        <v>101168</v>
      </c>
      <c r="I56" s="7">
        <f t="shared" si="12"/>
        <v>105296</v>
      </c>
      <c r="J56" s="15"/>
      <c r="K56" s="15"/>
      <c r="L56" s="15">
        <v>20687</v>
      </c>
      <c r="M56" s="15">
        <v>15733</v>
      </c>
      <c r="N56" s="15"/>
      <c r="O56" s="15"/>
      <c r="P56" s="15"/>
      <c r="Q56" s="15"/>
      <c r="R56" s="16">
        <f t="shared" si="1"/>
        <v>36420</v>
      </c>
      <c r="S56" s="17"/>
    </row>
    <row r="57" spans="1:19" x14ac:dyDescent="0.25">
      <c r="A57" s="6" t="s">
        <v>56</v>
      </c>
      <c r="B57" s="6" t="s">
        <v>90</v>
      </c>
      <c r="C57" s="6" t="s">
        <v>18</v>
      </c>
      <c r="D57" s="46">
        <v>88981</v>
      </c>
      <c r="E57" s="46">
        <v>84981</v>
      </c>
      <c r="F57" s="6" t="s">
        <v>26</v>
      </c>
      <c r="G57" s="7">
        <v>100000</v>
      </c>
      <c r="H57" s="7">
        <f>G57</f>
        <v>100000</v>
      </c>
      <c r="I57" s="7">
        <v>0</v>
      </c>
      <c r="L57" s="10">
        <f>ROUND(100%*H57,0)</f>
        <v>100000</v>
      </c>
      <c r="R57" s="16">
        <f t="shared" si="1"/>
        <v>100000</v>
      </c>
      <c r="S57" s="12" t="s">
        <v>87</v>
      </c>
    </row>
    <row r="58" spans="1:19" x14ac:dyDescent="0.25">
      <c r="A58" s="6" t="s">
        <v>57</v>
      </c>
      <c r="B58" s="6" t="s">
        <v>90</v>
      </c>
      <c r="C58" s="6" t="s">
        <v>18</v>
      </c>
      <c r="D58" s="46">
        <v>88981</v>
      </c>
      <c r="E58" s="46">
        <v>84981</v>
      </c>
      <c r="F58" s="6" t="s">
        <v>26</v>
      </c>
      <c r="G58" s="7">
        <v>500000</v>
      </c>
      <c r="H58" s="7">
        <f t="shared" si="11"/>
        <v>245000</v>
      </c>
      <c r="I58" s="7">
        <f t="shared" si="12"/>
        <v>255000</v>
      </c>
      <c r="O58" s="10">
        <f>ROUND(36%*H58,0)</f>
        <v>88200</v>
      </c>
      <c r="R58" s="16">
        <f t="shared" si="1"/>
        <v>88200</v>
      </c>
    </row>
    <row r="59" spans="1:19" x14ac:dyDescent="0.25">
      <c r="A59" s="6" t="s">
        <v>58</v>
      </c>
      <c r="B59" s="6" t="s">
        <v>90</v>
      </c>
      <c r="C59" s="6" t="s">
        <v>18</v>
      </c>
      <c r="D59" s="46">
        <v>88981</v>
      </c>
      <c r="E59" s="46">
        <v>84981</v>
      </c>
      <c r="F59" s="6" t="s">
        <v>26</v>
      </c>
      <c r="G59" s="7">
        <v>250000</v>
      </c>
      <c r="H59" s="7">
        <f>G59</f>
        <v>250000</v>
      </c>
      <c r="I59" s="7">
        <v>0</v>
      </c>
      <c r="L59" s="10">
        <f t="shared" ref="L59:L69" si="14">ROUND(100%*H59,0)</f>
        <v>250000</v>
      </c>
      <c r="R59" s="16">
        <f t="shared" si="1"/>
        <v>250000</v>
      </c>
      <c r="S59" s="12" t="s">
        <v>87</v>
      </c>
    </row>
    <row r="60" spans="1:19" x14ac:dyDescent="0.25">
      <c r="A60" s="6" t="s">
        <v>92</v>
      </c>
      <c r="B60" s="6" t="s">
        <v>90</v>
      </c>
      <c r="C60" s="6" t="s">
        <v>18</v>
      </c>
      <c r="D60" s="46">
        <v>88981</v>
      </c>
      <c r="E60" s="46">
        <v>84981</v>
      </c>
      <c r="F60" s="6" t="s">
        <v>26</v>
      </c>
      <c r="G60" s="7">
        <v>195000</v>
      </c>
      <c r="H60" s="7">
        <v>195000</v>
      </c>
      <c r="I60" s="7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6">
        <f t="shared" si="1"/>
        <v>0</v>
      </c>
      <c r="S60" s="12" t="s">
        <v>93</v>
      </c>
    </row>
    <row r="61" spans="1:19" x14ac:dyDescent="0.25">
      <c r="A61" s="6" t="s">
        <v>59</v>
      </c>
      <c r="B61" s="6" t="s">
        <v>90</v>
      </c>
      <c r="C61" s="6" t="s">
        <v>18</v>
      </c>
      <c r="D61" s="48">
        <v>88987</v>
      </c>
      <c r="E61" s="48">
        <v>84914</v>
      </c>
      <c r="F61" s="6" t="s">
        <v>60</v>
      </c>
      <c r="G61" s="7">
        <v>300000</v>
      </c>
      <c r="H61" s="7">
        <f>G61</f>
        <v>300000</v>
      </c>
      <c r="I61" s="7">
        <v>0</v>
      </c>
      <c r="L61" s="10">
        <f t="shared" si="14"/>
        <v>300000</v>
      </c>
      <c r="R61" s="16">
        <f t="shared" si="1"/>
        <v>300000</v>
      </c>
      <c r="S61" s="12" t="s">
        <v>87</v>
      </c>
    </row>
    <row r="62" spans="1:19" x14ac:dyDescent="0.25">
      <c r="A62" s="6" t="s">
        <v>61</v>
      </c>
      <c r="B62" s="6" t="s">
        <v>90</v>
      </c>
      <c r="C62" s="6" t="s">
        <v>18</v>
      </c>
      <c r="D62" s="46">
        <v>88981</v>
      </c>
      <c r="E62" s="46">
        <v>84981</v>
      </c>
      <c r="F62" s="6" t="s">
        <v>33</v>
      </c>
      <c r="G62" s="7">
        <v>846173</v>
      </c>
      <c r="H62" s="7">
        <f>G62</f>
        <v>846173</v>
      </c>
      <c r="I62" s="7">
        <v>0</v>
      </c>
      <c r="L62" s="10">
        <f t="shared" si="14"/>
        <v>846173</v>
      </c>
      <c r="R62" s="16">
        <f t="shared" si="1"/>
        <v>846173</v>
      </c>
      <c r="S62" s="12" t="s">
        <v>87</v>
      </c>
    </row>
    <row r="63" spans="1:19" x14ac:dyDescent="0.25">
      <c r="A63" s="6" t="s">
        <v>62</v>
      </c>
      <c r="B63" s="6" t="s">
        <v>90</v>
      </c>
      <c r="C63" s="6" t="s">
        <v>18</v>
      </c>
      <c r="D63" s="47">
        <v>88989</v>
      </c>
      <c r="E63" s="47">
        <v>84916</v>
      </c>
      <c r="F63" s="6" t="s">
        <v>63</v>
      </c>
      <c r="G63" s="7">
        <v>148462</v>
      </c>
      <c r="H63" s="7">
        <f t="shared" si="11"/>
        <v>72747</v>
      </c>
      <c r="I63" s="7">
        <f t="shared" si="12"/>
        <v>75715</v>
      </c>
      <c r="M63" s="10">
        <f>ROUND(36%*H63,0)</f>
        <v>26189</v>
      </c>
      <c r="R63" s="16">
        <f t="shared" si="1"/>
        <v>26189</v>
      </c>
    </row>
    <row r="64" spans="1:19" x14ac:dyDescent="0.25">
      <c r="A64" s="6" t="s">
        <v>64</v>
      </c>
      <c r="B64" s="6" t="s">
        <v>90</v>
      </c>
      <c r="C64" s="6" t="s">
        <v>18</v>
      </c>
      <c r="D64" s="47">
        <v>88989</v>
      </c>
      <c r="E64" s="47">
        <v>84916</v>
      </c>
      <c r="F64" s="6" t="s">
        <v>63</v>
      </c>
      <c r="G64" s="7">
        <v>145744</v>
      </c>
      <c r="H64" s="7">
        <f t="shared" si="11"/>
        <v>71415</v>
      </c>
      <c r="I64" s="7">
        <f t="shared" si="12"/>
        <v>74329</v>
      </c>
      <c r="J64" s="10">
        <f>ROUND(36%*H64,0)</f>
        <v>25709</v>
      </c>
      <c r="R64" s="16">
        <f t="shared" si="1"/>
        <v>25709</v>
      </c>
    </row>
    <row r="65" spans="1:19" x14ac:dyDescent="0.25">
      <c r="A65" s="6" t="s">
        <v>65</v>
      </c>
      <c r="B65" s="6" t="s">
        <v>90</v>
      </c>
      <c r="C65" s="6" t="s">
        <v>18</v>
      </c>
      <c r="D65" s="47">
        <v>88990</v>
      </c>
      <c r="E65" s="47">
        <v>84917</v>
      </c>
      <c r="F65" s="6" t="s">
        <v>28</v>
      </c>
      <c r="G65" s="7">
        <v>420000</v>
      </c>
      <c r="H65" s="7">
        <f>G65</f>
        <v>420000</v>
      </c>
      <c r="I65" s="7">
        <v>0</v>
      </c>
      <c r="M65" s="10">
        <f>ROUND(100%*H65,0)</f>
        <v>420000</v>
      </c>
      <c r="R65" s="16">
        <f t="shared" si="1"/>
        <v>420000</v>
      </c>
      <c r="S65" s="12" t="s">
        <v>87</v>
      </c>
    </row>
    <row r="66" spans="1:19" x14ac:dyDescent="0.25">
      <c r="A66" s="6" t="s">
        <v>66</v>
      </c>
      <c r="B66" s="6" t="s">
        <v>90</v>
      </c>
      <c r="C66" s="6" t="s">
        <v>18</v>
      </c>
      <c r="D66" s="47">
        <v>88991</v>
      </c>
      <c r="E66" s="47">
        <v>84918</v>
      </c>
      <c r="F66" s="6" t="s">
        <v>28</v>
      </c>
      <c r="G66" s="7">
        <v>150000</v>
      </c>
      <c r="H66" s="7">
        <f>G66</f>
        <v>150000</v>
      </c>
      <c r="I66" s="7">
        <v>0</v>
      </c>
      <c r="L66" s="10">
        <f t="shared" si="14"/>
        <v>150000</v>
      </c>
      <c r="R66" s="16">
        <f t="shared" si="1"/>
        <v>150000</v>
      </c>
      <c r="S66" s="12" t="s">
        <v>87</v>
      </c>
    </row>
    <row r="67" spans="1:19" x14ac:dyDescent="0.25">
      <c r="A67" s="6" t="s">
        <v>67</v>
      </c>
      <c r="B67" s="6" t="s">
        <v>90</v>
      </c>
      <c r="C67" s="6" t="s">
        <v>18</v>
      </c>
      <c r="D67" s="47">
        <v>88992</v>
      </c>
      <c r="E67" s="47">
        <v>84919</v>
      </c>
      <c r="F67" s="6" t="s">
        <v>28</v>
      </c>
      <c r="G67" s="7">
        <v>365000</v>
      </c>
      <c r="H67" s="7">
        <f>G67</f>
        <v>365000</v>
      </c>
      <c r="I67" s="7">
        <v>0</v>
      </c>
      <c r="L67" s="10">
        <f t="shared" si="14"/>
        <v>365000</v>
      </c>
      <c r="R67" s="16">
        <f t="shared" si="1"/>
        <v>365000</v>
      </c>
      <c r="S67" s="12" t="s">
        <v>87</v>
      </c>
    </row>
    <row r="68" spans="1:19" x14ac:dyDescent="0.25">
      <c r="A68" s="6" t="s">
        <v>68</v>
      </c>
      <c r="B68" s="6" t="s">
        <v>90</v>
      </c>
      <c r="C68" s="6" t="s">
        <v>18</v>
      </c>
      <c r="D68" s="47">
        <v>86901</v>
      </c>
      <c r="E68" s="47">
        <v>84920</v>
      </c>
      <c r="F68" s="6" t="s">
        <v>31</v>
      </c>
      <c r="G68" s="7">
        <v>500000</v>
      </c>
      <c r="H68" s="7">
        <f>G68</f>
        <v>500000</v>
      </c>
      <c r="I68" s="7">
        <v>0</v>
      </c>
      <c r="L68" s="10">
        <f t="shared" si="14"/>
        <v>500000</v>
      </c>
      <c r="R68" s="16">
        <f t="shared" si="1"/>
        <v>500000</v>
      </c>
      <c r="S68" s="12" t="s">
        <v>87</v>
      </c>
    </row>
    <row r="69" spans="1:19" x14ac:dyDescent="0.25">
      <c r="A69" s="6" t="s">
        <v>69</v>
      </c>
      <c r="B69" s="6" t="s">
        <v>90</v>
      </c>
      <c r="C69" s="6" t="s">
        <v>18</v>
      </c>
      <c r="D69" s="47">
        <v>88988</v>
      </c>
      <c r="E69" s="47">
        <v>84915</v>
      </c>
      <c r="F69" s="6" t="s">
        <v>70</v>
      </c>
      <c r="G69" s="7">
        <v>3000000</v>
      </c>
      <c r="H69" s="7">
        <f>G69</f>
        <v>3000000</v>
      </c>
      <c r="I69" s="7">
        <v>0</v>
      </c>
      <c r="L69" s="10">
        <f t="shared" si="14"/>
        <v>3000000</v>
      </c>
      <c r="R69" s="16">
        <f t="shared" si="1"/>
        <v>3000000</v>
      </c>
      <c r="S69" s="12" t="s">
        <v>87</v>
      </c>
    </row>
    <row r="70" spans="1:19" s="32" customFormat="1" x14ac:dyDescent="0.25">
      <c r="A70" s="31" t="s">
        <v>95</v>
      </c>
      <c r="C70" s="33" t="s">
        <v>18</v>
      </c>
      <c r="D70" s="49">
        <v>30000</v>
      </c>
      <c r="E70" s="49">
        <v>30520</v>
      </c>
      <c r="F70" s="33" t="s">
        <v>98</v>
      </c>
      <c r="G70" s="34">
        <v>2500000</v>
      </c>
      <c r="H70" s="7">
        <f>ROUNDUP(G70*49%,0)</f>
        <v>1225000</v>
      </c>
      <c r="I70" s="7">
        <f>ROUNDUP(G70*51%,0)</f>
        <v>1275000</v>
      </c>
      <c r="J70" s="22"/>
      <c r="K70" s="22"/>
      <c r="L70" s="22"/>
      <c r="M70" s="22"/>
      <c r="N70" s="22"/>
      <c r="O70" s="22"/>
      <c r="P70" s="22"/>
      <c r="Q70" s="22"/>
      <c r="R70" s="16">
        <f t="shared" si="1"/>
        <v>0</v>
      </c>
      <c r="S70" s="17" t="s">
        <v>101</v>
      </c>
    </row>
    <row r="71" spans="1:19" s="32" customFormat="1" x14ac:dyDescent="0.25">
      <c r="A71" s="31" t="s">
        <v>96</v>
      </c>
      <c r="C71" s="33" t="s">
        <v>18</v>
      </c>
      <c r="D71" s="49">
        <v>30000</v>
      </c>
      <c r="E71" s="49">
        <v>30521</v>
      </c>
      <c r="F71" s="33" t="s">
        <v>98</v>
      </c>
      <c r="G71" s="34">
        <v>2150000</v>
      </c>
      <c r="H71" s="7">
        <f>ROUNDUP(G71*49%,0)</f>
        <v>1053500</v>
      </c>
      <c r="I71" s="7">
        <f>ROUNDUP(G71*51%,0)</f>
        <v>1096500</v>
      </c>
      <c r="J71" s="22"/>
      <c r="K71" s="22"/>
      <c r="L71" s="22"/>
      <c r="M71" s="22"/>
      <c r="N71" s="22"/>
      <c r="O71" s="22"/>
      <c r="P71" s="22"/>
      <c r="Q71" s="22"/>
      <c r="R71" s="16">
        <f t="shared" si="1"/>
        <v>0</v>
      </c>
      <c r="S71" s="17" t="s">
        <v>101</v>
      </c>
    </row>
    <row r="72" spans="1:19" s="32" customFormat="1" x14ac:dyDescent="0.25">
      <c r="A72" s="31" t="s">
        <v>97</v>
      </c>
      <c r="C72" s="33" t="s">
        <v>18</v>
      </c>
      <c r="D72" s="49">
        <v>30000</v>
      </c>
      <c r="E72" s="49">
        <v>30522</v>
      </c>
      <c r="F72" s="33" t="s">
        <v>98</v>
      </c>
      <c r="G72" s="34">
        <v>250000</v>
      </c>
      <c r="H72" s="7">
        <f>ROUNDUP(G72*49%,0)</f>
        <v>122500</v>
      </c>
      <c r="I72" s="7">
        <f>ROUNDUP(G72*51%,0)</f>
        <v>127500</v>
      </c>
      <c r="J72" s="22"/>
      <c r="K72" s="22"/>
      <c r="L72" s="22"/>
      <c r="M72" s="22"/>
      <c r="N72" s="22"/>
      <c r="O72" s="22"/>
      <c r="P72" s="22"/>
      <c r="Q72" s="22"/>
      <c r="R72" s="16">
        <f t="shared" si="1"/>
        <v>0</v>
      </c>
      <c r="S72" s="17" t="s">
        <v>101</v>
      </c>
    </row>
    <row r="73" spans="1:19" x14ac:dyDescent="0.25">
      <c r="A73" s="6"/>
      <c r="B73" s="6"/>
      <c r="C73" s="6"/>
      <c r="F73" s="6"/>
      <c r="G73" s="7"/>
      <c r="H73" s="7"/>
      <c r="I73" s="7"/>
      <c r="R73" s="16"/>
    </row>
    <row r="74" spans="1:19" x14ac:dyDescent="0.25">
      <c r="A74" s="6"/>
      <c r="B74" s="6"/>
      <c r="C74" s="6"/>
      <c r="F74" s="6"/>
      <c r="G74" s="7"/>
      <c r="H74" s="7"/>
      <c r="I74" s="7"/>
      <c r="R74" s="16"/>
    </row>
    <row r="75" spans="1:19" x14ac:dyDescent="0.25">
      <c r="A75" s="2" t="s">
        <v>71</v>
      </c>
      <c r="B75" s="2"/>
      <c r="C75" s="2"/>
      <c r="D75" s="45"/>
      <c r="E75" s="45"/>
      <c r="F75" s="2"/>
      <c r="G75" s="4">
        <f>G39+G29+G25+G10+G8+G5+G27</f>
        <v>1484834743</v>
      </c>
      <c r="H75" s="4">
        <f t="shared" ref="H75:R75" si="15">H39+H29+H25+H10+H8+H5+H27</f>
        <v>738193837</v>
      </c>
      <c r="I75" s="4">
        <f t="shared" si="15"/>
        <v>746640906</v>
      </c>
      <c r="J75" s="4">
        <f t="shared" si="15"/>
        <v>9715542</v>
      </c>
      <c r="K75" s="4">
        <f t="shared" si="15"/>
        <v>14183717</v>
      </c>
      <c r="L75" s="4">
        <f t="shared" si="15"/>
        <v>112084589</v>
      </c>
      <c r="M75" s="4">
        <f t="shared" si="15"/>
        <v>50307739</v>
      </c>
      <c r="N75" s="4">
        <f t="shared" si="15"/>
        <v>11194080</v>
      </c>
      <c r="O75" s="4">
        <f t="shared" si="15"/>
        <v>34848845</v>
      </c>
      <c r="P75" s="4">
        <f t="shared" si="15"/>
        <v>13397352</v>
      </c>
      <c r="Q75" s="4">
        <f t="shared" si="15"/>
        <v>17599047</v>
      </c>
      <c r="R75" s="4">
        <f t="shared" si="15"/>
        <v>263330911</v>
      </c>
    </row>
    <row r="76" spans="1:19" x14ac:dyDescent="0.25">
      <c r="A76" s="2"/>
      <c r="B76" s="2"/>
      <c r="C76" s="2"/>
      <c r="D76" s="45"/>
      <c r="E76" s="45"/>
      <c r="F76" s="2"/>
      <c r="G76" s="4"/>
      <c r="H76" s="4"/>
      <c r="I76" s="4"/>
      <c r="R76" s="9"/>
    </row>
    <row r="77" spans="1:19" x14ac:dyDescent="0.25">
      <c r="R77" s="9"/>
    </row>
    <row r="78" spans="1:19" x14ac:dyDescent="0.25">
      <c r="R78" s="9"/>
    </row>
  </sheetData>
  <pageMargins left="0.7" right="0.7" top="0.75" bottom="0.75" header="0.3" footer="0.3"/>
  <pageSetup orientation="portrait" r:id="rId1"/>
  <ignoredErrors>
    <ignoredError sqref="H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8"/>
  <sheetViews>
    <sheetView workbookViewId="0">
      <pane ySplit="1" topLeftCell="A61" activePane="bottomLeft" state="frozen"/>
      <selection pane="bottomLeft" activeCell="D1" sqref="D1:E1048576"/>
    </sheetView>
  </sheetViews>
  <sheetFormatPr defaultColWidth="9.140625" defaultRowHeight="15" x14ac:dyDescent="0.25"/>
  <cols>
    <col min="1" max="1" width="49.5703125" style="6" customWidth="1"/>
    <col min="2" max="2" width="11" style="6" customWidth="1"/>
    <col min="3" max="3" width="5.28515625" style="6" bestFit="1" customWidth="1"/>
    <col min="4" max="4" width="8.42578125" style="46" bestFit="1" customWidth="1"/>
    <col min="5" max="5" width="9.140625" style="46" customWidth="1"/>
    <col min="6" max="6" width="7.85546875" style="6" bestFit="1" customWidth="1"/>
    <col min="7" max="9" width="16.85546875" style="6" bestFit="1" customWidth="1"/>
    <col min="10" max="10" width="13.28515625" style="15" bestFit="1" customWidth="1"/>
    <col min="11" max="11" width="14.28515625" style="15" bestFit="1" customWidth="1"/>
    <col min="12" max="12" width="15.28515625" style="15" bestFit="1" customWidth="1"/>
    <col min="13" max="13" width="14.28515625" style="15" bestFit="1" customWidth="1"/>
    <col min="14" max="14" width="14.140625" style="15" bestFit="1" customWidth="1"/>
    <col min="15" max="16" width="14.28515625" style="15" bestFit="1" customWidth="1"/>
    <col min="17" max="17" width="15.28515625" style="15" bestFit="1" customWidth="1"/>
    <col min="18" max="18" width="15.140625" style="6" bestFit="1" customWidth="1"/>
    <col min="19" max="19" width="13.28515625" style="17" bestFit="1" customWidth="1"/>
    <col min="20" max="16384" width="9.140625" style="6"/>
  </cols>
  <sheetData>
    <row r="1" spans="1:19" x14ac:dyDescent="0.25">
      <c r="A1" s="2" t="s">
        <v>11</v>
      </c>
      <c r="B1" s="2" t="s">
        <v>88</v>
      </c>
      <c r="C1" s="2" t="s">
        <v>12</v>
      </c>
      <c r="D1" s="45" t="s">
        <v>13</v>
      </c>
      <c r="E1" s="45" t="s">
        <v>0</v>
      </c>
      <c r="F1" s="2" t="s">
        <v>14</v>
      </c>
      <c r="G1" s="3" t="s">
        <v>15</v>
      </c>
      <c r="H1" s="4" t="s">
        <v>16</v>
      </c>
      <c r="I1" s="4" t="s">
        <v>17</v>
      </c>
      <c r="J1" s="20" t="s">
        <v>1</v>
      </c>
      <c r="K1" s="20" t="s">
        <v>2</v>
      </c>
      <c r="L1" s="20" t="s">
        <v>3</v>
      </c>
      <c r="M1" s="20" t="s">
        <v>4</v>
      </c>
      <c r="N1" s="20" t="s">
        <v>5</v>
      </c>
      <c r="O1" s="20" t="s">
        <v>6</v>
      </c>
      <c r="P1" s="20" t="s">
        <v>7</v>
      </c>
      <c r="Q1" s="20" t="s">
        <v>8</v>
      </c>
      <c r="R1" s="2" t="s">
        <v>9</v>
      </c>
      <c r="S1" s="21" t="s">
        <v>10</v>
      </c>
    </row>
    <row r="2" spans="1:19" x14ac:dyDescent="0.25">
      <c r="G2" s="7"/>
      <c r="H2" s="7"/>
      <c r="I2" s="7"/>
      <c r="R2" s="16"/>
    </row>
    <row r="3" spans="1:19" x14ac:dyDescent="0.25">
      <c r="A3" s="2" t="s">
        <v>72</v>
      </c>
      <c r="B3" s="2"/>
      <c r="C3" s="2"/>
      <c r="D3" s="45"/>
      <c r="E3" s="45"/>
      <c r="F3" s="2"/>
      <c r="G3" s="4">
        <f>G5+G8</f>
        <v>1005047933</v>
      </c>
      <c r="H3" s="4">
        <f>H5+H8</f>
        <v>495617373</v>
      </c>
      <c r="I3" s="4">
        <f>I5+I8</f>
        <v>509430560</v>
      </c>
      <c r="R3" s="16"/>
    </row>
    <row r="4" spans="1:19" s="24" customFormat="1" x14ac:dyDescent="0.25">
      <c r="A4" s="24" t="s">
        <v>73</v>
      </c>
      <c r="B4" s="24" t="s">
        <v>89</v>
      </c>
      <c r="C4" s="24" t="s">
        <v>18</v>
      </c>
      <c r="D4" s="46">
        <v>88983</v>
      </c>
      <c r="E4" s="46">
        <v>84983</v>
      </c>
      <c r="F4" s="24" t="s">
        <v>19</v>
      </c>
      <c r="G4" s="25">
        <f>998717592+165859</f>
        <v>998883451</v>
      </c>
      <c r="H4" s="25">
        <f>ROUNDUP(G4*49%,0)</f>
        <v>489452891</v>
      </c>
      <c r="I4" s="25">
        <f>ROUNDDOWN(G4*51%,0)</f>
        <v>509430560</v>
      </c>
      <c r="J4" s="26">
        <v>5473464.3999999994</v>
      </c>
      <c r="K4" s="26">
        <v>8174448.7999999998</v>
      </c>
      <c r="L4" s="26">
        <v>38575969.639999993</v>
      </c>
      <c r="M4" s="26">
        <v>28188386.999999996</v>
      </c>
      <c r="N4" s="26">
        <v>6540268.3999999994</v>
      </c>
      <c r="O4" s="26">
        <v>22607006.599999998</v>
      </c>
      <c r="P4" s="26">
        <v>7909146.7999999989</v>
      </c>
      <c r="Q4" s="27"/>
      <c r="R4" s="28">
        <f>J4+K4+L4+M4+N4+O4+P4+Q4</f>
        <v>117468691.63999999</v>
      </c>
      <c r="S4" s="29"/>
    </row>
    <row r="5" spans="1:19" x14ac:dyDescent="0.25">
      <c r="A5" s="2" t="s">
        <v>74</v>
      </c>
      <c r="B5" s="2"/>
      <c r="C5" s="2"/>
      <c r="D5" s="45"/>
      <c r="E5" s="45"/>
      <c r="F5" s="2"/>
      <c r="G5" s="4">
        <f>SUM(G4:G4)</f>
        <v>998883451</v>
      </c>
      <c r="H5" s="4">
        <f>SUM(H4:H4)</f>
        <v>489452891</v>
      </c>
      <c r="I5" s="4">
        <f t="shared" ref="I5:Q5" si="0">SUM(I4:I4)</f>
        <v>509430560</v>
      </c>
      <c r="J5" s="4">
        <f t="shared" si="0"/>
        <v>5473464.3999999994</v>
      </c>
      <c r="K5" s="4">
        <f t="shared" si="0"/>
        <v>8174448.7999999998</v>
      </c>
      <c r="L5" s="4">
        <f t="shared" si="0"/>
        <v>38575969.639999993</v>
      </c>
      <c r="M5" s="4">
        <f t="shared" si="0"/>
        <v>28188386.999999996</v>
      </c>
      <c r="N5" s="4">
        <f t="shared" si="0"/>
        <v>6540268.3999999994</v>
      </c>
      <c r="O5" s="4">
        <f t="shared" si="0"/>
        <v>22607006.599999998</v>
      </c>
      <c r="P5" s="4">
        <f t="shared" si="0"/>
        <v>7909146.7999999989</v>
      </c>
      <c r="Q5" s="4">
        <f t="shared" si="0"/>
        <v>0</v>
      </c>
      <c r="R5" s="19">
        <f>J5+K5+L5+M5+N5+O5+P5+Q5</f>
        <v>117468691.63999999</v>
      </c>
    </row>
    <row r="6" spans="1:19" x14ac:dyDescent="0.25">
      <c r="A6" s="2"/>
      <c r="B6" s="2"/>
      <c r="C6" s="2"/>
      <c r="D6" s="45"/>
      <c r="E6" s="45"/>
      <c r="F6" s="2"/>
      <c r="G6" s="4"/>
      <c r="H6" s="4"/>
      <c r="I6" s="4"/>
      <c r="R6" s="16"/>
    </row>
    <row r="7" spans="1:19" x14ac:dyDescent="0.25">
      <c r="A7" s="6" t="s">
        <v>20</v>
      </c>
      <c r="B7" s="6" t="s">
        <v>90</v>
      </c>
      <c r="C7" s="6" t="s">
        <v>18</v>
      </c>
      <c r="D7" s="47">
        <v>88983</v>
      </c>
      <c r="E7" s="47">
        <v>84989</v>
      </c>
      <c r="F7" s="6" t="s">
        <v>19</v>
      </c>
      <c r="G7" s="7">
        <v>6164482</v>
      </c>
      <c r="H7" s="7">
        <f>G7</f>
        <v>6164482</v>
      </c>
      <c r="I7" s="7">
        <v>0</v>
      </c>
      <c r="R7" s="16">
        <f t="shared" ref="R7:R72" si="1">J7+K7+L7+M7+N7+O7+P7+Q7</f>
        <v>0</v>
      </c>
      <c r="S7" s="17" t="s">
        <v>87</v>
      </c>
    </row>
    <row r="8" spans="1:19" x14ac:dyDescent="0.25">
      <c r="A8" s="2" t="s">
        <v>75</v>
      </c>
      <c r="B8" s="2"/>
      <c r="C8" s="2"/>
      <c r="D8" s="45"/>
      <c r="E8" s="45"/>
      <c r="F8" s="2"/>
      <c r="G8" s="4">
        <f>SUM(G7:G7)</f>
        <v>6164482</v>
      </c>
      <c r="H8" s="4">
        <f>SUM(H7:H7)</f>
        <v>6164482</v>
      </c>
      <c r="I8" s="4">
        <f>SUM(I7:I7)</f>
        <v>0</v>
      </c>
      <c r="J8" s="4">
        <f t="shared" ref="J8:Q8" si="2">SUM(J7:J7)</f>
        <v>0</v>
      </c>
      <c r="K8" s="4">
        <f t="shared" si="2"/>
        <v>0</v>
      </c>
      <c r="L8" s="4">
        <f t="shared" si="2"/>
        <v>0</v>
      </c>
      <c r="M8" s="4">
        <f t="shared" si="2"/>
        <v>0</v>
      </c>
      <c r="N8" s="4">
        <f t="shared" si="2"/>
        <v>0</v>
      </c>
      <c r="O8" s="4">
        <f t="shared" si="2"/>
        <v>0</v>
      </c>
      <c r="P8" s="4">
        <f t="shared" si="2"/>
        <v>0</v>
      </c>
      <c r="Q8" s="4">
        <f t="shared" si="2"/>
        <v>0</v>
      </c>
      <c r="R8" s="19">
        <f t="shared" si="1"/>
        <v>0</v>
      </c>
    </row>
    <row r="9" spans="1:19" x14ac:dyDescent="0.25">
      <c r="G9" s="7"/>
      <c r="H9" s="7"/>
      <c r="I9" s="7"/>
      <c r="R9" s="16"/>
    </row>
    <row r="10" spans="1:19" s="2" customFormat="1" x14ac:dyDescent="0.25">
      <c r="A10" s="2" t="s">
        <v>76</v>
      </c>
      <c r="D10" s="45"/>
      <c r="E10" s="45"/>
      <c r="G10" s="4">
        <f>G12+G21+G23</f>
        <v>243268086</v>
      </c>
      <c r="H10" s="4">
        <f>H12+H21+H23</f>
        <v>121835515</v>
      </c>
      <c r="I10" s="4">
        <f>I12+I21+I23</f>
        <v>121432571</v>
      </c>
      <c r="J10" s="4">
        <f t="shared" ref="J10:Q10" si="3">J12+J21+J23</f>
        <v>0</v>
      </c>
      <c r="K10" s="4">
        <f t="shared" si="3"/>
        <v>0</v>
      </c>
      <c r="L10" s="4">
        <f t="shared" si="3"/>
        <v>28277313</v>
      </c>
      <c r="M10" s="4">
        <f t="shared" si="3"/>
        <v>0</v>
      </c>
      <c r="N10" s="4">
        <f t="shared" si="3"/>
        <v>0</v>
      </c>
      <c r="O10" s="4">
        <f t="shared" si="3"/>
        <v>0</v>
      </c>
      <c r="P10" s="4">
        <f t="shared" si="3"/>
        <v>0</v>
      </c>
      <c r="Q10" s="4">
        <f t="shared" si="3"/>
        <v>0</v>
      </c>
      <c r="R10" s="19">
        <f t="shared" si="1"/>
        <v>28277313</v>
      </c>
      <c r="S10" s="21"/>
    </row>
    <row r="11" spans="1:19" x14ac:dyDescent="0.25">
      <c r="A11" s="6" t="s">
        <v>21</v>
      </c>
      <c r="B11" s="6" t="s">
        <v>90</v>
      </c>
      <c r="C11" s="6" t="s">
        <v>18</v>
      </c>
      <c r="D11" s="46">
        <v>86900</v>
      </c>
      <c r="E11" s="46">
        <v>84904</v>
      </c>
      <c r="F11" s="6" t="s">
        <v>19</v>
      </c>
      <c r="G11" s="7">
        <v>97016982</v>
      </c>
      <c r="H11" s="7">
        <f>ROUNDUP(G11*49%,0)</f>
        <v>47538322</v>
      </c>
      <c r="I11" s="7">
        <f>ROUNDDOWN(G11*51%,0)</f>
        <v>49478660</v>
      </c>
      <c r="L11" s="15">
        <f>ROUND(H11*24%,0)</f>
        <v>11409197</v>
      </c>
      <c r="R11" s="16">
        <f t="shared" si="1"/>
        <v>11409197</v>
      </c>
    </row>
    <row r="12" spans="1:19" s="2" customFormat="1" x14ac:dyDescent="0.25">
      <c r="A12" s="2" t="s">
        <v>77</v>
      </c>
      <c r="D12" s="45"/>
      <c r="E12" s="45"/>
      <c r="G12" s="4">
        <f>SUM(G11:G11)</f>
        <v>97016982</v>
      </c>
      <c r="H12" s="4">
        <f t="shared" ref="H12:Q12" si="4">SUM(H11:H11)</f>
        <v>47538322</v>
      </c>
      <c r="I12" s="4">
        <f t="shared" si="4"/>
        <v>49478660</v>
      </c>
      <c r="J12" s="4">
        <f t="shared" si="4"/>
        <v>0</v>
      </c>
      <c r="K12" s="4">
        <f t="shared" si="4"/>
        <v>0</v>
      </c>
      <c r="L12" s="4">
        <f t="shared" si="4"/>
        <v>11409197</v>
      </c>
      <c r="M12" s="4">
        <f t="shared" si="4"/>
        <v>0</v>
      </c>
      <c r="N12" s="4">
        <f t="shared" si="4"/>
        <v>0</v>
      </c>
      <c r="O12" s="4">
        <f t="shared" si="4"/>
        <v>0</v>
      </c>
      <c r="P12" s="4">
        <f t="shared" si="4"/>
        <v>0</v>
      </c>
      <c r="Q12" s="4">
        <f t="shared" si="4"/>
        <v>0</v>
      </c>
      <c r="R12" s="19">
        <f t="shared" si="1"/>
        <v>11409197</v>
      </c>
      <c r="S12" s="21"/>
    </row>
    <row r="13" spans="1:19" x14ac:dyDescent="0.25">
      <c r="G13" s="7"/>
      <c r="H13" s="7"/>
      <c r="I13" s="7"/>
      <c r="R13" s="16">
        <f t="shared" si="1"/>
        <v>0</v>
      </c>
    </row>
    <row r="14" spans="1:19" x14ac:dyDescent="0.25">
      <c r="A14" s="6" t="s">
        <v>22</v>
      </c>
      <c r="B14" s="6" t="s">
        <v>90</v>
      </c>
      <c r="C14" s="6" t="s">
        <v>18</v>
      </c>
      <c r="D14" s="46">
        <v>86900</v>
      </c>
      <c r="E14" s="46">
        <v>84901</v>
      </c>
      <c r="F14" s="6" t="s">
        <v>19</v>
      </c>
      <c r="G14" s="7">
        <v>67769936</v>
      </c>
      <c r="H14" s="7">
        <f>ROUNDUP(G14*49%,0)</f>
        <v>33207269</v>
      </c>
      <c r="I14" s="7">
        <f>ROUNDDOWN(G14*51%,0)</f>
        <v>34562667</v>
      </c>
      <c r="L14" s="15">
        <f>ROUND(H14*24%,0)</f>
        <v>7969745</v>
      </c>
      <c r="R14" s="16">
        <f t="shared" si="1"/>
        <v>7969745</v>
      </c>
    </row>
    <row r="15" spans="1:19" x14ac:dyDescent="0.25">
      <c r="A15" s="6" t="s">
        <v>23</v>
      </c>
      <c r="B15" s="6" t="s">
        <v>90</v>
      </c>
      <c r="C15" s="6" t="s">
        <v>18</v>
      </c>
      <c r="D15" s="46">
        <v>86900</v>
      </c>
      <c r="E15" s="46">
        <v>84901</v>
      </c>
      <c r="F15" s="6" t="s">
        <v>19</v>
      </c>
      <c r="G15" s="7">
        <v>2000000</v>
      </c>
      <c r="H15" s="7">
        <f>G15</f>
        <v>2000000</v>
      </c>
      <c r="I15" s="7">
        <v>0</v>
      </c>
      <c r="L15" s="15">
        <v>0</v>
      </c>
      <c r="R15" s="16">
        <f t="shared" si="1"/>
        <v>0</v>
      </c>
      <c r="S15" s="17" t="s">
        <v>87</v>
      </c>
    </row>
    <row r="16" spans="1:19" x14ac:dyDescent="0.25">
      <c r="A16" s="6" t="s">
        <v>24</v>
      </c>
      <c r="B16" s="6" t="s">
        <v>90</v>
      </c>
      <c r="C16" s="6" t="s">
        <v>25</v>
      </c>
      <c r="D16" s="46">
        <v>41100</v>
      </c>
      <c r="E16" s="48">
        <v>42003</v>
      </c>
      <c r="F16" s="6" t="s">
        <v>19</v>
      </c>
      <c r="G16" s="7">
        <v>56406064</v>
      </c>
      <c r="H16" s="7">
        <f>ROUNDUP(G16*49%,0)</f>
        <v>27638972</v>
      </c>
      <c r="I16" s="7">
        <f>ROUNDDOWN(G16*51%,0)</f>
        <v>28767092</v>
      </c>
      <c r="L16" s="15">
        <f>ROUND(H16*25%,0)</f>
        <v>6909743</v>
      </c>
      <c r="R16" s="16">
        <f t="shared" si="1"/>
        <v>6909743</v>
      </c>
    </row>
    <row r="17" spans="1:19" x14ac:dyDescent="0.25">
      <c r="A17" s="6" t="s">
        <v>27</v>
      </c>
      <c r="B17" s="6" t="s">
        <v>90</v>
      </c>
      <c r="C17" s="6" t="s">
        <v>18</v>
      </c>
      <c r="D17" s="46">
        <v>86900</v>
      </c>
      <c r="E17" s="46">
        <v>84901</v>
      </c>
      <c r="F17" s="6" t="s">
        <v>28</v>
      </c>
      <c r="G17" s="7">
        <v>3085581</v>
      </c>
      <c r="H17" s="7">
        <f>ROUNDUP(G17*49%,0)</f>
        <v>1511935</v>
      </c>
      <c r="I17" s="7">
        <f>ROUNDDOWN(G17*51%,0)</f>
        <v>1573646</v>
      </c>
      <c r="L17" s="15">
        <f>ROUND(H17*24%,0)</f>
        <v>362864</v>
      </c>
      <c r="R17" s="16">
        <f t="shared" si="1"/>
        <v>362864</v>
      </c>
    </row>
    <row r="18" spans="1:19" x14ac:dyDescent="0.25">
      <c r="A18" s="6" t="s">
        <v>29</v>
      </c>
      <c r="B18" s="6" t="s">
        <v>90</v>
      </c>
      <c r="C18" s="6" t="s">
        <v>18</v>
      </c>
      <c r="D18" s="46">
        <v>86900</v>
      </c>
      <c r="E18" s="46">
        <v>84901</v>
      </c>
      <c r="F18" s="6" t="s">
        <v>26</v>
      </c>
      <c r="G18" s="7">
        <v>135000</v>
      </c>
      <c r="H18" s="7">
        <f>G18</f>
        <v>135000</v>
      </c>
      <c r="I18" s="7">
        <v>0</v>
      </c>
      <c r="L18" s="15">
        <v>0</v>
      </c>
      <c r="R18" s="16">
        <f t="shared" si="1"/>
        <v>0</v>
      </c>
      <c r="S18" s="17" t="s">
        <v>87</v>
      </c>
    </row>
    <row r="19" spans="1:19" x14ac:dyDescent="0.25">
      <c r="A19" s="6" t="s">
        <v>30</v>
      </c>
      <c r="B19" s="6" t="s">
        <v>90</v>
      </c>
      <c r="C19" s="6" t="s">
        <v>18</v>
      </c>
      <c r="D19" s="46">
        <v>86900</v>
      </c>
      <c r="E19" s="46">
        <v>84901</v>
      </c>
      <c r="F19" s="6" t="s">
        <v>31</v>
      </c>
      <c r="G19" s="7">
        <v>3000000</v>
      </c>
      <c r="H19" s="7">
        <f>G19</f>
        <v>3000000</v>
      </c>
      <c r="I19" s="7">
        <v>0</v>
      </c>
      <c r="L19" s="15">
        <v>0</v>
      </c>
      <c r="R19" s="16">
        <f t="shared" si="1"/>
        <v>0</v>
      </c>
      <c r="S19" s="17" t="s">
        <v>87</v>
      </c>
    </row>
    <row r="20" spans="1:19" x14ac:dyDescent="0.25">
      <c r="A20" s="6" t="s">
        <v>32</v>
      </c>
      <c r="B20" s="6" t="s">
        <v>90</v>
      </c>
      <c r="C20" s="6" t="s">
        <v>18</v>
      </c>
      <c r="D20" s="46">
        <v>86900</v>
      </c>
      <c r="E20" s="46">
        <v>84901</v>
      </c>
      <c r="F20" s="6" t="s">
        <v>33</v>
      </c>
      <c r="G20" s="7">
        <v>30000</v>
      </c>
      <c r="H20" s="7">
        <f>G20</f>
        <v>30000</v>
      </c>
      <c r="I20" s="7">
        <v>0</v>
      </c>
      <c r="L20" s="15">
        <v>0</v>
      </c>
      <c r="R20" s="16">
        <f t="shared" si="1"/>
        <v>0</v>
      </c>
      <c r="S20" s="17" t="s">
        <v>87</v>
      </c>
    </row>
    <row r="21" spans="1:19" x14ac:dyDescent="0.25">
      <c r="A21" s="2" t="s">
        <v>78</v>
      </c>
      <c r="B21" s="2"/>
      <c r="C21" s="2"/>
      <c r="D21" s="45"/>
      <c r="E21" s="45"/>
      <c r="F21" s="2"/>
      <c r="G21" s="4">
        <f>SUM(G14:G20)</f>
        <v>132426581</v>
      </c>
      <c r="H21" s="4">
        <f>SUM(H14:H20)</f>
        <v>67523176</v>
      </c>
      <c r="I21" s="4">
        <f>SUM(I14:I20)</f>
        <v>64903405</v>
      </c>
      <c r="J21" s="4">
        <f t="shared" ref="J21:Q21" si="5">SUM(J14:J20)</f>
        <v>0</v>
      </c>
      <c r="K21" s="4">
        <f t="shared" si="5"/>
        <v>0</v>
      </c>
      <c r="L21" s="4">
        <f t="shared" si="5"/>
        <v>15242352</v>
      </c>
      <c r="M21" s="4">
        <f t="shared" si="5"/>
        <v>0</v>
      </c>
      <c r="N21" s="4">
        <f t="shared" si="5"/>
        <v>0</v>
      </c>
      <c r="O21" s="4">
        <f t="shared" si="5"/>
        <v>0</v>
      </c>
      <c r="P21" s="4">
        <f t="shared" si="5"/>
        <v>0</v>
      </c>
      <c r="Q21" s="4">
        <f t="shared" si="5"/>
        <v>0</v>
      </c>
      <c r="R21" s="19">
        <f t="shared" si="1"/>
        <v>15242352</v>
      </c>
    </row>
    <row r="22" spans="1:19" x14ac:dyDescent="0.25">
      <c r="E22" s="46" t="s">
        <v>34</v>
      </c>
      <c r="G22" s="7"/>
      <c r="H22" s="7"/>
      <c r="I22" s="7"/>
      <c r="R22" s="16"/>
    </row>
    <row r="23" spans="1:19" s="2" customFormat="1" x14ac:dyDescent="0.25">
      <c r="A23" s="2" t="s">
        <v>79</v>
      </c>
      <c r="B23" s="6" t="s">
        <v>90</v>
      </c>
      <c r="C23" s="2" t="s">
        <v>18</v>
      </c>
      <c r="D23" s="45">
        <v>86900</v>
      </c>
      <c r="E23" s="45">
        <v>84902</v>
      </c>
      <c r="G23" s="4">
        <v>13824523</v>
      </c>
      <c r="H23" s="4">
        <f>ROUNDUP(G23*49%,0)</f>
        <v>6774017</v>
      </c>
      <c r="I23" s="4">
        <f>ROUNDDOWN(G23*51%,0)</f>
        <v>7050506</v>
      </c>
      <c r="J23" s="20"/>
      <c r="K23" s="20"/>
      <c r="L23" s="20">
        <f>ROUND(H23*24%,0)</f>
        <v>1625764</v>
      </c>
      <c r="M23" s="20"/>
      <c r="N23" s="20"/>
      <c r="O23" s="20"/>
      <c r="P23" s="20"/>
      <c r="Q23" s="20"/>
      <c r="R23" s="19">
        <f t="shared" si="1"/>
        <v>1625764</v>
      </c>
      <c r="S23" s="21"/>
    </row>
    <row r="24" spans="1:19" x14ac:dyDescent="0.25">
      <c r="G24" s="7"/>
      <c r="H24" s="4"/>
      <c r="I24" s="4"/>
      <c r="R24" s="16"/>
    </row>
    <row r="25" spans="1:19" s="2" customFormat="1" x14ac:dyDescent="0.25">
      <c r="A25" s="2" t="s">
        <v>80</v>
      </c>
      <c r="B25" s="6" t="s">
        <v>90</v>
      </c>
      <c r="C25" s="2" t="s">
        <v>25</v>
      </c>
      <c r="D25" s="45">
        <v>41200</v>
      </c>
      <c r="E25" s="45">
        <v>42001</v>
      </c>
      <c r="F25" s="2" t="s">
        <v>19</v>
      </c>
      <c r="G25" s="4">
        <v>18329943</v>
      </c>
      <c r="H25" s="4">
        <f>ROUNDUP(G25*50%,0)</f>
        <v>9164972</v>
      </c>
      <c r="I25" s="4">
        <f>ROUNDDOWN(G25*50%,0)</f>
        <v>9164971</v>
      </c>
      <c r="J25" s="20">
        <v>396595</v>
      </c>
      <c r="K25" s="20">
        <v>396595</v>
      </c>
      <c r="L25" s="20">
        <v>167377</v>
      </c>
      <c r="M25" s="20">
        <v>370109</v>
      </c>
      <c r="N25" s="20">
        <v>396595</v>
      </c>
      <c r="O25" s="20">
        <v>167377</v>
      </c>
      <c r="P25" s="20">
        <v>396595</v>
      </c>
      <c r="Q25" s="20">
        <v>0</v>
      </c>
      <c r="R25" s="19">
        <f t="shared" si="1"/>
        <v>2291243</v>
      </c>
      <c r="S25" s="21"/>
    </row>
    <row r="26" spans="1:19" s="2" customFormat="1" x14ac:dyDescent="0.25">
      <c r="B26" s="6"/>
      <c r="D26" s="45"/>
      <c r="E26" s="45"/>
      <c r="G26" s="4"/>
      <c r="H26" s="4"/>
      <c r="I26" s="4"/>
      <c r="J26" s="20"/>
      <c r="K26" s="20"/>
      <c r="L26" s="20"/>
      <c r="M26" s="20"/>
      <c r="N26" s="20"/>
      <c r="O26" s="20"/>
      <c r="P26" s="20"/>
      <c r="Q26" s="20"/>
      <c r="R26" s="19"/>
      <c r="S26" s="21"/>
    </row>
    <row r="27" spans="1:19" s="2" customFormat="1" x14ac:dyDescent="0.25">
      <c r="A27" s="43" t="s">
        <v>100</v>
      </c>
      <c r="B27" s="44" t="s">
        <v>90</v>
      </c>
      <c r="C27" s="41" t="s">
        <v>18</v>
      </c>
      <c r="D27" s="47">
        <v>88942</v>
      </c>
      <c r="E27" s="47">
        <v>84942</v>
      </c>
      <c r="F27" s="42"/>
      <c r="G27" s="36">
        <v>13119216</v>
      </c>
      <c r="H27" s="36">
        <f>ROUNDUP(G27*50%,0)</f>
        <v>6559608</v>
      </c>
      <c r="I27" s="36">
        <f>ROUNDDOWN(G27*50%,0)</f>
        <v>6559608</v>
      </c>
      <c r="J27" s="20">
        <v>158079</v>
      </c>
      <c r="K27" s="20">
        <v>33384</v>
      </c>
      <c r="L27" s="20">
        <v>263433</v>
      </c>
      <c r="M27" s="20">
        <v>540531</v>
      </c>
      <c r="N27" s="20">
        <v>44790</v>
      </c>
      <c r="O27" s="20">
        <v>487311</v>
      </c>
      <c r="P27" s="20">
        <v>94812</v>
      </c>
      <c r="Q27" s="20">
        <v>0</v>
      </c>
      <c r="R27" s="19">
        <f t="shared" si="1"/>
        <v>1622340</v>
      </c>
      <c r="S27" s="21"/>
    </row>
    <row r="28" spans="1:19" x14ac:dyDescent="0.25">
      <c r="G28" s="7"/>
      <c r="H28" s="7"/>
      <c r="I28" s="7"/>
      <c r="R28" s="19"/>
    </row>
    <row r="29" spans="1:19" x14ac:dyDescent="0.25">
      <c r="A29" s="2" t="s">
        <v>81</v>
      </c>
      <c r="B29" s="2"/>
      <c r="C29" s="2"/>
      <c r="D29" s="45"/>
      <c r="E29" s="45"/>
      <c r="F29" s="2"/>
      <c r="G29" s="4">
        <f t="shared" ref="G29:Q29" si="6">SUM(G30:G36)</f>
        <v>140792377</v>
      </c>
      <c r="H29" s="4">
        <f t="shared" si="6"/>
        <v>70396190</v>
      </c>
      <c r="I29" s="4">
        <f t="shared" si="6"/>
        <v>70396187</v>
      </c>
      <c r="J29" s="4">
        <f t="shared" si="6"/>
        <v>0</v>
      </c>
      <c r="K29" s="4">
        <f t="shared" si="6"/>
        <v>0</v>
      </c>
      <c r="L29" s="4">
        <f t="shared" si="6"/>
        <v>0</v>
      </c>
      <c r="M29" s="4">
        <f t="shared" si="6"/>
        <v>0</v>
      </c>
      <c r="N29" s="4">
        <f t="shared" si="6"/>
        <v>0</v>
      </c>
      <c r="O29" s="4">
        <f t="shared" si="6"/>
        <v>0</v>
      </c>
      <c r="P29" s="4">
        <f t="shared" si="6"/>
        <v>0</v>
      </c>
      <c r="Q29" s="4">
        <f t="shared" si="6"/>
        <v>17599047</v>
      </c>
      <c r="R29" s="19">
        <f t="shared" si="1"/>
        <v>17599047</v>
      </c>
    </row>
    <row r="30" spans="1:19" x14ac:dyDescent="0.25">
      <c r="A30" s="6" t="s">
        <v>82</v>
      </c>
      <c r="B30" s="6" t="s">
        <v>90</v>
      </c>
      <c r="C30" s="6" t="s">
        <v>18</v>
      </c>
      <c r="D30" s="46">
        <v>87900</v>
      </c>
      <c r="E30" s="46">
        <v>84900</v>
      </c>
      <c r="F30" s="6" t="s">
        <v>19</v>
      </c>
      <c r="G30" s="7">
        <v>117158647</v>
      </c>
      <c r="H30" s="7">
        <f>ROUNDUP(G30*50%,0)</f>
        <v>58579324</v>
      </c>
      <c r="I30" s="7">
        <f>ROUNDDOWN(G30*50%,0)</f>
        <v>58579323</v>
      </c>
      <c r="Q30" s="15">
        <f t="shared" ref="Q30:Q36" si="7">ROUND(25%*H30,0)</f>
        <v>14644831</v>
      </c>
      <c r="R30" s="16">
        <f t="shared" si="1"/>
        <v>14644831</v>
      </c>
    </row>
    <row r="31" spans="1:19" x14ac:dyDescent="0.25">
      <c r="A31" s="6" t="s">
        <v>83</v>
      </c>
      <c r="B31" s="6" t="s">
        <v>90</v>
      </c>
      <c r="C31" s="6" t="s">
        <v>18</v>
      </c>
      <c r="D31" s="46">
        <v>87900</v>
      </c>
      <c r="E31" s="46">
        <v>84908</v>
      </c>
      <c r="F31" s="6" t="s">
        <v>19</v>
      </c>
      <c r="G31" s="7">
        <v>2000000</v>
      </c>
      <c r="H31" s="7">
        <f t="shared" ref="H31:H36" si="8">ROUNDUP(G31*50%,0)</f>
        <v>1000000</v>
      </c>
      <c r="I31" s="7">
        <f t="shared" ref="I31:I36" si="9">ROUNDDOWN(G31*50%,0)</f>
        <v>1000000</v>
      </c>
      <c r="Q31" s="15">
        <f t="shared" si="7"/>
        <v>250000</v>
      </c>
      <c r="R31" s="16">
        <f t="shared" si="1"/>
        <v>250000</v>
      </c>
    </row>
    <row r="32" spans="1:19" x14ac:dyDescent="0.25">
      <c r="A32" s="6" t="s">
        <v>35</v>
      </c>
      <c r="B32" s="6" t="s">
        <v>90</v>
      </c>
      <c r="C32" s="6" t="s">
        <v>18</v>
      </c>
      <c r="D32" s="46">
        <v>87900</v>
      </c>
      <c r="E32" s="46">
        <v>84900</v>
      </c>
      <c r="F32" s="6" t="s">
        <v>19</v>
      </c>
      <c r="G32" s="7">
        <v>5400000</v>
      </c>
      <c r="H32" s="7">
        <f t="shared" si="8"/>
        <v>2700000</v>
      </c>
      <c r="I32" s="7">
        <f t="shared" si="9"/>
        <v>2700000</v>
      </c>
      <c r="Q32" s="15">
        <f t="shared" si="7"/>
        <v>675000</v>
      </c>
      <c r="R32" s="16">
        <f t="shared" si="1"/>
        <v>675000</v>
      </c>
    </row>
    <row r="33" spans="1:19" x14ac:dyDescent="0.25">
      <c r="A33" s="6" t="s">
        <v>36</v>
      </c>
      <c r="B33" s="6" t="s">
        <v>90</v>
      </c>
      <c r="C33" s="6" t="s">
        <v>18</v>
      </c>
      <c r="D33" s="46">
        <v>87900</v>
      </c>
      <c r="E33" s="47">
        <v>84911</v>
      </c>
      <c r="F33" s="6" t="s">
        <v>19</v>
      </c>
      <c r="G33" s="7">
        <v>1000000</v>
      </c>
      <c r="H33" s="7">
        <f t="shared" si="8"/>
        <v>500000</v>
      </c>
      <c r="I33" s="7">
        <f t="shared" si="9"/>
        <v>500000</v>
      </c>
      <c r="Q33" s="15">
        <f t="shared" si="7"/>
        <v>125000</v>
      </c>
      <c r="R33" s="16">
        <f t="shared" si="1"/>
        <v>125000</v>
      </c>
    </row>
    <row r="34" spans="1:19" x14ac:dyDescent="0.25">
      <c r="A34" s="6" t="s">
        <v>84</v>
      </c>
      <c r="B34" s="6" t="s">
        <v>90</v>
      </c>
      <c r="C34" s="6" t="s">
        <v>18</v>
      </c>
      <c r="D34" s="46">
        <v>87900</v>
      </c>
      <c r="E34" s="46">
        <v>84908</v>
      </c>
      <c r="F34" s="6" t="s">
        <v>19</v>
      </c>
      <c r="G34" s="7">
        <v>9722521</v>
      </c>
      <c r="H34" s="7">
        <f t="shared" si="8"/>
        <v>4861261</v>
      </c>
      <c r="I34" s="7">
        <f t="shared" si="9"/>
        <v>4861260</v>
      </c>
      <c r="Q34" s="15">
        <f t="shared" si="7"/>
        <v>1215315</v>
      </c>
      <c r="R34" s="16">
        <f t="shared" si="1"/>
        <v>1215315</v>
      </c>
    </row>
    <row r="35" spans="1:19" x14ac:dyDescent="0.25">
      <c r="A35" s="6" t="s">
        <v>85</v>
      </c>
      <c r="B35" s="6" t="s">
        <v>90</v>
      </c>
      <c r="C35" s="6" t="s">
        <v>18</v>
      </c>
      <c r="D35" s="46">
        <v>87900</v>
      </c>
      <c r="E35" s="46">
        <v>84905</v>
      </c>
      <c r="F35" s="6" t="s">
        <v>19</v>
      </c>
      <c r="G35" s="7">
        <v>4011209</v>
      </c>
      <c r="H35" s="7">
        <f t="shared" si="8"/>
        <v>2005605</v>
      </c>
      <c r="I35" s="7">
        <f t="shared" si="9"/>
        <v>2005604</v>
      </c>
      <c r="Q35" s="15">
        <f t="shared" si="7"/>
        <v>501401</v>
      </c>
      <c r="R35" s="16">
        <f t="shared" si="1"/>
        <v>501401</v>
      </c>
    </row>
    <row r="36" spans="1:19" x14ac:dyDescent="0.25">
      <c r="A36" s="6" t="s">
        <v>37</v>
      </c>
      <c r="B36" s="6" t="s">
        <v>90</v>
      </c>
      <c r="C36" s="6" t="s">
        <v>18</v>
      </c>
      <c r="D36" s="46">
        <v>87900</v>
      </c>
      <c r="E36" s="48">
        <v>84912</v>
      </c>
      <c r="F36" s="6" t="s">
        <v>38</v>
      </c>
      <c r="G36" s="7">
        <v>1500000</v>
      </c>
      <c r="H36" s="7">
        <f t="shared" si="8"/>
        <v>750000</v>
      </c>
      <c r="I36" s="7">
        <f t="shared" si="9"/>
        <v>750000</v>
      </c>
      <c r="Q36" s="15">
        <f t="shared" si="7"/>
        <v>187500</v>
      </c>
      <c r="R36" s="16">
        <f t="shared" si="1"/>
        <v>187500</v>
      </c>
    </row>
    <row r="37" spans="1:19" x14ac:dyDescent="0.25">
      <c r="G37" s="7"/>
      <c r="H37" s="7"/>
      <c r="I37" s="7"/>
      <c r="R37" s="16"/>
    </row>
    <row r="38" spans="1:19" x14ac:dyDescent="0.25">
      <c r="G38" s="7"/>
      <c r="H38" s="7"/>
      <c r="I38" s="7"/>
      <c r="R38" s="16"/>
    </row>
    <row r="39" spans="1:19" s="2" customFormat="1" x14ac:dyDescent="0.25">
      <c r="A39" s="2" t="s">
        <v>86</v>
      </c>
      <c r="D39" s="45"/>
      <c r="E39" s="45"/>
      <c r="G39" s="4">
        <f>SUM(G40:G72)</f>
        <v>64277188</v>
      </c>
      <c r="H39" s="4">
        <f>SUM(H40:H72)</f>
        <v>34620179</v>
      </c>
      <c r="I39" s="4">
        <f>SUM(I40:I72)</f>
        <v>29657009</v>
      </c>
      <c r="J39" s="4">
        <f>SUM(J40:J72)</f>
        <v>63578.745174466829</v>
      </c>
      <c r="K39" s="4">
        <f t="shared" ref="K39:R39" si="10">SUM(K40:K72)</f>
        <v>338101.0660217671</v>
      </c>
      <c r="L39" s="4">
        <f t="shared" si="10"/>
        <v>4109280.4529171372</v>
      </c>
      <c r="M39" s="4">
        <f t="shared" si="10"/>
        <v>2520770.0434776996</v>
      </c>
      <c r="N39" s="4">
        <f t="shared" si="10"/>
        <v>49295.379166024337</v>
      </c>
      <c r="O39" s="4">
        <f t="shared" si="10"/>
        <v>1416153.1974372473</v>
      </c>
      <c r="P39" s="4">
        <f t="shared" si="10"/>
        <v>67143.11580565793</v>
      </c>
      <c r="Q39" s="4">
        <f t="shared" si="10"/>
        <v>0</v>
      </c>
      <c r="R39" s="4">
        <f t="shared" si="10"/>
        <v>8564322</v>
      </c>
      <c r="S39" s="21"/>
    </row>
    <row r="40" spans="1:19" s="24" customFormat="1" x14ac:dyDescent="0.25">
      <c r="A40" s="24" t="s">
        <v>39</v>
      </c>
      <c r="B40" s="24" t="s">
        <v>89</v>
      </c>
      <c r="C40" s="24" t="s">
        <v>18</v>
      </c>
      <c r="D40" s="46">
        <v>88981</v>
      </c>
      <c r="E40" s="46">
        <v>84981</v>
      </c>
      <c r="F40" s="24" t="s">
        <v>19</v>
      </c>
      <c r="G40" s="25">
        <v>30849152</v>
      </c>
      <c r="H40" s="25">
        <f>ROUNDUP(G40*49%,0)</f>
        <v>15116085</v>
      </c>
      <c r="I40" s="25">
        <f>ROUNDDOWN(G40*51%,0)</f>
        <v>15733067</v>
      </c>
      <c r="J40" s="27">
        <v>46438.745174466829</v>
      </c>
      <c r="K40" s="27">
        <v>267235.0660217671</v>
      </c>
      <c r="L40" s="27">
        <v>1992015.4529171372</v>
      </c>
      <c r="M40" s="27">
        <v>913141.04347769974</v>
      </c>
      <c r="N40" s="27">
        <v>49295.379166024337</v>
      </c>
      <c r="O40" s="27">
        <v>292592.19743724714</v>
      </c>
      <c r="P40" s="27">
        <v>67143.11580565793</v>
      </c>
      <c r="Q40" s="27"/>
      <c r="R40" s="28">
        <f t="shared" si="1"/>
        <v>3627861.0000000005</v>
      </c>
      <c r="S40" s="30"/>
    </row>
    <row r="41" spans="1:19" x14ac:dyDescent="0.25">
      <c r="A41" s="6" t="s">
        <v>40</v>
      </c>
      <c r="B41" s="6" t="s">
        <v>90</v>
      </c>
      <c r="C41" s="6" t="s">
        <v>18</v>
      </c>
      <c r="D41" s="46">
        <v>88981</v>
      </c>
      <c r="E41" s="46">
        <v>84504</v>
      </c>
      <c r="F41" s="6" t="s">
        <v>19</v>
      </c>
      <c r="G41" s="7">
        <v>4288845</v>
      </c>
      <c r="H41" s="7">
        <f t="shared" ref="H41:H64" si="11">ROUNDUP(G41*49%,0)</f>
        <v>2101535</v>
      </c>
      <c r="I41" s="7">
        <f t="shared" ref="I41:I64" si="12">ROUNDDOWN(G41*51%,0)</f>
        <v>2187310</v>
      </c>
      <c r="L41" s="15">
        <f>ROUND(24%*H41,0)</f>
        <v>504368</v>
      </c>
      <c r="R41" s="16">
        <f t="shared" si="1"/>
        <v>504368</v>
      </c>
    </row>
    <row r="42" spans="1:19" x14ac:dyDescent="0.25">
      <c r="A42" s="6" t="s">
        <v>41</v>
      </c>
      <c r="B42" s="6" t="s">
        <v>90</v>
      </c>
      <c r="C42" s="6" t="s">
        <v>18</v>
      </c>
      <c r="D42" s="46">
        <v>88981</v>
      </c>
      <c r="E42" s="46">
        <v>84981</v>
      </c>
      <c r="F42" s="6" t="s">
        <v>19</v>
      </c>
      <c r="G42" s="7">
        <v>3152391</v>
      </c>
      <c r="H42" s="7">
        <f t="shared" si="11"/>
        <v>1544672</v>
      </c>
      <c r="I42" s="7">
        <f t="shared" si="12"/>
        <v>1607719</v>
      </c>
      <c r="M42" s="15">
        <v>129753</v>
      </c>
      <c r="O42" s="15">
        <v>240969</v>
      </c>
      <c r="R42" s="16">
        <f t="shared" si="1"/>
        <v>370722</v>
      </c>
    </row>
    <row r="43" spans="1:19" x14ac:dyDescent="0.25">
      <c r="A43" s="6" t="s">
        <v>42</v>
      </c>
      <c r="B43" s="6" t="s">
        <v>90</v>
      </c>
      <c r="C43" s="6" t="s">
        <v>18</v>
      </c>
      <c r="D43" s="46">
        <v>88981</v>
      </c>
      <c r="E43" s="46">
        <v>84505</v>
      </c>
      <c r="F43" s="6" t="s">
        <v>19</v>
      </c>
      <c r="G43" s="7">
        <v>2848133</v>
      </c>
      <c r="H43" s="7">
        <f t="shared" si="11"/>
        <v>1395586</v>
      </c>
      <c r="I43" s="7">
        <f t="shared" si="12"/>
        <v>1452547</v>
      </c>
      <c r="M43" s="15">
        <f>ROUND(24%*H43,0)</f>
        <v>334941</v>
      </c>
      <c r="R43" s="16">
        <f t="shared" si="1"/>
        <v>334941</v>
      </c>
    </row>
    <row r="44" spans="1:19" x14ac:dyDescent="0.25">
      <c r="A44" s="6" t="s">
        <v>43</v>
      </c>
      <c r="B44" s="6" t="s">
        <v>90</v>
      </c>
      <c r="C44" s="6" t="s">
        <v>18</v>
      </c>
      <c r="D44" s="46">
        <v>88981</v>
      </c>
      <c r="E44" s="46">
        <v>84981</v>
      </c>
      <c r="F44" s="6" t="s">
        <v>19</v>
      </c>
      <c r="G44" s="7">
        <v>1563951</v>
      </c>
      <c r="H44" s="7">
        <f t="shared" si="11"/>
        <v>766336</v>
      </c>
      <c r="I44" s="7">
        <f t="shared" si="12"/>
        <v>797615</v>
      </c>
      <c r="L44" s="15">
        <f>ROUND(24%*H44,0)</f>
        <v>183921</v>
      </c>
      <c r="R44" s="16">
        <f t="shared" si="1"/>
        <v>183921</v>
      </c>
    </row>
    <row r="45" spans="1:19" x14ac:dyDescent="0.25">
      <c r="A45" s="6" t="s">
        <v>44</v>
      </c>
      <c r="B45" s="6" t="s">
        <v>90</v>
      </c>
      <c r="C45" s="6" t="s">
        <v>18</v>
      </c>
      <c r="D45" s="46">
        <v>88981</v>
      </c>
      <c r="E45" s="46">
        <v>84981</v>
      </c>
      <c r="F45" s="6" t="s">
        <v>19</v>
      </c>
      <c r="G45" s="7">
        <v>1312851</v>
      </c>
      <c r="H45" s="7">
        <f t="shared" si="11"/>
        <v>643297</v>
      </c>
      <c r="I45" s="7">
        <f t="shared" si="12"/>
        <v>669554</v>
      </c>
      <c r="L45" s="15">
        <v>73336</v>
      </c>
      <c r="M45" s="15">
        <v>7720</v>
      </c>
      <c r="O45" s="15">
        <v>73336</v>
      </c>
      <c r="R45" s="16">
        <f t="shared" si="1"/>
        <v>154392</v>
      </c>
    </row>
    <row r="46" spans="1:19" x14ac:dyDescent="0.25">
      <c r="A46" s="6" t="s">
        <v>45</v>
      </c>
      <c r="B46" s="6" t="s">
        <v>90</v>
      </c>
      <c r="C46" s="6" t="s">
        <v>18</v>
      </c>
      <c r="D46" s="46">
        <v>88981</v>
      </c>
      <c r="E46" s="46">
        <v>84981</v>
      </c>
      <c r="F46" s="6" t="s">
        <v>19</v>
      </c>
      <c r="G46" s="7">
        <v>1254779</v>
      </c>
      <c r="H46" s="7">
        <f t="shared" si="11"/>
        <v>614842</v>
      </c>
      <c r="I46" s="7">
        <f t="shared" si="12"/>
        <v>639937</v>
      </c>
      <c r="O46" s="15">
        <f>ROUND(24%*H46,0)</f>
        <v>147562</v>
      </c>
      <c r="R46" s="16">
        <f t="shared" si="1"/>
        <v>147562</v>
      </c>
    </row>
    <row r="47" spans="1:19" x14ac:dyDescent="0.25">
      <c r="A47" s="6" t="s">
        <v>46</v>
      </c>
      <c r="B47" s="6" t="s">
        <v>90</v>
      </c>
      <c r="C47" s="6" t="s">
        <v>18</v>
      </c>
      <c r="D47" s="46">
        <v>88981</v>
      </c>
      <c r="E47" s="46">
        <v>84981</v>
      </c>
      <c r="F47" s="6" t="s">
        <v>19</v>
      </c>
      <c r="G47" s="7">
        <v>781976</v>
      </c>
      <c r="H47" s="7">
        <f t="shared" si="11"/>
        <v>383169</v>
      </c>
      <c r="I47" s="7">
        <f t="shared" si="12"/>
        <v>398807</v>
      </c>
      <c r="L47" s="15">
        <f>ROUND(24%*H47,0)</f>
        <v>91961</v>
      </c>
      <c r="R47" s="16">
        <f t="shared" si="1"/>
        <v>91961</v>
      </c>
    </row>
    <row r="48" spans="1:19" x14ac:dyDescent="0.25">
      <c r="A48" s="6" t="s">
        <v>47</v>
      </c>
      <c r="B48" s="6" t="s">
        <v>90</v>
      </c>
      <c r="C48" s="6" t="s">
        <v>18</v>
      </c>
      <c r="D48" s="46">
        <v>88981</v>
      </c>
      <c r="E48" s="46">
        <v>84518</v>
      </c>
      <c r="F48" s="6" t="s">
        <v>19</v>
      </c>
      <c r="G48" s="7">
        <v>602602</v>
      </c>
      <c r="H48" s="7">
        <f t="shared" si="11"/>
        <v>295275</v>
      </c>
      <c r="I48" s="7">
        <f t="shared" si="12"/>
        <v>307327</v>
      </c>
      <c r="K48" s="15">
        <f>ROUND(24%*H48,0)</f>
        <v>70866</v>
      </c>
      <c r="R48" s="16">
        <f t="shared" si="1"/>
        <v>70866</v>
      </c>
    </row>
    <row r="49" spans="1:19" x14ac:dyDescent="0.25">
      <c r="A49" s="6" t="s">
        <v>48</v>
      </c>
      <c r="B49" s="6" t="s">
        <v>90</v>
      </c>
      <c r="C49" s="6" t="s">
        <v>18</v>
      </c>
      <c r="D49" s="46">
        <v>88981</v>
      </c>
      <c r="E49" s="46">
        <v>84981</v>
      </c>
      <c r="F49" s="6" t="s">
        <v>19</v>
      </c>
      <c r="G49" s="7">
        <v>549218</v>
      </c>
      <c r="H49" s="7">
        <f t="shared" si="11"/>
        <v>269117</v>
      </c>
      <c r="I49" s="7">
        <f t="shared" si="12"/>
        <v>280101</v>
      </c>
      <c r="M49" s="15">
        <f>ROUND(24%*H49,0)</f>
        <v>64588</v>
      </c>
      <c r="R49" s="16">
        <f t="shared" si="1"/>
        <v>64588</v>
      </c>
    </row>
    <row r="50" spans="1:19" x14ac:dyDescent="0.25">
      <c r="A50" s="6" t="s">
        <v>49</v>
      </c>
      <c r="B50" s="6" t="s">
        <v>90</v>
      </c>
      <c r="C50" s="6" t="s">
        <v>18</v>
      </c>
      <c r="D50" s="46">
        <v>88981</v>
      </c>
      <c r="E50" s="46">
        <v>84500</v>
      </c>
      <c r="F50" s="6" t="s">
        <v>19</v>
      </c>
      <c r="G50" s="7">
        <v>503531</v>
      </c>
      <c r="H50" s="7">
        <f t="shared" si="11"/>
        <v>246731</v>
      </c>
      <c r="I50" s="7">
        <f t="shared" si="12"/>
        <v>256800</v>
      </c>
      <c r="L50" s="15">
        <f>ROUND(24%*H50,0)</f>
        <v>59215</v>
      </c>
      <c r="R50" s="16">
        <f t="shared" si="1"/>
        <v>59215</v>
      </c>
    </row>
    <row r="51" spans="1:19" x14ac:dyDescent="0.25">
      <c r="A51" s="6" t="s">
        <v>50</v>
      </c>
      <c r="B51" s="6" t="s">
        <v>90</v>
      </c>
      <c r="C51" s="6" t="s">
        <v>18</v>
      </c>
      <c r="D51" s="46">
        <v>88981</v>
      </c>
      <c r="E51" s="46">
        <v>84981</v>
      </c>
      <c r="F51" s="6" t="s">
        <v>19</v>
      </c>
      <c r="G51" s="7">
        <v>439153</v>
      </c>
      <c r="H51" s="7">
        <f t="shared" si="11"/>
        <v>215185</v>
      </c>
      <c r="I51" s="7">
        <f t="shared" si="12"/>
        <v>223968</v>
      </c>
      <c r="O51" s="15">
        <f>ROUND(24%*H51,0)</f>
        <v>51644</v>
      </c>
      <c r="R51" s="16">
        <f t="shared" si="1"/>
        <v>51644</v>
      </c>
    </row>
    <row r="52" spans="1:19" x14ac:dyDescent="0.25">
      <c r="A52" s="6" t="s">
        <v>51</v>
      </c>
      <c r="B52" s="6" t="s">
        <v>90</v>
      </c>
      <c r="C52" s="6" t="s">
        <v>18</v>
      </c>
      <c r="D52" s="46">
        <v>88981</v>
      </c>
      <c r="E52" s="46">
        <v>84981</v>
      </c>
      <c r="F52" s="6" t="s">
        <v>19</v>
      </c>
      <c r="G52" s="7">
        <v>394693</v>
      </c>
      <c r="H52" s="7">
        <f t="shared" si="11"/>
        <v>193400</v>
      </c>
      <c r="I52" s="7">
        <f t="shared" si="12"/>
        <v>201293</v>
      </c>
      <c r="L52" s="15">
        <f>ROUND(24%*H52,0)</f>
        <v>46416</v>
      </c>
      <c r="R52" s="16">
        <f t="shared" si="1"/>
        <v>46416</v>
      </c>
    </row>
    <row r="53" spans="1:19" x14ac:dyDescent="0.25">
      <c r="A53" s="6" t="s">
        <v>52</v>
      </c>
      <c r="B53" s="6" t="s">
        <v>90</v>
      </c>
      <c r="C53" s="6" t="s">
        <v>18</v>
      </c>
      <c r="D53" s="46">
        <v>88981</v>
      </c>
      <c r="E53" s="46">
        <v>84505</v>
      </c>
      <c r="F53" s="6" t="s">
        <v>19</v>
      </c>
      <c r="G53" s="7">
        <v>228988</v>
      </c>
      <c r="H53" s="7">
        <f t="shared" si="11"/>
        <v>112205</v>
      </c>
      <c r="I53" s="7">
        <f t="shared" si="12"/>
        <v>116783</v>
      </c>
      <c r="M53" s="15">
        <f>ROUND(24%*H53,0)</f>
        <v>26929</v>
      </c>
      <c r="R53" s="16">
        <f t="shared" si="1"/>
        <v>26929</v>
      </c>
    </row>
    <row r="54" spans="1:19" x14ac:dyDescent="0.25">
      <c r="A54" s="6" t="s">
        <v>53</v>
      </c>
      <c r="B54" s="6" t="s">
        <v>90</v>
      </c>
      <c r="C54" s="6" t="s">
        <v>18</v>
      </c>
      <c r="D54" s="46">
        <v>88981</v>
      </c>
      <c r="E54" s="46">
        <v>88944</v>
      </c>
      <c r="F54" s="6" t="s">
        <v>19</v>
      </c>
      <c r="G54" s="7">
        <v>253073</v>
      </c>
      <c r="H54" s="7">
        <f t="shared" si="11"/>
        <v>124006</v>
      </c>
      <c r="I54" s="7">
        <f t="shared" si="12"/>
        <v>129067</v>
      </c>
      <c r="L54" s="15">
        <f>ROUND(24%*H54,0)</f>
        <v>29761</v>
      </c>
      <c r="R54" s="16">
        <f t="shared" si="1"/>
        <v>29761</v>
      </c>
    </row>
    <row r="55" spans="1:19" x14ac:dyDescent="0.25">
      <c r="A55" s="6" t="s">
        <v>54</v>
      </c>
      <c r="B55" s="6" t="s">
        <v>90</v>
      </c>
      <c r="C55" s="6" t="s">
        <v>18</v>
      </c>
      <c r="D55" s="46">
        <v>88981</v>
      </c>
      <c r="E55" s="46">
        <v>84981</v>
      </c>
      <c r="F55" s="6" t="s">
        <v>19</v>
      </c>
      <c r="G55" s="7">
        <v>3227009</v>
      </c>
      <c r="H55" s="7">
        <f t="shared" si="11"/>
        <v>1581235</v>
      </c>
      <c r="I55" s="7">
        <f t="shared" si="12"/>
        <v>1645774</v>
      </c>
      <c r="L55" s="15">
        <f>ROUND(24%*H55,0)</f>
        <v>379496</v>
      </c>
      <c r="R55" s="16">
        <f t="shared" si="1"/>
        <v>379496</v>
      </c>
    </row>
    <row r="56" spans="1:19" x14ac:dyDescent="0.25">
      <c r="A56" s="6" t="s">
        <v>55</v>
      </c>
      <c r="B56" s="6" t="s">
        <v>90</v>
      </c>
      <c r="C56" s="6" t="s">
        <v>18</v>
      </c>
      <c r="D56" s="46">
        <v>88981</v>
      </c>
      <c r="E56" s="46">
        <v>84981</v>
      </c>
      <c r="F56" s="6" t="s">
        <v>19</v>
      </c>
      <c r="G56" s="7">
        <v>206464</v>
      </c>
      <c r="H56" s="7">
        <f t="shared" si="11"/>
        <v>101168</v>
      </c>
      <c r="I56" s="7">
        <f t="shared" si="12"/>
        <v>105296</v>
      </c>
      <c r="L56" s="15">
        <v>13791</v>
      </c>
      <c r="M56" s="15">
        <v>10489</v>
      </c>
      <c r="R56" s="16">
        <f t="shared" si="1"/>
        <v>24280</v>
      </c>
    </row>
    <row r="57" spans="1:19" x14ac:dyDescent="0.25">
      <c r="A57" s="6" t="s">
        <v>56</v>
      </c>
      <c r="B57" s="6" t="s">
        <v>90</v>
      </c>
      <c r="C57" s="6" t="s">
        <v>18</v>
      </c>
      <c r="D57" s="46">
        <v>88981</v>
      </c>
      <c r="E57" s="46">
        <v>84981</v>
      </c>
      <c r="F57" s="6" t="s">
        <v>26</v>
      </c>
      <c r="G57" s="7">
        <v>100000</v>
      </c>
      <c r="H57" s="7">
        <f>G57</f>
        <v>100000</v>
      </c>
      <c r="I57" s="7">
        <v>0</v>
      </c>
      <c r="L57" s="15">
        <v>0</v>
      </c>
      <c r="R57" s="16">
        <f t="shared" si="1"/>
        <v>0</v>
      </c>
      <c r="S57" s="17" t="s">
        <v>87</v>
      </c>
    </row>
    <row r="58" spans="1:19" x14ac:dyDescent="0.25">
      <c r="A58" s="6" t="s">
        <v>57</v>
      </c>
      <c r="B58" s="6" t="s">
        <v>90</v>
      </c>
      <c r="C58" s="6" t="s">
        <v>18</v>
      </c>
      <c r="D58" s="46">
        <v>88981</v>
      </c>
      <c r="E58" s="46">
        <v>84981</v>
      </c>
      <c r="F58" s="6" t="s">
        <v>26</v>
      </c>
      <c r="G58" s="7">
        <v>500000</v>
      </c>
      <c r="H58" s="7">
        <f t="shared" si="11"/>
        <v>245000</v>
      </c>
      <c r="I58" s="7">
        <f t="shared" si="12"/>
        <v>255000</v>
      </c>
      <c r="O58" s="15">
        <f>ROUND(24%*H58,0)</f>
        <v>58800</v>
      </c>
      <c r="R58" s="16">
        <f t="shared" si="1"/>
        <v>58800</v>
      </c>
    </row>
    <row r="59" spans="1:19" x14ac:dyDescent="0.25">
      <c r="A59" s="6" t="s">
        <v>58</v>
      </c>
      <c r="B59" s="6" t="s">
        <v>90</v>
      </c>
      <c r="C59" s="6" t="s">
        <v>18</v>
      </c>
      <c r="D59" s="46">
        <v>88981</v>
      </c>
      <c r="E59" s="46">
        <v>84981</v>
      </c>
      <c r="F59" s="6" t="s">
        <v>26</v>
      </c>
      <c r="G59" s="7">
        <v>250000</v>
      </c>
      <c r="H59" s="7">
        <f>G59</f>
        <v>250000</v>
      </c>
      <c r="I59" s="7">
        <v>0</v>
      </c>
      <c r="L59" s="15">
        <v>0</v>
      </c>
      <c r="R59" s="16">
        <f t="shared" si="1"/>
        <v>0</v>
      </c>
      <c r="S59" s="17" t="s">
        <v>87</v>
      </c>
    </row>
    <row r="60" spans="1:19" s="24" customFormat="1" x14ac:dyDescent="0.25">
      <c r="A60" s="24" t="s">
        <v>92</v>
      </c>
      <c r="B60" s="24" t="s">
        <v>90</v>
      </c>
      <c r="C60" s="24" t="s">
        <v>18</v>
      </c>
      <c r="D60" s="46">
        <v>88981</v>
      </c>
      <c r="E60" s="46">
        <v>84981</v>
      </c>
      <c r="F60" s="24" t="s">
        <v>26</v>
      </c>
      <c r="G60" s="25">
        <v>195000</v>
      </c>
      <c r="H60" s="25">
        <v>195000</v>
      </c>
      <c r="I60" s="25">
        <v>0</v>
      </c>
      <c r="J60" s="27">
        <v>0</v>
      </c>
      <c r="K60" s="27">
        <v>0</v>
      </c>
      <c r="L60" s="27">
        <v>0</v>
      </c>
      <c r="M60" s="27">
        <v>195000</v>
      </c>
      <c r="N60" s="27">
        <v>0</v>
      </c>
      <c r="O60" s="27">
        <v>0</v>
      </c>
      <c r="P60" s="27">
        <v>0</v>
      </c>
      <c r="Q60" s="27">
        <v>0</v>
      </c>
      <c r="R60" s="28">
        <f t="shared" si="1"/>
        <v>195000</v>
      </c>
      <c r="S60" s="29" t="s">
        <v>93</v>
      </c>
    </row>
    <row r="61" spans="1:19" x14ac:dyDescent="0.25">
      <c r="A61" s="6" t="s">
        <v>59</v>
      </c>
      <c r="B61" s="6" t="s">
        <v>90</v>
      </c>
      <c r="C61" s="6" t="s">
        <v>18</v>
      </c>
      <c r="D61" s="48">
        <v>88987</v>
      </c>
      <c r="E61" s="48">
        <v>84914</v>
      </c>
      <c r="F61" s="6" t="s">
        <v>60</v>
      </c>
      <c r="G61" s="7">
        <v>300000</v>
      </c>
      <c r="H61" s="7">
        <f>G61</f>
        <v>300000</v>
      </c>
      <c r="I61" s="7">
        <v>0</v>
      </c>
      <c r="L61" s="15">
        <v>0</v>
      </c>
      <c r="R61" s="16">
        <f t="shared" si="1"/>
        <v>0</v>
      </c>
      <c r="S61" s="17" t="s">
        <v>87</v>
      </c>
    </row>
    <row r="62" spans="1:19" x14ac:dyDescent="0.25">
      <c r="A62" s="6" t="s">
        <v>61</v>
      </c>
      <c r="B62" s="6" t="s">
        <v>90</v>
      </c>
      <c r="C62" s="6" t="s">
        <v>18</v>
      </c>
      <c r="D62" s="46">
        <v>88981</v>
      </c>
      <c r="E62" s="46">
        <v>84981</v>
      </c>
      <c r="F62" s="6" t="s">
        <v>33</v>
      </c>
      <c r="G62" s="7">
        <v>846173</v>
      </c>
      <c r="H62" s="7">
        <f>G62</f>
        <v>846173</v>
      </c>
      <c r="I62" s="7">
        <v>0</v>
      </c>
      <c r="L62" s="15">
        <v>0</v>
      </c>
      <c r="R62" s="16">
        <f t="shared" si="1"/>
        <v>0</v>
      </c>
      <c r="S62" s="17" t="s">
        <v>87</v>
      </c>
    </row>
    <row r="63" spans="1:19" x14ac:dyDescent="0.25">
      <c r="A63" s="6" t="s">
        <v>62</v>
      </c>
      <c r="B63" s="6" t="s">
        <v>90</v>
      </c>
      <c r="C63" s="6" t="s">
        <v>18</v>
      </c>
      <c r="D63" s="47">
        <v>88989</v>
      </c>
      <c r="E63" s="47">
        <v>84916</v>
      </c>
      <c r="F63" s="6" t="s">
        <v>63</v>
      </c>
      <c r="G63" s="7">
        <v>148462</v>
      </c>
      <c r="H63" s="7">
        <f t="shared" si="11"/>
        <v>72747</v>
      </c>
      <c r="I63" s="7">
        <f t="shared" si="12"/>
        <v>75715</v>
      </c>
      <c r="M63" s="15">
        <f>ROUND(24%*H63,0)</f>
        <v>17459</v>
      </c>
      <c r="R63" s="16">
        <f t="shared" si="1"/>
        <v>17459</v>
      </c>
    </row>
    <row r="64" spans="1:19" x14ac:dyDescent="0.25">
      <c r="A64" s="6" t="s">
        <v>64</v>
      </c>
      <c r="B64" s="6" t="s">
        <v>90</v>
      </c>
      <c r="C64" s="6" t="s">
        <v>18</v>
      </c>
      <c r="D64" s="47">
        <v>88989</v>
      </c>
      <c r="E64" s="47">
        <v>84916</v>
      </c>
      <c r="F64" s="6" t="s">
        <v>63</v>
      </c>
      <c r="G64" s="7">
        <v>145744</v>
      </c>
      <c r="H64" s="7">
        <f t="shared" si="11"/>
        <v>71415</v>
      </c>
      <c r="I64" s="7">
        <f t="shared" si="12"/>
        <v>74329</v>
      </c>
      <c r="J64" s="15">
        <f>ROUND(24%*H64,0)</f>
        <v>17140</v>
      </c>
      <c r="R64" s="16">
        <f t="shared" si="1"/>
        <v>17140</v>
      </c>
    </row>
    <row r="65" spans="1:19" x14ac:dyDescent="0.25">
      <c r="A65" s="6" t="s">
        <v>65</v>
      </c>
      <c r="B65" s="6" t="s">
        <v>90</v>
      </c>
      <c r="C65" s="6" t="s">
        <v>18</v>
      </c>
      <c r="D65" s="47">
        <v>88990</v>
      </c>
      <c r="E65" s="47">
        <v>84917</v>
      </c>
      <c r="F65" s="6" t="s">
        <v>28</v>
      </c>
      <c r="G65" s="7">
        <v>420000</v>
      </c>
      <c r="H65" s="7">
        <f>G65</f>
        <v>420000</v>
      </c>
      <c r="I65" s="7">
        <v>0</v>
      </c>
      <c r="M65" s="15">
        <v>0</v>
      </c>
      <c r="R65" s="16">
        <f t="shared" si="1"/>
        <v>0</v>
      </c>
      <c r="S65" s="17" t="s">
        <v>87</v>
      </c>
    </row>
    <row r="66" spans="1:19" x14ac:dyDescent="0.25">
      <c r="A66" s="6" t="s">
        <v>66</v>
      </c>
      <c r="B66" s="6" t="s">
        <v>90</v>
      </c>
      <c r="C66" s="6" t="s">
        <v>18</v>
      </c>
      <c r="D66" s="47">
        <v>88991</v>
      </c>
      <c r="E66" s="47">
        <v>84918</v>
      </c>
      <c r="F66" s="6" t="s">
        <v>28</v>
      </c>
      <c r="G66" s="7">
        <v>150000</v>
      </c>
      <c r="H66" s="7">
        <f>G66</f>
        <v>150000</v>
      </c>
      <c r="I66" s="7">
        <v>0</v>
      </c>
      <c r="L66" s="15">
        <v>0</v>
      </c>
      <c r="R66" s="16">
        <f t="shared" si="1"/>
        <v>0</v>
      </c>
      <c r="S66" s="17" t="s">
        <v>87</v>
      </c>
    </row>
    <row r="67" spans="1:19" x14ac:dyDescent="0.25">
      <c r="A67" s="6" t="s">
        <v>67</v>
      </c>
      <c r="B67" s="6" t="s">
        <v>90</v>
      </c>
      <c r="C67" s="6" t="s">
        <v>18</v>
      </c>
      <c r="D67" s="47">
        <v>88992</v>
      </c>
      <c r="E67" s="47">
        <v>84919</v>
      </c>
      <c r="F67" s="6" t="s">
        <v>28</v>
      </c>
      <c r="G67" s="7">
        <v>365000</v>
      </c>
      <c r="H67" s="7">
        <f>G67</f>
        <v>365000</v>
      </c>
      <c r="I67" s="7">
        <v>0</v>
      </c>
      <c r="L67" s="15">
        <v>0</v>
      </c>
      <c r="R67" s="16">
        <f t="shared" si="1"/>
        <v>0</v>
      </c>
      <c r="S67" s="17" t="s">
        <v>87</v>
      </c>
    </row>
    <row r="68" spans="1:19" x14ac:dyDescent="0.25">
      <c r="A68" s="6" t="s">
        <v>68</v>
      </c>
      <c r="B68" s="6" t="s">
        <v>90</v>
      </c>
      <c r="C68" s="6" t="s">
        <v>18</v>
      </c>
      <c r="D68" s="47">
        <v>86901</v>
      </c>
      <c r="E68" s="47">
        <v>84920</v>
      </c>
      <c r="F68" s="6" t="s">
        <v>31</v>
      </c>
      <c r="G68" s="7">
        <v>500000</v>
      </c>
      <c r="H68" s="7">
        <f>G68</f>
        <v>500000</v>
      </c>
      <c r="I68" s="7">
        <v>0</v>
      </c>
      <c r="L68" s="15">
        <v>0</v>
      </c>
      <c r="R68" s="16">
        <f t="shared" si="1"/>
        <v>0</v>
      </c>
      <c r="S68" s="17" t="s">
        <v>87</v>
      </c>
    </row>
    <row r="69" spans="1:19" x14ac:dyDescent="0.25">
      <c r="A69" s="6" t="s">
        <v>69</v>
      </c>
      <c r="B69" s="6" t="s">
        <v>90</v>
      </c>
      <c r="C69" s="6" t="s">
        <v>18</v>
      </c>
      <c r="D69" s="47">
        <v>88988</v>
      </c>
      <c r="E69" s="47">
        <v>84915</v>
      </c>
      <c r="F69" s="6" t="s">
        <v>70</v>
      </c>
      <c r="G69" s="7">
        <v>3000000</v>
      </c>
      <c r="H69" s="7">
        <f>G69</f>
        <v>3000000</v>
      </c>
      <c r="I69" s="7">
        <v>0</v>
      </c>
      <c r="L69" s="15">
        <v>0</v>
      </c>
      <c r="R69" s="16">
        <f t="shared" si="1"/>
        <v>0</v>
      </c>
      <c r="S69" s="17" t="s">
        <v>87</v>
      </c>
    </row>
    <row r="70" spans="1:19" s="32" customFormat="1" x14ac:dyDescent="0.25">
      <c r="A70" s="31" t="s">
        <v>95</v>
      </c>
      <c r="C70" s="33" t="s">
        <v>18</v>
      </c>
      <c r="D70" s="49">
        <v>30000</v>
      </c>
      <c r="E70" s="49">
        <v>30520</v>
      </c>
      <c r="F70" s="33" t="s">
        <v>98</v>
      </c>
      <c r="G70" s="34">
        <v>2500000</v>
      </c>
      <c r="H70" s="7">
        <f>ROUNDUP(G70*49%,0)</f>
        <v>1225000</v>
      </c>
      <c r="I70" s="7">
        <f>ROUNDUP(G70*51%,0)</f>
        <v>1275000</v>
      </c>
      <c r="J70" s="22"/>
      <c r="K70" s="22"/>
      <c r="L70" s="7">
        <f>ROUNDUP(500000*49%,0)</f>
        <v>245000</v>
      </c>
      <c r="M70" s="7">
        <f>1300000*49%</f>
        <v>637000</v>
      </c>
      <c r="N70" s="7"/>
      <c r="O70" s="7">
        <f>700000*49%</f>
        <v>343000</v>
      </c>
      <c r="P70" s="22"/>
      <c r="Q70" s="22"/>
      <c r="R70" s="16">
        <f t="shared" si="1"/>
        <v>1225000</v>
      </c>
      <c r="S70" s="17" t="s">
        <v>101</v>
      </c>
    </row>
    <row r="71" spans="1:19" s="32" customFormat="1" x14ac:dyDescent="0.25">
      <c r="A71" s="31" t="s">
        <v>96</v>
      </c>
      <c r="C71" s="33" t="s">
        <v>18</v>
      </c>
      <c r="D71" s="49">
        <v>30000</v>
      </c>
      <c r="E71" s="49">
        <v>30521</v>
      </c>
      <c r="F71" s="33" t="s">
        <v>98</v>
      </c>
      <c r="G71" s="34">
        <v>2150000</v>
      </c>
      <c r="H71" s="7">
        <f>ROUNDUP(G71*49%,0)</f>
        <v>1053500</v>
      </c>
      <c r="I71" s="7">
        <f>ROUNDUP(G71*51%,0)</f>
        <v>1096500</v>
      </c>
      <c r="J71" s="22"/>
      <c r="K71" s="22"/>
      <c r="L71" s="7">
        <f>ROUNDUP(1000000*49%,0)</f>
        <v>490000</v>
      </c>
      <c r="M71" s="7">
        <f>375000*49%</f>
        <v>183750</v>
      </c>
      <c r="N71" s="7"/>
      <c r="O71" s="7">
        <f>425000*49%</f>
        <v>208250</v>
      </c>
      <c r="P71" s="22"/>
      <c r="Q71" s="22"/>
      <c r="R71" s="16">
        <f t="shared" si="1"/>
        <v>882000</v>
      </c>
      <c r="S71" s="17" t="s">
        <v>101</v>
      </c>
    </row>
    <row r="72" spans="1:19" s="32" customFormat="1" x14ac:dyDescent="0.25">
      <c r="A72" s="31" t="s">
        <v>97</v>
      </c>
      <c r="C72" s="33" t="s">
        <v>18</v>
      </c>
      <c r="D72" s="49">
        <v>30000</v>
      </c>
      <c r="E72" s="49">
        <v>30522</v>
      </c>
      <c r="F72" s="33" t="s">
        <v>98</v>
      </c>
      <c r="G72" s="34">
        <v>250000</v>
      </c>
      <c r="H72" s="7">
        <f>ROUNDUP(G72*49%,0)</f>
        <v>122500</v>
      </c>
      <c r="I72" s="7">
        <f>ROUNDUP(G72*51%,0)</f>
        <v>127500</v>
      </c>
      <c r="J72" s="22"/>
      <c r="K72" s="22"/>
      <c r="L72" s="22"/>
      <c r="M72" s="22"/>
      <c r="N72" s="22"/>
      <c r="O72" s="22"/>
      <c r="P72" s="22"/>
      <c r="Q72" s="22"/>
      <c r="R72" s="16">
        <f t="shared" si="1"/>
        <v>0</v>
      </c>
      <c r="S72" s="17" t="s">
        <v>101</v>
      </c>
    </row>
    <row r="73" spans="1:19" x14ac:dyDescent="0.25">
      <c r="G73" s="7"/>
      <c r="H73" s="7"/>
      <c r="I73" s="7"/>
      <c r="R73" s="16">
        <f>J73+K73+L73+M73+N73+O73+P73+Q73</f>
        <v>0</v>
      </c>
    </row>
    <row r="74" spans="1:19" x14ac:dyDescent="0.25">
      <c r="G74" s="7"/>
      <c r="H74" s="7"/>
      <c r="I74" s="7"/>
      <c r="R74" s="16"/>
    </row>
    <row r="75" spans="1:19" x14ac:dyDescent="0.25">
      <c r="A75" s="2" t="s">
        <v>71</v>
      </c>
      <c r="B75" s="2"/>
      <c r="C75" s="2"/>
      <c r="D75" s="45"/>
      <c r="E75" s="45"/>
      <c r="F75" s="2"/>
      <c r="G75" s="4">
        <f>G39+G29+G25+G10+G8+G5+G27</f>
        <v>1484834743</v>
      </c>
      <c r="H75" s="4">
        <f t="shared" ref="H75:R75" si="13">H39+H29+H25+H10+H8+H5+H27</f>
        <v>738193837</v>
      </c>
      <c r="I75" s="4">
        <f t="shared" si="13"/>
        <v>746640906</v>
      </c>
      <c r="J75" s="4">
        <f t="shared" si="13"/>
        <v>6091717.1451744661</v>
      </c>
      <c r="K75" s="4">
        <f t="shared" si="13"/>
        <v>8942528.8660217673</v>
      </c>
      <c r="L75" s="4">
        <f t="shared" si="13"/>
        <v>71393373.092917129</v>
      </c>
      <c r="M75" s="4">
        <f t="shared" si="13"/>
        <v>31619797.043477695</v>
      </c>
      <c r="N75" s="4">
        <f t="shared" si="13"/>
        <v>7030948.7791660242</v>
      </c>
      <c r="O75" s="4">
        <f t="shared" si="13"/>
        <v>24677847.797437243</v>
      </c>
      <c r="P75" s="4">
        <f t="shared" si="13"/>
        <v>8467696.9158056565</v>
      </c>
      <c r="Q75" s="4">
        <f t="shared" si="13"/>
        <v>17599047</v>
      </c>
      <c r="R75" s="4">
        <f t="shared" si="13"/>
        <v>175822956.63999999</v>
      </c>
    </row>
    <row r="76" spans="1:19" x14ac:dyDescent="0.25">
      <c r="A76" s="2"/>
      <c r="B76" s="2"/>
      <c r="C76" s="2"/>
      <c r="D76" s="45"/>
      <c r="E76" s="45"/>
      <c r="F76" s="2"/>
      <c r="G76" s="4"/>
      <c r="H76" s="4"/>
      <c r="I76" s="4"/>
      <c r="R76" s="16"/>
    </row>
    <row r="77" spans="1:19" x14ac:dyDescent="0.25">
      <c r="R77" s="16"/>
    </row>
    <row r="78" spans="1:19" x14ac:dyDescent="0.25">
      <c r="R78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8"/>
  <sheetViews>
    <sheetView tabSelected="1" zoomScale="80" zoomScaleNormal="80" workbookViewId="0">
      <pane ySplit="1" topLeftCell="A2" activePane="bottomLeft" state="frozen"/>
      <selection pane="bottomLeft" activeCell="L24" sqref="L24"/>
    </sheetView>
  </sheetViews>
  <sheetFormatPr defaultColWidth="9.140625" defaultRowHeight="15" x14ac:dyDescent="0.25"/>
  <cols>
    <col min="1" max="1" width="107.7109375" style="6" bestFit="1" customWidth="1"/>
    <col min="2" max="2" width="17.85546875" style="6" bestFit="1" customWidth="1"/>
    <col min="3" max="3" width="5.5703125" style="6" bestFit="1" customWidth="1"/>
    <col min="4" max="5" width="6.5703125" style="46" bestFit="1" customWidth="1"/>
    <col min="6" max="6" width="8.7109375" style="6" bestFit="1" customWidth="1"/>
    <col min="7" max="7" width="17.85546875" style="6" bestFit="1" customWidth="1"/>
    <col min="8" max="9" width="16.28515625" style="6" bestFit="1" customWidth="1"/>
    <col min="10" max="11" width="13.85546875" style="15" bestFit="1" customWidth="1"/>
    <col min="12" max="13" width="15.140625" style="15" bestFit="1" customWidth="1"/>
    <col min="14" max="14" width="13.85546875" style="15" bestFit="1" customWidth="1"/>
    <col min="15" max="15" width="15.140625" style="15" bestFit="1" customWidth="1"/>
    <col min="16" max="16" width="13.85546875" style="15" bestFit="1" customWidth="1"/>
    <col min="17" max="17" width="15.140625" style="15" bestFit="1" customWidth="1"/>
    <col min="18" max="18" width="16.28515625" style="6" bestFit="1" customWidth="1"/>
    <col min="19" max="19" width="13.28515625" style="17" bestFit="1" customWidth="1"/>
    <col min="20" max="16384" width="9.140625" style="6"/>
  </cols>
  <sheetData>
    <row r="1" spans="1:19" x14ac:dyDescent="0.25">
      <c r="A1" s="2" t="s">
        <v>11</v>
      </c>
      <c r="B1" s="2" t="s">
        <v>88</v>
      </c>
      <c r="C1" s="2" t="s">
        <v>12</v>
      </c>
      <c r="D1" s="45" t="s">
        <v>13</v>
      </c>
      <c r="E1" s="45" t="s">
        <v>0</v>
      </c>
      <c r="F1" s="2" t="s">
        <v>14</v>
      </c>
      <c r="G1" s="3" t="s">
        <v>15</v>
      </c>
      <c r="H1" s="4" t="s">
        <v>16</v>
      </c>
      <c r="I1" s="4" t="s">
        <v>17</v>
      </c>
      <c r="J1" s="20" t="s">
        <v>1</v>
      </c>
      <c r="K1" s="20" t="s">
        <v>2</v>
      </c>
      <c r="L1" s="20" t="s">
        <v>3</v>
      </c>
      <c r="M1" s="20" t="s">
        <v>4</v>
      </c>
      <c r="N1" s="20" t="s">
        <v>5</v>
      </c>
      <c r="O1" s="20" t="s">
        <v>6</v>
      </c>
      <c r="P1" s="20" t="s">
        <v>7</v>
      </c>
      <c r="Q1" s="20" t="s">
        <v>8</v>
      </c>
      <c r="R1" s="2" t="s">
        <v>9</v>
      </c>
      <c r="S1" s="21" t="s">
        <v>10</v>
      </c>
    </row>
    <row r="2" spans="1:19" x14ac:dyDescent="0.25">
      <c r="G2" s="7"/>
      <c r="H2" s="7"/>
      <c r="I2" s="7"/>
      <c r="R2" s="16"/>
    </row>
    <row r="3" spans="1:19" x14ac:dyDescent="0.25">
      <c r="A3" s="2" t="s">
        <v>72</v>
      </c>
      <c r="B3" s="2"/>
      <c r="C3" s="2"/>
      <c r="D3" s="45"/>
      <c r="E3" s="45"/>
      <c r="F3" s="2"/>
      <c r="G3" s="4">
        <f>G5+G8</f>
        <v>1005047933</v>
      </c>
      <c r="H3" s="4">
        <f>H5+H8</f>
        <v>495617373</v>
      </c>
      <c r="I3" s="4">
        <f>I5+I8</f>
        <v>509430560</v>
      </c>
      <c r="R3" s="16"/>
    </row>
    <row r="4" spans="1:19" x14ac:dyDescent="0.25">
      <c r="A4" s="6" t="s">
        <v>73</v>
      </c>
      <c r="B4" s="6" t="s">
        <v>89</v>
      </c>
      <c r="C4" s="6" t="s">
        <v>18</v>
      </c>
      <c r="D4" s="46">
        <v>88983</v>
      </c>
      <c r="E4" s="46">
        <v>84983</v>
      </c>
      <c r="F4" s="6" t="s">
        <v>19</v>
      </c>
      <c r="G4" s="7">
        <f>998717592+165859</f>
        <v>998883451</v>
      </c>
      <c r="H4" s="7">
        <f>ROUNDUP(G4*49%,0)</f>
        <v>489452891</v>
      </c>
      <c r="I4" s="7">
        <f>ROUNDDOWN(G4*51%,0)</f>
        <v>509430560</v>
      </c>
      <c r="J4" s="14">
        <v>5575386.96</v>
      </c>
      <c r="K4" s="14">
        <v>8221522.3199999994</v>
      </c>
      <c r="L4" s="14">
        <v>38197467.600000001</v>
      </c>
      <c r="M4" s="14">
        <v>28757511.599999998</v>
      </c>
      <c r="N4" s="14">
        <v>6598852.5599999996</v>
      </c>
      <c r="O4" s="14">
        <v>22180991.039999999</v>
      </c>
      <c r="P4" s="14">
        <v>7936961.5199999996</v>
      </c>
      <c r="R4" s="16">
        <f>J4+K4+L4+M4+N4+O4+P4+Q4</f>
        <v>117468693.60000001</v>
      </c>
    </row>
    <row r="5" spans="1:19" x14ac:dyDescent="0.25">
      <c r="A5" s="2" t="s">
        <v>74</v>
      </c>
      <c r="B5" s="2"/>
      <c r="C5" s="2"/>
      <c r="D5" s="45"/>
      <c r="E5" s="45"/>
      <c r="F5" s="2"/>
      <c r="G5" s="4">
        <f>SUM(G4:G4)</f>
        <v>998883451</v>
      </c>
      <c r="H5" s="4">
        <f>SUM(H4:H4)</f>
        <v>489452891</v>
      </c>
      <c r="I5" s="4">
        <f t="shared" ref="I5:Q5" si="0">SUM(I4:I4)</f>
        <v>509430560</v>
      </c>
      <c r="J5" s="4">
        <f t="shared" si="0"/>
        <v>5575386.96</v>
      </c>
      <c r="K5" s="4">
        <f t="shared" si="0"/>
        <v>8221522.3199999994</v>
      </c>
      <c r="L5" s="4">
        <f t="shared" si="0"/>
        <v>38197467.600000001</v>
      </c>
      <c r="M5" s="4">
        <f t="shared" si="0"/>
        <v>28757511.599999998</v>
      </c>
      <c r="N5" s="4">
        <f t="shared" si="0"/>
        <v>6598852.5599999996</v>
      </c>
      <c r="O5" s="4">
        <f t="shared" si="0"/>
        <v>22180991.039999999</v>
      </c>
      <c r="P5" s="4">
        <f t="shared" si="0"/>
        <v>7936961.5199999996</v>
      </c>
      <c r="Q5" s="4">
        <f t="shared" si="0"/>
        <v>0</v>
      </c>
      <c r="R5" s="19">
        <f>J5+K5+L5+M5+N5+O5+P5+Q5</f>
        <v>117468693.60000001</v>
      </c>
    </row>
    <row r="6" spans="1:19" x14ac:dyDescent="0.25">
      <c r="A6" s="2"/>
      <c r="B6" s="2"/>
      <c r="C6" s="2"/>
      <c r="D6" s="45"/>
      <c r="E6" s="45"/>
      <c r="F6" s="2"/>
      <c r="G6" s="4"/>
      <c r="H6" s="4"/>
      <c r="I6" s="4"/>
      <c r="R6" s="16"/>
    </row>
    <row r="7" spans="1:19" x14ac:dyDescent="0.25">
      <c r="A7" s="6" t="s">
        <v>20</v>
      </c>
      <c r="B7" s="6" t="s">
        <v>90</v>
      </c>
      <c r="C7" s="6" t="s">
        <v>18</v>
      </c>
      <c r="D7" s="47">
        <v>88983</v>
      </c>
      <c r="E7" s="47">
        <v>84989</v>
      </c>
      <c r="F7" s="6" t="s">
        <v>19</v>
      </c>
      <c r="G7" s="7">
        <v>6164482</v>
      </c>
      <c r="H7" s="7">
        <f>G7</f>
        <v>6164482</v>
      </c>
      <c r="I7" s="7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6">
        <f>J7+K7+L7+M7+N7+O7+P7+Q7</f>
        <v>0</v>
      </c>
      <c r="S7" s="17" t="s">
        <v>87</v>
      </c>
    </row>
    <row r="8" spans="1:19" x14ac:dyDescent="0.25">
      <c r="A8" s="2" t="s">
        <v>75</v>
      </c>
      <c r="B8" s="2"/>
      <c r="C8" s="2"/>
      <c r="D8" s="45"/>
      <c r="E8" s="45"/>
      <c r="F8" s="2"/>
      <c r="G8" s="4">
        <f>SUM(G7:G7)</f>
        <v>6164482</v>
      </c>
      <c r="H8" s="4">
        <f>SUM(H7:H7)</f>
        <v>6164482</v>
      </c>
      <c r="I8" s="4">
        <f>SUM(I7:I7)</f>
        <v>0</v>
      </c>
      <c r="J8" s="4">
        <f t="shared" ref="J8:Q8" si="1">SUM(J7:J7)</f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1"/>
        <v>0</v>
      </c>
      <c r="P8" s="4">
        <f t="shared" si="1"/>
        <v>0</v>
      </c>
      <c r="Q8" s="4">
        <f t="shared" si="1"/>
        <v>0</v>
      </c>
      <c r="R8" s="19">
        <f>J8+K8+L8+M8+N8+O8+P8+Q8</f>
        <v>0</v>
      </c>
    </row>
    <row r="9" spans="1:19" x14ac:dyDescent="0.25">
      <c r="G9" s="7"/>
      <c r="H9" s="7"/>
      <c r="I9" s="7"/>
      <c r="R9" s="16"/>
    </row>
    <row r="10" spans="1:19" s="2" customFormat="1" x14ac:dyDescent="0.25">
      <c r="A10" s="2" t="s">
        <v>76</v>
      </c>
      <c r="D10" s="45"/>
      <c r="E10" s="45"/>
      <c r="G10" s="4">
        <f t="shared" ref="G10:Q10" si="2">G12+G21+G23</f>
        <v>243268086</v>
      </c>
      <c r="H10" s="4">
        <f t="shared" si="2"/>
        <v>122399575</v>
      </c>
      <c r="I10" s="4">
        <f t="shared" si="2"/>
        <v>120868511</v>
      </c>
      <c r="J10" s="4">
        <f t="shared" si="2"/>
        <v>0</v>
      </c>
      <c r="K10" s="4">
        <f t="shared" si="2"/>
        <v>0</v>
      </c>
      <c r="L10" s="4">
        <f t="shared" si="2"/>
        <v>28700357</v>
      </c>
      <c r="M10" s="4">
        <f t="shared" si="2"/>
        <v>0</v>
      </c>
      <c r="N10" s="4">
        <f t="shared" si="2"/>
        <v>0</v>
      </c>
      <c r="O10" s="4">
        <f t="shared" si="2"/>
        <v>0</v>
      </c>
      <c r="P10" s="4">
        <f t="shared" si="2"/>
        <v>0</v>
      </c>
      <c r="Q10" s="4">
        <f t="shared" si="2"/>
        <v>0</v>
      </c>
      <c r="R10" s="19">
        <f t="shared" ref="R10:R20" si="3">J10+K10+L10+M10+N10+O10+P10+Q10</f>
        <v>28700357</v>
      </c>
      <c r="S10" s="21"/>
    </row>
    <row r="11" spans="1:19" x14ac:dyDescent="0.25">
      <c r="A11" s="6" t="s">
        <v>21</v>
      </c>
      <c r="B11" s="6" t="s">
        <v>90</v>
      </c>
      <c r="C11" s="6" t="s">
        <v>18</v>
      </c>
      <c r="D11" s="46">
        <v>86900</v>
      </c>
      <c r="E11" s="46">
        <v>84904</v>
      </c>
      <c r="F11" s="6" t="s">
        <v>19</v>
      </c>
      <c r="G11" s="7">
        <v>97016982</v>
      </c>
      <c r="H11" s="7">
        <f>ROUNDUP(G11*49%,0)</f>
        <v>47538322</v>
      </c>
      <c r="I11" s="7">
        <f>ROUNDDOWN(G11*51%,0)</f>
        <v>49478660</v>
      </c>
      <c r="J11" s="15">
        <v>0</v>
      </c>
      <c r="K11" s="15">
        <v>0</v>
      </c>
      <c r="L11" s="15">
        <f>ROUND(H11*24%,0)</f>
        <v>11409197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6">
        <f t="shared" si="3"/>
        <v>11409197</v>
      </c>
    </row>
    <row r="12" spans="1:19" s="2" customFormat="1" x14ac:dyDescent="0.25">
      <c r="A12" s="2" t="s">
        <v>77</v>
      </c>
      <c r="D12" s="45"/>
      <c r="E12" s="45"/>
      <c r="G12" s="4">
        <f>SUM(G11:G11)</f>
        <v>97016982</v>
      </c>
      <c r="H12" s="4">
        <f t="shared" ref="H12:Q12" si="4">SUM(H11:H11)</f>
        <v>47538322</v>
      </c>
      <c r="I12" s="4">
        <f t="shared" si="4"/>
        <v>49478660</v>
      </c>
      <c r="J12" s="4">
        <f t="shared" si="4"/>
        <v>0</v>
      </c>
      <c r="K12" s="4">
        <f t="shared" si="4"/>
        <v>0</v>
      </c>
      <c r="L12" s="4">
        <f t="shared" si="4"/>
        <v>11409197</v>
      </c>
      <c r="M12" s="4">
        <f t="shared" si="4"/>
        <v>0</v>
      </c>
      <c r="N12" s="4">
        <f t="shared" si="4"/>
        <v>0</v>
      </c>
      <c r="O12" s="4">
        <f t="shared" si="4"/>
        <v>0</v>
      </c>
      <c r="P12" s="4">
        <f t="shared" si="4"/>
        <v>0</v>
      </c>
      <c r="Q12" s="4">
        <f t="shared" si="4"/>
        <v>0</v>
      </c>
      <c r="R12" s="19">
        <f t="shared" si="3"/>
        <v>11409197</v>
      </c>
      <c r="S12" s="21"/>
    </row>
    <row r="13" spans="1:19" x14ac:dyDescent="0.25">
      <c r="G13" s="7"/>
      <c r="H13" s="7"/>
      <c r="I13" s="7"/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6">
        <f t="shared" si="3"/>
        <v>0</v>
      </c>
    </row>
    <row r="14" spans="1:19" x14ac:dyDescent="0.25">
      <c r="A14" s="6" t="s">
        <v>22</v>
      </c>
      <c r="B14" s="6" t="s">
        <v>90</v>
      </c>
      <c r="C14" s="6" t="s">
        <v>18</v>
      </c>
      <c r="D14" s="46">
        <v>86900</v>
      </c>
      <c r="E14" s="46">
        <v>84901</v>
      </c>
      <c r="F14" s="6" t="s">
        <v>19</v>
      </c>
      <c r="G14" s="7">
        <v>67769936</v>
      </c>
      <c r="H14" s="7">
        <f>ROUNDUP(G14*49%,0)</f>
        <v>33207269</v>
      </c>
      <c r="I14" s="7">
        <f>ROUNDDOWN(G14*51%,0)</f>
        <v>34562667</v>
      </c>
      <c r="J14" s="15">
        <v>0</v>
      </c>
      <c r="K14" s="15">
        <v>0</v>
      </c>
      <c r="L14" s="15">
        <f>ROUND(H14*24%,0)</f>
        <v>7969745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6">
        <f t="shared" si="3"/>
        <v>7969745</v>
      </c>
    </row>
    <row r="15" spans="1:19" x14ac:dyDescent="0.25">
      <c r="A15" s="6" t="s">
        <v>23</v>
      </c>
      <c r="B15" s="6" t="s">
        <v>90</v>
      </c>
      <c r="C15" s="6" t="s">
        <v>18</v>
      </c>
      <c r="D15" s="46">
        <v>86900</v>
      </c>
      <c r="E15" s="46">
        <v>84901</v>
      </c>
      <c r="F15" s="6" t="s">
        <v>19</v>
      </c>
      <c r="G15" s="7">
        <v>2000000</v>
      </c>
      <c r="H15" s="7">
        <f>G15</f>
        <v>2000000</v>
      </c>
      <c r="I15" s="7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f t="shared" si="3"/>
        <v>0</v>
      </c>
      <c r="S15" s="17" t="s">
        <v>87</v>
      </c>
    </row>
    <row r="16" spans="1:19" x14ac:dyDescent="0.25">
      <c r="A16" s="6" t="s">
        <v>24</v>
      </c>
      <c r="B16" s="6" t="s">
        <v>90</v>
      </c>
      <c r="C16" s="6" t="s">
        <v>25</v>
      </c>
      <c r="D16" s="46">
        <v>41100</v>
      </c>
      <c r="E16" s="48">
        <v>42003</v>
      </c>
      <c r="F16" s="6" t="s">
        <v>19</v>
      </c>
      <c r="G16" s="7">
        <v>56406064</v>
      </c>
      <c r="H16" s="7">
        <f>ROUNDUP(G16*50%,0)</f>
        <v>28203032</v>
      </c>
      <c r="I16" s="7">
        <f>ROUNDDOWN(G16*50%,0)</f>
        <v>28203032</v>
      </c>
      <c r="J16" s="15">
        <v>0</v>
      </c>
      <c r="K16" s="15">
        <v>0</v>
      </c>
      <c r="L16" s="15">
        <v>7332788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6">
        <f t="shared" si="3"/>
        <v>7332788</v>
      </c>
      <c r="S16" s="17" t="s">
        <v>94</v>
      </c>
    </row>
    <row r="17" spans="1:19" x14ac:dyDescent="0.25">
      <c r="A17" s="6" t="s">
        <v>27</v>
      </c>
      <c r="B17" s="6" t="s">
        <v>90</v>
      </c>
      <c r="C17" s="6" t="s">
        <v>18</v>
      </c>
      <c r="D17" s="46">
        <v>86900</v>
      </c>
      <c r="E17" s="46">
        <v>84901</v>
      </c>
      <c r="F17" s="6" t="s">
        <v>28</v>
      </c>
      <c r="G17" s="7">
        <v>3085581</v>
      </c>
      <c r="H17" s="7">
        <f>ROUNDUP(G17*49%,0)</f>
        <v>1511935</v>
      </c>
      <c r="I17" s="7">
        <f>ROUNDDOWN(G17*51%,0)</f>
        <v>1573646</v>
      </c>
      <c r="J17" s="15">
        <v>0</v>
      </c>
      <c r="K17" s="15">
        <v>0</v>
      </c>
      <c r="L17" s="15">
        <f>ROUND(H17*24%,0)</f>
        <v>362864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6">
        <f t="shared" si="3"/>
        <v>362864</v>
      </c>
    </row>
    <row r="18" spans="1:19" x14ac:dyDescent="0.25">
      <c r="A18" s="6" t="s">
        <v>29</v>
      </c>
      <c r="B18" s="6" t="s">
        <v>90</v>
      </c>
      <c r="C18" s="6" t="s">
        <v>18</v>
      </c>
      <c r="D18" s="46">
        <v>86900</v>
      </c>
      <c r="E18" s="46">
        <v>84901</v>
      </c>
      <c r="F18" s="6" t="s">
        <v>26</v>
      </c>
      <c r="G18" s="7">
        <v>135000</v>
      </c>
      <c r="H18" s="7">
        <f>G18</f>
        <v>135000</v>
      </c>
      <c r="I18" s="7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>
        <f t="shared" si="3"/>
        <v>0</v>
      </c>
      <c r="S18" s="17" t="s">
        <v>87</v>
      </c>
    </row>
    <row r="19" spans="1:19" x14ac:dyDescent="0.25">
      <c r="A19" s="6" t="s">
        <v>30</v>
      </c>
      <c r="B19" s="6" t="s">
        <v>90</v>
      </c>
      <c r="C19" s="6" t="s">
        <v>18</v>
      </c>
      <c r="D19" s="46">
        <v>86900</v>
      </c>
      <c r="E19" s="46">
        <v>84901</v>
      </c>
      <c r="F19" s="6" t="s">
        <v>31</v>
      </c>
      <c r="G19" s="7">
        <v>3000000</v>
      </c>
      <c r="H19" s="7">
        <f>G19</f>
        <v>3000000</v>
      </c>
      <c r="I19" s="7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6">
        <f t="shared" si="3"/>
        <v>0</v>
      </c>
      <c r="S19" s="17" t="s">
        <v>87</v>
      </c>
    </row>
    <row r="20" spans="1:19" x14ac:dyDescent="0.25">
      <c r="A20" s="6" t="s">
        <v>32</v>
      </c>
      <c r="B20" s="6" t="s">
        <v>90</v>
      </c>
      <c r="C20" s="6" t="s">
        <v>18</v>
      </c>
      <c r="D20" s="46">
        <v>86900</v>
      </c>
      <c r="E20" s="46">
        <v>84901</v>
      </c>
      <c r="F20" s="6" t="s">
        <v>33</v>
      </c>
      <c r="G20" s="7">
        <v>30000</v>
      </c>
      <c r="H20" s="7">
        <f>G20</f>
        <v>30000</v>
      </c>
      <c r="I20" s="7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6">
        <f t="shared" si="3"/>
        <v>0</v>
      </c>
      <c r="S20" s="17" t="s">
        <v>87</v>
      </c>
    </row>
    <row r="21" spans="1:19" x14ac:dyDescent="0.25">
      <c r="A21" s="2" t="s">
        <v>78</v>
      </c>
      <c r="B21" s="2"/>
      <c r="C21" s="2"/>
      <c r="D21" s="45"/>
      <c r="E21" s="45"/>
      <c r="F21" s="2"/>
      <c r="G21" s="4">
        <f t="shared" ref="G21:Q21" si="5">SUM(G14:G20)</f>
        <v>132426581</v>
      </c>
      <c r="H21" s="4">
        <f t="shared" si="5"/>
        <v>68087236</v>
      </c>
      <c r="I21" s="4">
        <f t="shared" si="5"/>
        <v>64339345</v>
      </c>
      <c r="J21" s="4">
        <f t="shared" si="5"/>
        <v>0</v>
      </c>
      <c r="K21" s="4">
        <f t="shared" si="5"/>
        <v>0</v>
      </c>
      <c r="L21" s="4">
        <f t="shared" si="5"/>
        <v>15665397</v>
      </c>
      <c r="M21" s="4">
        <f t="shared" si="5"/>
        <v>0</v>
      </c>
      <c r="N21" s="4">
        <f t="shared" si="5"/>
        <v>0</v>
      </c>
      <c r="O21" s="4">
        <f t="shared" si="5"/>
        <v>0</v>
      </c>
      <c r="P21" s="4">
        <f t="shared" si="5"/>
        <v>0</v>
      </c>
      <c r="Q21" s="4">
        <f t="shared" si="5"/>
        <v>0</v>
      </c>
      <c r="R21" s="19">
        <f>J21+K21+L21+M21+N21+O21+P21+Q21</f>
        <v>15665397</v>
      </c>
    </row>
    <row r="22" spans="1:19" x14ac:dyDescent="0.25">
      <c r="E22" s="46" t="s">
        <v>34</v>
      </c>
      <c r="G22" s="7"/>
      <c r="H22" s="7"/>
      <c r="I22" s="7"/>
      <c r="R22" s="16"/>
    </row>
    <row r="23" spans="1:19" s="2" customFormat="1" x14ac:dyDescent="0.25">
      <c r="A23" s="2" t="s">
        <v>79</v>
      </c>
      <c r="B23" s="6" t="s">
        <v>90</v>
      </c>
      <c r="C23" s="2" t="s">
        <v>18</v>
      </c>
      <c r="D23" s="45">
        <v>86900</v>
      </c>
      <c r="E23" s="45">
        <v>84902</v>
      </c>
      <c r="G23" s="4">
        <v>13824523</v>
      </c>
      <c r="H23" s="4">
        <f>ROUNDUP(G23*49%,0)</f>
        <v>6774017</v>
      </c>
      <c r="I23" s="4">
        <f>ROUNDDOWN(G23*51%,0)</f>
        <v>7050506</v>
      </c>
      <c r="J23" s="20">
        <v>0</v>
      </c>
      <c r="K23" s="20">
        <v>0</v>
      </c>
      <c r="L23" s="20">
        <f>ROUND(H23*24%,0)-1</f>
        <v>1625763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19">
        <f>J23+K23+L23+M23+N23+O23+P23+Q23</f>
        <v>1625763</v>
      </c>
      <c r="S23" s="21"/>
    </row>
    <row r="24" spans="1:19" x14ac:dyDescent="0.25">
      <c r="G24" s="7"/>
      <c r="H24" s="4"/>
      <c r="I24" s="4"/>
      <c r="R24" s="16"/>
    </row>
    <row r="25" spans="1:19" s="2" customFormat="1" x14ac:dyDescent="0.25">
      <c r="A25" s="2" t="s">
        <v>80</v>
      </c>
      <c r="B25" s="6" t="s">
        <v>90</v>
      </c>
      <c r="C25" s="2" t="s">
        <v>25</v>
      </c>
      <c r="D25" s="45">
        <v>41200</v>
      </c>
      <c r="E25" s="45">
        <v>42001</v>
      </c>
      <c r="F25" s="2" t="s">
        <v>19</v>
      </c>
      <c r="G25" s="4">
        <v>18329943</v>
      </c>
      <c r="H25" s="4">
        <f>ROUNDUP(G25*50%,0)</f>
        <v>9164972</v>
      </c>
      <c r="I25" s="4">
        <f>ROUNDDOWN(G25*50%,0)</f>
        <v>9164971</v>
      </c>
      <c r="J25" s="20">
        <v>396595</v>
      </c>
      <c r="K25" s="20">
        <v>396595</v>
      </c>
      <c r="L25" s="20">
        <v>167377</v>
      </c>
      <c r="M25" s="20">
        <v>370109</v>
      </c>
      <c r="N25" s="20">
        <v>396595</v>
      </c>
      <c r="O25" s="20">
        <v>167377</v>
      </c>
      <c r="P25" s="20">
        <v>396595</v>
      </c>
      <c r="Q25" s="20">
        <v>0</v>
      </c>
      <c r="R25" s="19">
        <f>J25+K25+L25+M25+N25+O25+P25+Q25</f>
        <v>2291243</v>
      </c>
      <c r="S25" s="21"/>
    </row>
    <row r="26" spans="1:19" s="2" customFormat="1" x14ac:dyDescent="0.25">
      <c r="B26" s="6"/>
      <c r="D26" s="45"/>
      <c r="E26" s="45"/>
      <c r="G26" s="4"/>
      <c r="H26" s="4"/>
      <c r="I26" s="4"/>
      <c r="J26" s="20"/>
      <c r="K26" s="20"/>
      <c r="L26" s="20"/>
      <c r="M26" s="20"/>
      <c r="N26" s="20"/>
      <c r="O26" s="20"/>
      <c r="P26" s="20"/>
      <c r="Q26" s="20"/>
      <c r="R26" s="19"/>
      <c r="S26" s="21"/>
    </row>
    <row r="27" spans="1:19" s="2" customFormat="1" x14ac:dyDescent="0.25">
      <c r="A27" s="35" t="s">
        <v>100</v>
      </c>
      <c r="B27" s="37" t="s">
        <v>90</v>
      </c>
      <c r="C27" s="31" t="s">
        <v>18</v>
      </c>
      <c r="D27" s="47">
        <v>88942</v>
      </c>
      <c r="E27" s="47">
        <v>84942</v>
      </c>
      <c r="F27" s="33"/>
      <c r="G27" s="36">
        <v>13119216</v>
      </c>
      <c r="H27" s="36">
        <f>ROUNDUP(G27*50%,0)</f>
        <v>6559608</v>
      </c>
      <c r="I27" s="36">
        <f>ROUNDDOWN(G27*50%,0)</f>
        <v>6559608</v>
      </c>
      <c r="J27" s="20">
        <v>158079</v>
      </c>
      <c r="K27" s="20">
        <v>33384</v>
      </c>
      <c r="L27" s="20">
        <v>263433</v>
      </c>
      <c r="M27" s="20">
        <v>540531</v>
      </c>
      <c r="N27" s="20">
        <v>44790</v>
      </c>
      <c r="O27" s="20">
        <v>487311</v>
      </c>
      <c r="P27" s="20">
        <v>94812</v>
      </c>
      <c r="Q27" s="20">
        <v>0</v>
      </c>
      <c r="R27" s="19">
        <f>J27+K27+L27+M27+N27+O27+P27+Q27</f>
        <v>1622340</v>
      </c>
      <c r="S27" s="21"/>
    </row>
    <row r="28" spans="1:19" x14ac:dyDescent="0.25">
      <c r="G28" s="7"/>
      <c r="H28" s="7"/>
      <c r="I28" s="7"/>
      <c r="R28" s="19"/>
    </row>
    <row r="29" spans="1:19" x14ac:dyDescent="0.25">
      <c r="A29" s="2" t="s">
        <v>81</v>
      </c>
      <c r="B29" s="2"/>
      <c r="C29" s="2"/>
      <c r="D29" s="45"/>
      <c r="E29" s="45"/>
      <c r="F29" s="2"/>
      <c r="G29" s="4">
        <f t="shared" ref="G29:Q29" si="6">SUM(G30:G36)</f>
        <v>140792377</v>
      </c>
      <c r="H29" s="4">
        <f t="shared" si="6"/>
        <v>70396190</v>
      </c>
      <c r="I29" s="4">
        <f t="shared" si="6"/>
        <v>70396187</v>
      </c>
      <c r="J29" s="4">
        <f t="shared" si="6"/>
        <v>0</v>
      </c>
      <c r="K29" s="4">
        <f t="shared" si="6"/>
        <v>0</v>
      </c>
      <c r="L29" s="4">
        <f t="shared" si="6"/>
        <v>0</v>
      </c>
      <c r="M29" s="4">
        <f t="shared" si="6"/>
        <v>0</v>
      </c>
      <c r="N29" s="4">
        <f t="shared" si="6"/>
        <v>0</v>
      </c>
      <c r="O29" s="4">
        <f t="shared" si="6"/>
        <v>0</v>
      </c>
      <c r="P29" s="4">
        <f t="shared" si="6"/>
        <v>0</v>
      </c>
      <c r="Q29" s="4">
        <f t="shared" si="6"/>
        <v>17599047</v>
      </c>
      <c r="R29" s="19">
        <f t="shared" ref="R29:R36" si="7">J29+K29+L29+M29+N29+O29+P29+Q29</f>
        <v>17599047</v>
      </c>
    </row>
    <row r="30" spans="1:19" x14ac:dyDescent="0.25">
      <c r="A30" s="6" t="s">
        <v>82</v>
      </c>
      <c r="B30" s="6" t="s">
        <v>90</v>
      </c>
      <c r="C30" s="6" t="s">
        <v>18</v>
      </c>
      <c r="D30" s="46">
        <v>87900</v>
      </c>
      <c r="E30" s="46">
        <v>84900</v>
      </c>
      <c r="F30" s="6" t="s">
        <v>19</v>
      </c>
      <c r="G30" s="7">
        <v>117158647</v>
      </c>
      <c r="H30" s="7">
        <f>ROUNDUP(G30*50%,0)</f>
        <v>58579324</v>
      </c>
      <c r="I30" s="7">
        <f>ROUNDDOWN(G30*50%,0)</f>
        <v>58579323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f t="shared" ref="Q30:Q36" si="8">ROUND(25%*H30,0)</f>
        <v>14644831</v>
      </c>
      <c r="R30" s="16">
        <f t="shared" si="7"/>
        <v>14644831</v>
      </c>
    </row>
    <row r="31" spans="1:19" x14ac:dyDescent="0.25">
      <c r="A31" s="6" t="s">
        <v>83</v>
      </c>
      <c r="B31" s="6" t="s">
        <v>90</v>
      </c>
      <c r="C31" s="6" t="s">
        <v>18</v>
      </c>
      <c r="D31" s="46">
        <v>87900</v>
      </c>
      <c r="E31" s="46">
        <v>84908</v>
      </c>
      <c r="F31" s="6" t="s">
        <v>19</v>
      </c>
      <c r="G31" s="7">
        <v>2000000</v>
      </c>
      <c r="H31" s="7">
        <f t="shared" ref="H31:H36" si="9">ROUNDUP(G31*50%,0)</f>
        <v>1000000</v>
      </c>
      <c r="I31" s="7">
        <f t="shared" ref="I31:I36" si="10">ROUNDDOWN(G31*50%,0)</f>
        <v>1000000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f t="shared" si="8"/>
        <v>250000</v>
      </c>
      <c r="R31" s="16">
        <f t="shared" si="7"/>
        <v>250000</v>
      </c>
    </row>
    <row r="32" spans="1:19" x14ac:dyDescent="0.25">
      <c r="A32" s="6" t="s">
        <v>35</v>
      </c>
      <c r="B32" s="6" t="s">
        <v>90</v>
      </c>
      <c r="C32" s="6" t="s">
        <v>18</v>
      </c>
      <c r="D32" s="46">
        <v>87900</v>
      </c>
      <c r="E32" s="46">
        <v>84900</v>
      </c>
      <c r="F32" s="6" t="s">
        <v>19</v>
      </c>
      <c r="G32" s="7">
        <v>5400000</v>
      </c>
      <c r="H32" s="7">
        <f t="shared" si="9"/>
        <v>2700000</v>
      </c>
      <c r="I32" s="7">
        <f t="shared" si="10"/>
        <v>2700000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f t="shared" si="8"/>
        <v>675000</v>
      </c>
      <c r="R32" s="16">
        <f t="shared" si="7"/>
        <v>675000</v>
      </c>
    </row>
    <row r="33" spans="1:19" x14ac:dyDescent="0.25">
      <c r="A33" s="6" t="s">
        <v>36</v>
      </c>
      <c r="B33" s="6" t="s">
        <v>90</v>
      </c>
      <c r="C33" s="6" t="s">
        <v>18</v>
      </c>
      <c r="D33" s="46">
        <v>87900</v>
      </c>
      <c r="E33" s="47">
        <v>84911</v>
      </c>
      <c r="F33" s="6" t="s">
        <v>19</v>
      </c>
      <c r="G33" s="7">
        <v>1000000</v>
      </c>
      <c r="H33" s="7">
        <f t="shared" si="9"/>
        <v>500000</v>
      </c>
      <c r="I33" s="7">
        <f t="shared" si="10"/>
        <v>500000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f t="shared" si="8"/>
        <v>125000</v>
      </c>
      <c r="R33" s="16">
        <f t="shared" si="7"/>
        <v>125000</v>
      </c>
    </row>
    <row r="34" spans="1:19" x14ac:dyDescent="0.25">
      <c r="A34" s="6" t="s">
        <v>84</v>
      </c>
      <c r="B34" s="6" t="s">
        <v>90</v>
      </c>
      <c r="C34" s="6" t="s">
        <v>18</v>
      </c>
      <c r="D34" s="46">
        <v>87900</v>
      </c>
      <c r="E34" s="46">
        <v>84908</v>
      </c>
      <c r="F34" s="6" t="s">
        <v>19</v>
      </c>
      <c r="G34" s="7">
        <v>9722521</v>
      </c>
      <c r="H34" s="7">
        <f t="shared" si="9"/>
        <v>4861261</v>
      </c>
      <c r="I34" s="7">
        <f t="shared" si="10"/>
        <v>4861260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f t="shared" si="8"/>
        <v>1215315</v>
      </c>
      <c r="R34" s="16">
        <f t="shared" si="7"/>
        <v>1215315</v>
      </c>
    </row>
    <row r="35" spans="1:19" x14ac:dyDescent="0.25">
      <c r="A35" s="6" t="s">
        <v>85</v>
      </c>
      <c r="B35" s="6" t="s">
        <v>90</v>
      </c>
      <c r="C35" s="6" t="s">
        <v>18</v>
      </c>
      <c r="D35" s="46">
        <v>87900</v>
      </c>
      <c r="E35" s="46">
        <v>84905</v>
      </c>
      <c r="F35" s="6" t="s">
        <v>19</v>
      </c>
      <c r="G35" s="7">
        <v>4011209</v>
      </c>
      <c r="H35" s="7">
        <f t="shared" si="9"/>
        <v>2005605</v>
      </c>
      <c r="I35" s="7">
        <f t="shared" si="10"/>
        <v>2005604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f t="shared" si="8"/>
        <v>501401</v>
      </c>
      <c r="R35" s="16">
        <f t="shared" si="7"/>
        <v>501401</v>
      </c>
    </row>
    <row r="36" spans="1:19" x14ac:dyDescent="0.25">
      <c r="A36" s="6" t="s">
        <v>37</v>
      </c>
      <c r="B36" s="6" t="s">
        <v>90</v>
      </c>
      <c r="C36" s="6" t="s">
        <v>18</v>
      </c>
      <c r="D36" s="46">
        <v>87900</v>
      </c>
      <c r="E36" s="48">
        <v>84912</v>
      </c>
      <c r="F36" s="6" t="s">
        <v>38</v>
      </c>
      <c r="G36" s="7">
        <v>1500000</v>
      </c>
      <c r="H36" s="7">
        <f t="shared" si="9"/>
        <v>750000</v>
      </c>
      <c r="I36" s="7">
        <f t="shared" si="10"/>
        <v>750000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f t="shared" si="8"/>
        <v>187500</v>
      </c>
      <c r="R36" s="16">
        <f t="shared" si="7"/>
        <v>187500</v>
      </c>
    </row>
    <row r="37" spans="1:19" x14ac:dyDescent="0.25">
      <c r="G37" s="7"/>
      <c r="H37" s="7"/>
      <c r="I37" s="7"/>
      <c r="R37" s="16"/>
    </row>
    <row r="38" spans="1:19" x14ac:dyDescent="0.25">
      <c r="G38" s="7"/>
      <c r="H38" s="7"/>
      <c r="I38" s="7"/>
      <c r="R38" s="16"/>
    </row>
    <row r="39" spans="1:19" s="2" customFormat="1" x14ac:dyDescent="0.25">
      <c r="A39" s="2" t="s">
        <v>86</v>
      </c>
      <c r="D39" s="45"/>
      <c r="E39" s="45"/>
      <c r="G39" s="4">
        <f t="shared" ref="G39:P39" si="11">SUM(G40:G72)</f>
        <v>64277188</v>
      </c>
      <c r="H39" s="4">
        <f t="shared" si="11"/>
        <v>34620179</v>
      </c>
      <c r="I39" s="4">
        <f t="shared" si="11"/>
        <v>29657009</v>
      </c>
      <c r="J39" s="4">
        <f t="shared" si="11"/>
        <v>61688.698069786733</v>
      </c>
      <c r="K39" s="4">
        <f t="shared" si="11"/>
        <v>334446.82640870684</v>
      </c>
      <c r="L39" s="4">
        <f t="shared" si="11"/>
        <v>3389234.3811668549</v>
      </c>
      <c r="M39" s="4">
        <f t="shared" si="11"/>
        <v>1471079.01739108</v>
      </c>
      <c r="N39" s="4">
        <f t="shared" si="11"/>
        <v>49013.351666409733</v>
      </c>
      <c r="O39" s="4">
        <f t="shared" si="11"/>
        <v>1179635.4789748988</v>
      </c>
      <c r="P39" s="4">
        <f t="shared" si="11"/>
        <v>71423.646322263172</v>
      </c>
      <c r="Q39" s="4">
        <f>SUM(Q40:Q72)</f>
        <v>0</v>
      </c>
      <c r="R39" s="19">
        <f t="shared" ref="R39:R69" si="12">J39+K39+L39+M39+N39+O39+P39+Q39</f>
        <v>6556521.4000000004</v>
      </c>
      <c r="S39" s="21"/>
    </row>
    <row r="40" spans="1:19" x14ac:dyDescent="0.25">
      <c r="A40" s="6" t="s">
        <v>39</v>
      </c>
      <c r="B40" s="6" t="s">
        <v>89</v>
      </c>
      <c r="C40" s="6" t="s">
        <v>18</v>
      </c>
      <c r="D40" s="46">
        <v>88981</v>
      </c>
      <c r="E40" s="46">
        <v>84981</v>
      </c>
      <c r="F40" s="6" t="s">
        <v>19</v>
      </c>
      <c r="G40" s="7">
        <v>30849152</v>
      </c>
      <c r="H40" s="7">
        <f>ROUNDUP(G40*49%,0)</f>
        <v>15116085</v>
      </c>
      <c r="I40" s="7">
        <f>ROUNDDOWN(G40*51%,0)</f>
        <v>15733067</v>
      </c>
      <c r="J40" s="15">
        <v>44548.698069786733</v>
      </c>
      <c r="K40" s="15">
        <v>263580.82640870684</v>
      </c>
      <c r="L40" s="15">
        <v>2006969.3811668549</v>
      </c>
      <c r="M40" s="15">
        <v>879200.01739107992</v>
      </c>
      <c r="N40" s="15">
        <v>49013.351666409733</v>
      </c>
      <c r="O40" s="15">
        <v>313124.47897489887</v>
      </c>
      <c r="P40" s="15">
        <v>71423.646322263172</v>
      </c>
      <c r="R40" s="16">
        <f t="shared" si="12"/>
        <v>3627860.4000000004</v>
      </c>
      <c r="S40" s="18"/>
    </row>
    <row r="41" spans="1:19" x14ac:dyDescent="0.25">
      <c r="A41" s="6" t="s">
        <v>40</v>
      </c>
      <c r="B41" s="6" t="s">
        <v>90</v>
      </c>
      <c r="C41" s="6" t="s">
        <v>18</v>
      </c>
      <c r="D41" s="46">
        <v>88981</v>
      </c>
      <c r="E41" s="46">
        <v>84504</v>
      </c>
      <c r="F41" s="6" t="s">
        <v>19</v>
      </c>
      <c r="G41" s="7">
        <v>4288845</v>
      </c>
      <c r="H41" s="7">
        <f t="shared" ref="H41:H64" si="13">ROUNDUP(G41*49%,0)</f>
        <v>2101535</v>
      </c>
      <c r="I41" s="7">
        <f t="shared" ref="I41:I64" si="14">ROUNDDOWN(G41*51%,0)</f>
        <v>2187310</v>
      </c>
      <c r="J41" s="15">
        <v>0</v>
      </c>
      <c r="K41" s="15">
        <v>0</v>
      </c>
      <c r="L41" s="15">
        <f>ROUND(24%*H41,0)</f>
        <v>504368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>
        <f t="shared" si="12"/>
        <v>504368</v>
      </c>
    </row>
    <row r="42" spans="1:19" x14ac:dyDescent="0.25">
      <c r="A42" s="6" t="s">
        <v>41</v>
      </c>
      <c r="B42" s="6" t="s">
        <v>90</v>
      </c>
      <c r="C42" s="6" t="s">
        <v>18</v>
      </c>
      <c r="D42" s="46">
        <v>88981</v>
      </c>
      <c r="E42" s="46">
        <v>84981</v>
      </c>
      <c r="F42" s="6" t="s">
        <v>19</v>
      </c>
      <c r="G42" s="7">
        <v>3152391</v>
      </c>
      <c r="H42" s="7">
        <f t="shared" si="13"/>
        <v>1544672</v>
      </c>
      <c r="I42" s="7">
        <f t="shared" si="14"/>
        <v>1607719</v>
      </c>
      <c r="J42" s="15">
        <v>0</v>
      </c>
      <c r="K42" s="15">
        <v>0</v>
      </c>
      <c r="L42" s="15">
        <v>0</v>
      </c>
      <c r="M42" s="15">
        <v>129753</v>
      </c>
      <c r="N42" s="15">
        <v>0</v>
      </c>
      <c r="O42" s="15">
        <v>240969</v>
      </c>
      <c r="P42" s="15">
        <v>0</v>
      </c>
      <c r="Q42" s="15">
        <v>0</v>
      </c>
      <c r="R42" s="16">
        <f t="shared" si="12"/>
        <v>370722</v>
      </c>
    </row>
    <row r="43" spans="1:19" x14ac:dyDescent="0.25">
      <c r="A43" s="6" t="s">
        <v>42</v>
      </c>
      <c r="B43" s="6" t="s">
        <v>90</v>
      </c>
      <c r="C43" s="6" t="s">
        <v>18</v>
      </c>
      <c r="D43" s="46">
        <v>88981</v>
      </c>
      <c r="E43" s="46">
        <v>84505</v>
      </c>
      <c r="F43" s="6" t="s">
        <v>19</v>
      </c>
      <c r="G43" s="7">
        <v>2848133</v>
      </c>
      <c r="H43" s="7">
        <f t="shared" si="13"/>
        <v>1395586</v>
      </c>
      <c r="I43" s="7">
        <f t="shared" si="14"/>
        <v>1452547</v>
      </c>
      <c r="J43" s="15">
        <v>0</v>
      </c>
      <c r="K43" s="15">
        <v>0</v>
      </c>
      <c r="L43" s="15">
        <v>0</v>
      </c>
      <c r="M43" s="15">
        <f>ROUND(24%*H43,0)</f>
        <v>334941</v>
      </c>
      <c r="N43" s="15">
        <v>0</v>
      </c>
      <c r="O43" s="15">
        <v>0</v>
      </c>
      <c r="P43" s="15">
        <v>0</v>
      </c>
      <c r="Q43" s="15">
        <v>0</v>
      </c>
      <c r="R43" s="16">
        <f t="shared" si="12"/>
        <v>334941</v>
      </c>
    </row>
    <row r="44" spans="1:19" x14ac:dyDescent="0.25">
      <c r="A44" s="6" t="s">
        <v>43</v>
      </c>
      <c r="B44" s="6" t="s">
        <v>90</v>
      </c>
      <c r="C44" s="6" t="s">
        <v>18</v>
      </c>
      <c r="D44" s="46">
        <v>88981</v>
      </c>
      <c r="E44" s="46">
        <v>84981</v>
      </c>
      <c r="F44" s="6" t="s">
        <v>19</v>
      </c>
      <c r="G44" s="7">
        <v>1563951</v>
      </c>
      <c r="H44" s="7">
        <f t="shared" si="13"/>
        <v>766336</v>
      </c>
      <c r="I44" s="7">
        <f t="shared" si="14"/>
        <v>797615</v>
      </c>
      <c r="J44" s="15">
        <v>0</v>
      </c>
      <c r="K44" s="15">
        <v>0</v>
      </c>
      <c r="L44" s="15">
        <f>ROUND(24%*H44,0)</f>
        <v>183921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6">
        <f t="shared" si="12"/>
        <v>183921</v>
      </c>
    </row>
    <row r="45" spans="1:19" x14ac:dyDescent="0.25">
      <c r="A45" s="6" t="s">
        <v>44</v>
      </c>
      <c r="B45" s="6" t="s">
        <v>90</v>
      </c>
      <c r="C45" s="6" t="s">
        <v>18</v>
      </c>
      <c r="D45" s="46">
        <v>88981</v>
      </c>
      <c r="E45" s="46">
        <v>84981</v>
      </c>
      <c r="F45" s="6" t="s">
        <v>19</v>
      </c>
      <c r="G45" s="7">
        <v>1312851</v>
      </c>
      <c r="H45" s="7">
        <f t="shared" si="13"/>
        <v>643297</v>
      </c>
      <c r="I45" s="7">
        <f t="shared" si="14"/>
        <v>669554</v>
      </c>
      <c r="J45" s="15">
        <v>0</v>
      </c>
      <c r="K45" s="15">
        <v>0</v>
      </c>
      <c r="L45" s="15">
        <v>73336</v>
      </c>
      <c r="M45" s="15">
        <v>7720</v>
      </c>
      <c r="N45" s="15">
        <v>0</v>
      </c>
      <c r="O45" s="15">
        <v>73336</v>
      </c>
      <c r="P45" s="15">
        <v>0</v>
      </c>
      <c r="Q45" s="15">
        <v>0</v>
      </c>
      <c r="R45" s="16">
        <f t="shared" si="12"/>
        <v>154392</v>
      </c>
    </row>
    <row r="46" spans="1:19" x14ac:dyDescent="0.25">
      <c r="A46" s="6" t="s">
        <v>45</v>
      </c>
      <c r="B46" s="6" t="s">
        <v>90</v>
      </c>
      <c r="C46" s="6" t="s">
        <v>18</v>
      </c>
      <c r="D46" s="46">
        <v>88981</v>
      </c>
      <c r="E46" s="46">
        <v>84981</v>
      </c>
      <c r="F46" s="6" t="s">
        <v>19</v>
      </c>
      <c r="G46" s="7">
        <v>1254779</v>
      </c>
      <c r="H46" s="7">
        <f t="shared" si="13"/>
        <v>614842</v>
      </c>
      <c r="I46" s="7">
        <f t="shared" si="14"/>
        <v>639937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f>ROUND(24%*H46,0)</f>
        <v>147562</v>
      </c>
      <c r="P46" s="15">
        <v>0</v>
      </c>
      <c r="Q46" s="15">
        <v>0</v>
      </c>
      <c r="R46" s="16">
        <f t="shared" si="12"/>
        <v>147562</v>
      </c>
    </row>
    <row r="47" spans="1:19" x14ac:dyDescent="0.25">
      <c r="A47" s="6" t="s">
        <v>46</v>
      </c>
      <c r="B47" s="6" t="s">
        <v>90</v>
      </c>
      <c r="C47" s="6" t="s">
        <v>18</v>
      </c>
      <c r="D47" s="46">
        <v>88981</v>
      </c>
      <c r="E47" s="46">
        <v>84981</v>
      </c>
      <c r="F47" s="6" t="s">
        <v>19</v>
      </c>
      <c r="G47" s="7">
        <v>781976</v>
      </c>
      <c r="H47" s="7">
        <f t="shared" si="13"/>
        <v>383169</v>
      </c>
      <c r="I47" s="7">
        <f t="shared" si="14"/>
        <v>398807</v>
      </c>
      <c r="J47" s="15">
        <v>0</v>
      </c>
      <c r="K47" s="15">
        <v>0</v>
      </c>
      <c r="L47" s="15">
        <f>ROUND(24%*H47,0)</f>
        <v>91961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6">
        <f t="shared" si="12"/>
        <v>91961</v>
      </c>
    </row>
    <row r="48" spans="1:19" x14ac:dyDescent="0.25">
      <c r="A48" s="6" t="s">
        <v>47</v>
      </c>
      <c r="B48" s="6" t="s">
        <v>90</v>
      </c>
      <c r="C48" s="6" t="s">
        <v>18</v>
      </c>
      <c r="D48" s="46">
        <v>88981</v>
      </c>
      <c r="E48" s="46">
        <v>84518</v>
      </c>
      <c r="F48" s="6" t="s">
        <v>19</v>
      </c>
      <c r="G48" s="7">
        <v>602602</v>
      </c>
      <c r="H48" s="7">
        <f t="shared" si="13"/>
        <v>295275</v>
      </c>
      <c r="I48" s="7">
        <f t="shared" si="14"/>
        <v>307327</v>
      </c>
      <c r="J48" s="15">
        <v>0</v>
      </c>
      <c r="K48" s="15">
        <f>ROUND(24%*H48,0)</f>
        <v>70866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6">
        <f t="shared" si="12"/>
        <v>70866</v>
      </c>
    </row>
    <row r="49" spans="1:19" x14ac:dyDescent="0.25">
      <c r="A49" s="6" t="s">
        <v>48</v>
      </c>
      <c r="B49" s="6" t="s">
        <v>90</v>
      </c>
      <c r="C49" s="6" t="s">
        <v>18</v>
      </c>
      <c r="D49" s="46">
        <v>88981</v>
      </c>
      <c r="E49" s="46">
        <v>84981</v>
      </c>
      <c r="F49" s="6" t="s">
        <v>19</v>
      </c>
      <c r="G49" s="7">
        <v>549218</v>
      </c>
      <c r="H49" s="7">
        <f t="shared" si="13"/>
        <v>269117</v>
      </c>
      <c r="I49" s="7">
        <f t="shared" si="14"/>
        <v>280101</v>
      </c>
      <c r="J49" s="15">
        <v>0</v>
      </c>
      <c r="K49" s="15">
        <v>0</v>
      </c>
      <c r="L49" s="15">
        <v>0</v>
      </c>
      <c r="M49" s="15">
        <f>ROUND(24%*H49,0)</f>
        <v>64588</v>
      </c>
      <c r="N49" s="15">
        <v>0</v>
      </c>
      <c r="O49" s="15">
        <v>0</v>
      </c>
      <c r="P49" s="15">
        <v>0</v>
      </c>
      <c r="Q49" s="15">
        <v>0</v>
      </c>
      <c r="R49" s="16">
        <f t="shared" si="12"/>
        <v>64588</v>
      </c>
    </row>
    <row r="50" spans="1:19" x14ac:dyDescent="0.25">
      <c r="A50" s="6" t="s">
        <v>49</v>
      </c>
      <c r="B50" s="6" t="s">
        <v>90</v>
      </c>
      <c r="C50" s="6" t="s">
        <v>18</v>
      </c>
      <c r="D50" s="46">
        <v>88981</v>
      </c>
      <c r="E50" s="46">
        <v>84500</v>
      </c>
      <c r="F50" s="6" t="s">
        <v>19</v>
      </c>
      <c r="G50" s="7">
        <v>503531</v>
      </c>
      <c r="H50" s="7">
        <f t="shared" si="13"/>
        <v>246731</v>
      </c>
      <c r="I50" s="7">
        <f t="shared" si="14"/>
        <v>256800</v>
      </c>
      <c r="J50" s="15">
        <v>0</v>
      </c>
      <c r="K50" s="15">
        <v>0</v>
      </c>
      <c r="L50" s="15">
        <f>ROUND(24%*H50,0)</f>
        <v>59215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6">
        <f t="shared" si="12"/>
        <v>59215</v>
      </c>
    </row>
    <row r="51" spans="1:19" x14ac:dyDescent="0.25">
      <c r="A51" s="6" t="s">
        <v>50</v>
      </c>
      <c r="B51" s="6" t="s">
        <v>90</v>
      </c>
      <c r="C51" s="6" t="s">
        <v>18</v>
      </c>
      <c r="D51" s="46">
        <v>88981</v>
      </c>
      <c r="E51" s="46">
        <v>84981</v>
      </c>
      <c r="F51" s="6" t="s">
        <v>19</v>
      </c>
      <c r="G51" s="7">
        <v>439153</v>
      </c>
      <c r="H51" s="7">
        <f t="shared" si="13"/>
        <v>215185</v>
      </c>
      <c r="I51" s="7">
        <f t="shared" si="14"/>
        <v>223968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f>ROUND(24%*H51,0)</f>
        <v>51644</v>
      </c>
      <c r="P51" s="15">
        <v>0</v>
      </c>
      <c r="Q51" s="15">
        <v>0</v>
      </c>
      <c r="R51" s="16">
        <f t="shared" si="12"/>
        <v>51644</v>
      </c>
    </row>
    <row r="52" spans="1:19" x14ac:dyDescent="0.25">
      <c r="A52" s="6" t="s">
        <v>51</v>
      </c>
      <c r="B52" s="6" t="s">
        <v>90</v>
      </c>
      <c r="C52" s="6" t="s">
        <v>18</v>
      </c>
      <c r="D52" s="46">
        <v>88981</v>
      </c>
      <c r="E52" s="46">
        <v>84981</v>
      </c>
      <c r="F52" s="6" t="s">
        <v>19</v>
      </c>
      <c r="G52" s="7">
        <v>394693</v>
      </c>
      <c r="H52" s="7">
        <f t="shared" si="13"/>
        <v>193400</v>
      </c>
      <c r="I52" s="7">
        <f t="shared" si="14"/>
        <v>201293</v>
      </c>
      <c r="J52" s="15">
        <v>0</v>
      </c>
      <c r="K52" s="15">
        <v>0</v>
      </c>
      <c r="L52" s="15">
        <f>ROUND(24%*H52,0)</f>
        <v>46416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>
        <f t="shared" si="12"/>
        <v>46416</v>
      </c>
    </row>
    <row r="53" spans="1:19" x14ac:dyDescent="0.25">
      <c r="A53" s="6" t="s">
        <v>52</v>
      </c>
      <c r="B53" s="6" t="s">
        <v>90</v>
      </c>
      <c r="C53" s="6" t="s">
        <v>18</v>
      </c>
      <c r="D53" s="46">
        <v>88981</v>
      </c>
      <c r="E53" s="46">
        <v>84505</v>
      </c>
      <c r="F53" s="6" t="s">
        <v>19</v>
      </c>
      <c r="G53" s="7">
        <v>228988</v>
      </c>
      <c r="H53" s="7">
        <f t="shared" si="13"/>
        <v>112205</v>
      </c>
      <c r="I53" s="7">
        <f t="shared" si="14"/>
        <v>116783</v>
      </c>
      <c r="J53" s="15">
        <v>0</v>
      </c>
      <c r="K53" s="15">
        <v>0</v>
      </c>
      <c r="L53" s="15">
        <v>0</v>
      </c>
      <c r="M53" s="15">
        <f>ROUND(24%*H53,0)</f>
        <v>26929</v>
      </c>
      <c r="N53" s="15">
        <v>0</v>
      </c>
      <c r="O53" s="15">
        <v>0</v>
      </c>
      <c r="P53" s="15">
        <v>0</v>
      </c>
      <c r="Q53" s="15">
        <v>0</v>
      </c>
      <c r="R53" s="16">
        <f t="shared" si="12"/>
        <v>26929</v>
      </c>
    </row>
    <row r="54" spans="1:19" x14ac:dyDescent="0.25">
      <c r="A54" s="6" t="s">
        <v>53</v>
      </c>
      <c r="B54" s="6" t="s">
        <v>90</v>
      </c>
      <c r="C54" s="6" t="s">
        <v>18</v>
      </c>
      <c r="D54" s="46">
        <v>88981</v>
      </c>
      <c r="E54" s="46">
        <v>88944</v>
      </c>
      <c r="F54" s="6" t="s">
        <v>19</v>
      </c>
      <c r="G54" s="7">
        <v>253073</v>
      </c>
      <c r="H54" s="7">
        <f t="shared" si="13"/>
        <v>124006</v>
      </c>
      <c r="I54" s="7">
        <f t="shared" si="14"/>
        <v>129067</v>
      </c>
      <c r="J54" s="15">
        <v>0</v>
      </c>
      <c r="K54" s="15">
        <v>0</v>
      </c>
      <c r="L54" s="15">
        <f>ROUND(24%*H54,0)</f>
        <v>29761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6">
        <f t="shared" si="12"/>
        <v>29761</v>
      </c>
    </row>
    <row r="55" spans="1:19" x14ac:dyDescent="0.25">
      <c r="A55" s="6" t="s">
        <v>54</v>
      </c>
      <c r="B55" s="6" t="s">
        <v>90</v>
      </c>
      <c r="C55" s="6" t="s">
        <v>18</v>
      </c>
      <c r="D55" s="46">
        <v>88981</v>
      </c>
      <c r="E55" s="46">
        <v>84981</v>
      </c>
      <c r="F55" s="6" t="s">
        <v>19</v>
      </c>
      <c r="G55" s="7">
        <v>3227009</v>
      </c>
      <c r="H55" s="7">
        <f t="shared" si="13"/>
        <v>1581235</v>
      </c>
      <c r="I55" s="7">
        <f t="shared" si="14"/>
        <v>1645774</v>
      </c>
      <c r="J55" s="15">
        <v>0</v>
      </c>
      <c r="K55" s="15">
        <v>0</v>
      </c>
      <c r="L55" s="15">
        <f>ROUND(24%*H55,0)</f>
        <v>379496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6">
        <f t="shared" si="12"/>
        <v>379496</v>
      </c>
    </row>
    <row r="56" spans="1:19" x14ac:dyDescent="0.25">
      <c r="A56" s="6" t="s">
        <v>55</v>
      </c>
      <c r="B56" s="6" t="s">
        <v>90</v>
      </c>
      <c r="C56" s="6" t="s">
        <v>18</v>
      </c>
      <c r="D56" s="46">
        <v>88981</v>
      </c>
      <c r="E56" s="46">
        <v>84981</v>
      </c>
      <c r="F56" s="6" t="s">
        <v>19</v>
      </c>
      <c r="G56" s="7">
        <v>206464</v>
      </c>
      <c r="H56" s="7">
        <f t="shared" si="13"/>
        <v>101168</v>
      </c>
      <c r="I56" s="7">
        <f t="shared" si="14"/>
        <v>105296</v>
      </c>
      <c r="J56" s="15">
        <v>0</v>
      </c>
      <c r="K56" s="15">
        <v>0</v>
      </c>
      <c r="L56" s="15">
        <v>13791</v>
      </c>
      <c r="M56" s="15">
        <v>10489</v>
      </c>
      <c r="N56" s="15">
        <v>0</v>
      </c>
      <c r="O56" s="15">
        <v>0</v>
      </c>
      <c r="P56" s="15">
        <v>0</v>
      </c>
      <c r="Q56" s="15">
        <v>0</v>
      </c>
      <c r="R56" s="16">
        <f t="shared" si="12"/>
        <v>24280</v>
      </c>
    </row>
    <row r="57" spans="1:19" x14ac:dyDescent="0.25">
      <c r="A57" s="6" t="s">
        <v>56</v>
      </c>
      <c r="B57" s="6" t="s">
        <v>90</v>
      </c>
      <c r="C57" s="6" t="s">
        <v>18</v>
      </c>
      <c r="D57" s="46">
        <v>88981</v>
      </c>
      <c r="E57" s="46">
        <v>84981</v>
      </c>
      <c r="F57" s="6" t="s">
        <v>26</v>
      </c>
      <c r="G57" s="7">
        <v>100000</v>
      </c>
      <c r="H57" s="7">
        <f>G57</f>
        <v>100000</v>
      </c>
      <c r="I57" s="7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6">
        <f t="shared" si="12"/>
        <v>0</v>
      </c>
      <c r="S57" s="17" t="s">
        <v>87</v>
      </c>
    </row>
    <row r="58" spans="1:19" x14ac:dyDescent="0.25">
      <c r="A58" s="6" t="s">
        <v>57</v>
      </c>
      <c r="B58" s="6" t="s">
        <v>90</v>
      </c>
      <c r="C58" s="6" t="s">
        <v>18</v>
      </c>
      <c r="D58" s="46">
        <v>88981</v>
      </c>
      <c r="E58" s="46">
        <v>84981</v>
      </c>
      <c r="F58" s="6" t="s">
        <v>26</v>
      </c>
      <c r="G58" s="7">
        <v>500000</v>
      </c>
      <c r="H58" s="7">
        <f t="shared" si="13"/>
        <v>245000</v>
      </c>
      <c r="I58" s="7">
        <f t="shared" si="14"/>
        <v>255000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353000</v>
      </c>
      <c r="P58" s="15">
        <v>0</v>
      </c>
      <c r="Q58" s="15">
        <v>0</v>
      </c>
      <c r="R58" s="16">
        <f t="shared" si="12"/>
        <v>353000</v>
      </c>
    </row>
    <row r="59" spans="1:19" x14ac:dyDescent="0.25">
      <c r="A59" s="6" t="s">
        <v>58</v>
      </c>
      <c r="B59" s="6" t="s">
        <v>90</v>
      </c>
      <c r="C59" s="6" t="s">
        <v>18</v>
      </c>
      <c r="D59" s="46">
        <v>88981</v>
      </c>
      <c r="E59" s="46">
        <v>84981</v>
      </c>
      <c r="F59" s="6" t="s">
        <v>26</v>
      </c>
      <c r="G59" s="7">
        <v>250000</v>
      </c>
      <c r="H59" s="7">
        <f>G59</f>
        <v>250000</v>
      </c>
      <c r="I59" s="7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6">
        <f t="shared" si="12"/>
        <v>0</v>
      </c>
      <c r="S59" s="17" t="s">
        <v>87</v>
      </c>
    </row>
    <row r="60" spans="1:19" x14ac:dyDescent="0.25">
      <c r="A60" s="6" t="s">
        <v>92</v>
      </c>
      <c r="B60" s="6" t="s">
        <v>90</v>
      </c>
      <c r="C60" s="6" t="s">
        <v>18</v>
      </c>
      <c r="D60" s="46">
        <v>88981</v>
      </c>
      <c r="E60" s="46">
        <v>84981</v>
      </c>
      <c r="F60" s="6" t="s">
        <v>26</v>
      </c>
      <c r="G60" s="7">
        <v>195000</v>
      </c>
      <c r="H60" s="7">
        <v>195000</v>
      </c>
      <c r="I60" s="7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6">
        <f t="shared" si="12"/>
        <v>0</v>
      </c>
      <c r="S60" s="17" t="s">
        <v>93</v>
      </c>
    </row>
    <row r="61" spans="1:19" x14ac:dyDescent="0.25">
      <c r="A61" s="6" t="s">
        <v>59</v>
      </c>
      <c r="B61" s="6" t="s">
        <v>90</v>
      </c>
      <c r="C61" s="6" t="s">
        <v>18</v>
      </c>
      <c r="D61" s="48">
        <v>88987</v>
      </c>
      <c r="E61" s="48">
        <v>84914</v>
      </c>
      <c r="F61" s="6" t="s">
        <v>60</v>
      </c>
      <c r="G61" s="7">
        <v>300000</v>
      </c>
      <c r="H61" s="7">
        <f>G61</f>
        <v>300000</v>
      </c>
      <c r="I61" s="7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6">
        <f t="shared" si="12"/>
        <v>0</v>
      </c>
      <c r="S61" s="17" t="s">
        <v>87</v>
      </c>
    </row>
    <row r="62" spans="1:19" x14ac:dyDescent="0.25">
      <c r="A62" s="6" t="s">
        <v>61</v>
      </c>
      <c r="B62" s="6" t="s">
        <v>90</v>
      </c>
      <c r="C62" s="6" t="s">
        <v>18</v>
      </c>
      <c r="D62" s="46">
        <v>88981</v>
      </c>
      <c r="E62" s="46">
        <v>84981</v>
      </c>
      <c r="F62" s="6" t="s">
        <v>33</v>
      </c>
      <c r="G62" s="7">
        <v>846173</v>
      </c>
      <c r="H62" s="7">
        <f>G62</f>
        <v>846173</v>
      </c>
      <c r="I62" s="7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6">
        <f t="shared" si="12"/>
        <v>0</v>
      </c>
      <c r="S62" s="17" t="s">
        <v>87</v>
      </c>
    </row>
    <row r="63" spans="1:19" x14ac:dyDescent="0.25">
      <c r="A63" s="6" t="s">
        <v>62</v>
      </c>
      <c r="B63" s="6" t="s">
        <v>90</v>
      </c>
      <c r="C63" s="6" t="s">
        <v>18</v>
      </c>
      <c r="D63" s="47">
        <v>88989</v>
      </c>
      <c r="E63" s="47">
        <v>84916</v>
      </c>
      <c r="F63" s="6" t="s">
        <v>63</v>
      </c>
      <c r="G63" s="7">
        <v>148462</v>
      </c>
      <c r="H63" s="7">
        <f t="shared" si="13"/>
        <v>72747</v>
      </c>
      <c r="I63" s="7">
        <f t="shared" si="14"/>
        <v>75715</v>
      </c>
      <c r="J63" s="15">
        <v>0</v>
      </c>
      <c r="K63" s="15">
        <v>0</v>
      </c>
      <c r="L63" s="15">
        <v>0</v>
      </c>
      <c r="M63" s="15">
        <f>ROUND(24%*H63,0)</f>
        <v>17459</v>
      </c>
      <c r="N63" s="15">
        <v>0</v>
      </c>
      <c r="O63" s="15">
        <v>0</v>
      </c>
      <c r="P63" s="15">
        <v>0</v>
      </c>
      <c r="Q63" s="15">
        <v>0</v>
      </c>
      <c r="R63" s="16">
        <f t="shared" si="12"/>
        <v>17459</v>
      </c>
    </row>
    <row r="64" spans="1:19" x14ac:dyDescent="0.25">
      <c r="A64" s="6" t="s">
        <v>64</v>
      </c>
      <c r="B64" s="6" t="s">
        <v>90</v>
      </c>
      <c r="C64" s="6" t="s">
        <v>18</v>
      </c>
      <c r="D64" s="47">
        <v>88989</v>
      </c>
      <c r="E64" s="47">
        <v>84916</v>
      </c>
      <c r="F64" s="6" t="s">
        <v>63</v>
      </c>
      <c r="G64" s="7">
        <v>145744</v>
      </c>
      <c r="H64" s="7">
        <f t="shared" si="13"/>
        <v>71415</v>
      </c>
      <c r="I64" s="7">
        <f t="shared" si="14"/>
        <v>74329</v>
      </c>
      <c r="J64" s="15">
        <f>ROUND(24%*H64,0)</f>
        <v>17140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6">
        <f t="shared" si="12"/>
        <v>17140</v>
      </c>
    </row>
    <row r="65" spans="1:19" x14ac:dyDescent="0.25">
      <c r="A65" s="6" t="s">
        <v>65</v>
      </c>
      <c r="B65" s="6" t="s">
        <v>90</v>
      </c>
      <c r="C65" s="6" t="s">
        <v>18</v>
      </c>
      <c r="D65" s="47">
        <v>88990</v>
      </c>
      <c r="E65" s="47">
        <v>84917</v>
      </c>
      <c r="F65" s="6" t="s">
        <v>28</v>
      </c>
      <c r="G65" s="7">
        <v>420000</v>
      </c>
      <c r="H65" s="7">
        <f>G65</f>
        <v>420000</v>
      </c>
      <c r="I65" s="7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6">
        <f t="shared" si="12"/>
        <v>0</v>
      </c>
      <c r="S65" s="17" t="s">
        <v>87</v>
      </c>
    </row>
    <row r="66" spans="1:19" x14ac:dyDescent="0.25">
      <c r="A66" s="6" t="s">
        <v>66</v>
      </c>
      <c r="B66" s="6" t="s">
        <v>90</v>
      </c>
      <c r="C66" s="6" t="s">
        <v>18</v>
      </c>
      <c r="D66" s="47">
        <v>88991</v>
      </c>
      <c r="E66" s="47">
        <v>84918</v>
      </c>
      <c r="F66" s="6" t="s">
        <v>28</v>
      </c>
      <c r="G66" s="7">
        <v>150000</v>
      </c>
      <c r="H66" s="7">
        <f>G66</f>
        <v>150000</v>
      </c>
      <c r="I66" s="7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6">
        <f t="shared" si="12"/>
        <v>0</v>
      </c>
      <c r="S66" s="17" t="s">
        <v>87</v>
      </c>
    </row>
    <row r="67" spans="1:19" x14ac:dyDescent="0.25">
      <c r="A67" s="6" t="s">
        <v>67</v>
      </c>
      <c r="B67" s="6" t="s">
        <v>90</v>
      </c>
      <c r="C67" s="6" t="s">
        <v>18</v>
      </c>
      <c r="D67" s="47">
        <v>88992</v>
      </c>
      <c r="E67" s="47">
        <v>84919</v>
      </c>
      <c r="F67" s="6" t="s">
        <v>28</v>
      </c>
      <c r="G67" s="7">
        <v>365000</v>
      </c>
      <c r="H67" s="7">
        <f>G67</f>
        <v>365000</v>
      </c>
      <c r="I67" s="7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6">
        <f t="shared" si="12"/>
        <v>0</v>
      </c>
      <c r="S67" s="17" t="s">
        <v>87</v>
      </c>
    </row>
    <row r="68" spans="1:19" x14ac:dyDescent="0.25">
      <c r="A68" s="6" t="s">
        <v>68</v>
      </c>
      <c r="B68" s="6" t="s">
        <v>90</v>
      </c>
      <c r="C68" s="6" t="s">
        <v>18</v>
      </c>
      <c r="D68" s="47">
        <v>86901</v>
      </c>
      <c r="E68" s="47">
        <v>84920</v>
      </c>
      <c r="F68" s="6" t="s">
        <v>31</v>
      </c>
      <c r="G68" s="7">
        <v>500000</v>
      </c>
      <c r="H68" s="7">
        <f>G68</f>
        <v>500000</v>
      </c>
      <c r="I68" s="7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6">
        <f t="shared" si="12"/>
        <v>0</v>
      </c>
      <c r="S68" s="17" t="s">
        <v>87</v>
      </c>
    </row>
    <row r="69" spans="1:19" x14ac:dyDescent="0.25">
      <c r="A69" s="6" t="s">
        <v>69</v>
      </c>
      <c r="B69" s="6" t="s">
        <v>90</v>
      </c>
      <c r="C69" s="6" t="s">
        <v>18</v>
      </c>
      <c r="D69" s="47">
        <v>88988</v>
      </c>
      <c r="E69" s="47">
        <v>84915</v>
      </c>
      <c r="F69" s="6" t="s">
        <v>70</v>
      </c>
      <c r="G69" s="7">
        <v>3000000</v>
      </c>
      <c r="H69" s="7">
        <f>G69</f>
        <v>3000000</v>
      </c>
      <c r="I69" s="7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6">
        <f t="shared" si="12"/>
        <v>0</v>
      </c>
      <c r="S69" s="17" t="s">
        <v>87</v>
      </c>
    </row>
    <row r="70" spans="1:19" s="38" customFormat="1" x14ac:dyDescent="0.25">
      <c r="A70" s="41" t="s">
        <v>95</v>
      </c>
      <c r="B70" s="38" t="s">
        <v>99</v>
      </c>
      <c r="C70" s="42" t="s">
        <v>18</v>
      </c>
      <c r="D70" s="49">
        <v>30000</v>
      </c>
      <c r="E70" s="49">
        <v>30520</v>
      </c>
      <c r="F70" s="42" t="s">
        <v>98</v>
      </c>
      <c r="G70" s="34">
        <v>2500000</v>
      </c>
      <c r="H70" s="7">
        <f>ROUNDUP(G70*49%,0)</f>
        <v>1225000</v>
      </c>
      <c r="I70" s="7">
        <f>ROUNDUP(G70*51%,0)</f>
        <v>1275000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16">
        <f>J70+K70+'Q2'!L70+'Q2'!M70+'Q2'!N70+'Q2'!O70+P70+Q70</f>
        <v>1225000</v>
      </c>
      <c r="S70" s="17" t="s">
        <v>101</v>
      </c>
    </row>
    <row r="71" spans="1:19" s="38" customFormat="1" x14ac:dyDescent="0.25">
      <c r="A71" s="41" t="s">
        <v>96</v>
      </c>
      <c r="B71" s="38" t="s">
        <v>99</v>
      </c>
      <c r="C71" s="42" t="s">
        <v>18</v>
      </c>
      <c r="D71" s="49">
        <v>30000</v>
      </c>
      <c r="E71" s="49">
        <v>30521</v>
      </c>
      <c r="F71" s="42" t="s">
        <v>98</v>
      </c>
      <c r="G71" s="34">
        <v>2150000</v>
      </c>
      <c r="H71" s="7">
        <f>ROUNDUP(G71*49%,0)</f>
        <v>1053500</v>
      </c>
      <c r="I71" s="7">
        <f>ROUNDUP(G71*51%,0)</f>
        <v>1096500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16">
        <f>J71+K71+'Q2'!L71+'Q2'!M71+'Q2'!N71+'Q2'!O71+P71+Q71</f>
        <v>882000</v>
      </c>
      <c r="S71" s="17" t="s">
        <v>101</v>
      </c>
    </row>
    <row r="72" spans="1:19" s="38" customFormat="1" x14ac:dyDescent="0.25">
      <c r="A72" s="41" t="s">
        <v>97</v>
      </c>
      <c r="B72" s="38" t="s">
        <v>99</v>
      </c>
      <c r="C72" s="42" t="s">
        <v>18</v>
      </c>
      <c r="D72" s="49">
        <v>30000</v>
      </c>
      <c r="E72" s="49">
        <v>30522</v>
      </c>
      <c r="F72" s="42" t="s">
        <v>98</v>
      </c>
      <c r="G72" s="34">
        <v>250000</v>
      </c>
      <c r="H72" s="7">
        <f>ROUNDUP(G72*49%,0)</f>
        <v>122500</v>
      </c>
      <c r="I72" s="7">
        <f>ROUNDUP(G72*51%,0)</f>
        <v>127500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16">
        <f>J72+K72+L72+M72+N72+O72+P72+Q72</f>
        <v>0</v>
      </c>
      <c r="S72" s="17" t="s">
        <v>101</v>
      </c>
    </row>
    <row r="73" spans="1:19" x14ac:dyDescent="0.25">
      <c r="G73" s="7"/>
      <c r="H73" s="7"/>
      <c r="I73" s="7"/>
      <c r="R73" s="16"/>
    </row>
    <row r="74" spans="1:19" x14ac:dyDescent="0.25">
      <c r="G74" s="7"/>
      <c r="H74" s="7"/>
      <c r="I74" s="7"/>
      <c r="R74" s="16"/>
    </row>
    <row r="75" spans="1:19" x14ac:dyDescent="0.25">
      <c r="A75" s="2" t="s">
        <v>71</v>
      </c>
      <c r="B75" s="2"/>
      <c r="C75" s="2"/>
      <c r="D75" s="45"/>
      <c r="E75" s="45"/>
      <c r="F75" s="2"/>
      <c r="G75" s="4">
        <f>G39+G29+G25+G10+G8+G5+G27</f>
        <v>1484834743</v>
      </c>
      <c r="H75" s="4">
        <f t="shared" ref="H75:R75" si="15">H39+H29+H25+H10+H8+H5+H27</f>
        <v>738757897</v>
      </c>
      <c r="I75" s="4">
        <f t="shared" si="15"/>
        <v>746076846</v>
      </c>
      <c r="J75" s="4">
        <f t="shared" si="15"/>
        <v>6191749.6580697866</v>
      </c>
      <c r="K75" s="4">
        <f t="shared" si="15"/>
        <v>8985948.1464087069</v>
      </c>
      <c r="L75" s="4">
        <f t="shared" si="15"/>
        <v>70717868.981166855</v>
      </c>
      <c r="M75" s="4">
        <f t="shared" si="15"/>
        <v>31139230.61739108</v>
      </c>
      <c r="N75" s="4">
        <f t="shared" si="15"/>
        <v>7089250.9116664091</v>
      </c>
      <c r="O75" s="4">
        <f t="shared" si="15"/>
        <v>24015314.518974897</v>
      </c>
      <c r="P75" s="4">
        <f t="shared" si="15"/>
        <v>8499792.166322263</v>
      </c>
      <c r="Q75" s="4">
        <f t="shared" si="15"/>
        <v>17599047</v>
      </c>
      <c r="R75" s="4">
        <f t="shared" si="15"/>
        <v>174238202</v>
      </c>
    </row>
    <row r="76" spans="1:19" x14ac:dyDescent="0.25">
      <c r="A76" s="2"/>
      <c r="B76" s="2"/>
      <c r="C76" s="2"/>
      <c r="D76" s="45"/>
      <c r="E76" s="45"/>
      <c r="F76" s="2"/>
      <c r="G76" s="4"/>
      <c r="H76" s="4"/>
      <c r="I76" s="4"/>
      <c r="R76" s="16"/>
    </row>
    <row r="77" spans="1:19" x14ac:dyDescent="0.25">
      <c r="R77" s="16"/>
    </row>
    <row r="78" spans="1:19" x14ac:dyDescent="0.25">
      <c r="R78" s="16"/>
    </row>
  </sheetData>
  <phoneticPr fontId="7" type="noConversion"/>
  <pageMargins left="0.7" right="0.7" top="0.75" bottom="0.75" header="0.3" footer="0.3"/>
  <pageSetup orientation="portrait" r:id="rId1"/>
  <ignoredErrors>
    <ignoredError sqref="J21:Q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8"/>
  <sheetViews>
    <sheetView zoomScale="80" zoomScaleNormal="80" workbookViewId="0">
      <pane ySplit="1" topLeftCell="A54" activePane="bottomLeft" state="frozen"/>
      <selection pane="bottomLeft" activeCell="A82" sqref="A82"/>
    </sheetView>
  </sheetViews>
  <sheetFormatPr defaultColWidth="9.140625" defaultRowHeight="15" x14ac:dyDescent="0.25"/>
  <cols>
    <col min="1" max="1" width="49.5703125" style="6" customWidth="1"/>
    <col min="2" max="2" width="11" style="6" customWidth="1"/>
    <col min="3" max="3" width="5.28515625" style="6" bestFit="1" customWidth="1"/>
    <col min="4" max="4" width="8.42578125" style="46" bestFit="1" customWidth="1"/>
    <col min="5" max="5" width="9.140625" style="46" customWidth="1"/>
    <col min="6" max="6" width="7.85546875" style="6" bestFit="1" customWidth="1"/>
    <col min="7" max="9" width="16.85546875" style="6" bestFit="1" customWidth="1"/>
    <col min="10" max="10" width="13.28515625" style="15" bestFit="1" customWidth="1"/>
    <col min="11" max="11" width="14.28515625" style="15" bestFit="1" customWidth="1"/>
    <col min="12" max="12" width="15.28515625" style="15" bestFit="1" customWidth="1"/>
    <col min="13" max="13" width="14.28515625" style="15" bestFit="1" customWidth="1"/>
    <col min="14" max="14" width="14.140625" style="15" bestFit="1" customWidth="1"/>
    <col min="15" max="16" width="14.28515625" style="15" bestFit="1" customWidth="1"/>
    <col min="17" max="17" width="15.28515625" style="15" bestFit="1" customWidth="1"/>
    <col min="18" max="18" width="15.140625" style="6" bestFit="1" customWidth="1"/>
    <col min="19" max="19" width="13.28515625" style="17" bestFit="1" customWidth="1"/>
    <col min="20" max="16384" width="9.140625" style="6"/>
  </cols>
  <sheetData>
    <row r="1" spans="1:19" x14ac:dyDescent="0.25">
      <c r="A1" s="2" t="s">
        <v>11</v>
      </c>
      <c r="B1" s="2" t="s">
        <v>88</v>
      </c>
      <c r="C1" s="2" t="s">
        <v>12</v>
      </c>
      <c r="D1" s="45" t="s">
        <v>13</v>
      </c>
      <c r="E1" s="45" t="s">
        <v>0</v>
      </c>
      <c r="F1" s="2" t="s">
        <v>14</v>
      </c>
      <c r="G1" s="3" t="s">
        <v>15</v>
      </c>
      <c r="H1" s="4" t="s">
        <v>16</v>
      </c>
      <c r="I1" s="4" t="s">
        <v>17</v>
      </c>
      <c r="J1" s="20" t="s">
        <v>1</v>
      </c>
      <c r="K1" s="20" t="s">
        <v>2</v>
      </c>
      <c r="L1" s="20" t="s">
        <v>3</v>
      </c>
      <c r="M1" s="20" t="s">
        <v>4</v>
      </c>
      <c r="N1" s="20" t="s">
        <v>5</v>
      </c>
      <c r="O1" s="20" t="s">
        <v>6</v>
      </c>
      <c r="P1" s="20" t="s">
        <v>7</v>
      </c>
      <c r="Q1" s="20" t="s">
        <v>8</v>
      </c>
      <c r="R1" s="2" t="s">
        <v>9</v>
      </c>
      <c r="S1" s="21" t="s">
        <v>10</v>
      </c>
    </row>
    <row r="2" spans="1:19" x14ac:dyDescent="0.25">
      <c r="G2" s="7"/>
      <c r="H2" s="7"/>
      <c r="I2" s="7"/>
      <c r="R2" s="16"/>
    </row>
    <row r="3" spans="1:19" x14ac:dyDescent="0.25">
      <c r="A3" s="2" t="s">
        <v>72</v>
      </c>
      <c r="B3" s="2"/>
      <c r="C3" s="2"/>
      <c r="D3" s="45"/>
      <c r="E3" s="45"/>
      <c r="F3" s="2"/>
      <c r="G3" s="4">
        <f>G5+G8</f>
        <v>1005047933</v>
      </c>
      <c r="H3" s="4">
        <f>H5+H8</f>
        <v>495617373</v>
      </c>
      <c r="I3" s="4">
        <f>I5+I8</f>
        <v>509430560</v>
      </c>
      <c r="R3" s="16"/>
    </row>
    <row r="4" spans="1:19" x14ac:dyDescent="0.25">
      <c r="A4" s="6" t="s">
        <v>73</v>
      </c>
      <c r="B4" s="6" t="s">
        <v>89</v>
      </c>
      <c r="C4" s="6" t="s">
        <v>18</v>
      </c>
      <c r="D4" s="46">
        <v>88983</v>
      </c>
      <c r="E4" s="46">
        <v>84983</v>
      </c>
      <c r="F4" s="6" t="s">
        <v>19</v>
      </c>
      <c r="G4" s="7">
        <f>998717592+165859</f>
        <v>998883451</v>
      </c>
      <c r="H4" s="7">
        <f>ROUNDUP(G4*49%,0)</f>
        <v>489452891</v>
      </c>
      <c r="I4" s="7">
        <f>ROUNDDOWN(G4*51%,0)</f>
        <v>509430560</v>
      </c>
      <c r="J4" s="14">
        <v>3716924.64</v>
      </c>
      <c r="K4" s="14">
        <v>5481014.8799999999</v>
      </c>
      <c r="L4" s="14">
        <v>25464978.400000002</v>
      </c>
      <c r="M4" s="14">
        <v>19171674.400000002</v>
      </c>
      <c r="N4" s="14">
        <v>4399235.04</v>
      </c>
      <c r="O4" s="14">
        <v>14787327.359999999</v>
      </c>
      <c r="P4" s="14">
        <v>5291307.68</v>
      </c>
      <c r="R4" s="16">
        <f>J4+K4+L4+M4+N4+O4+P4+Q4</f>
        <v>78312462.400000006</v>
      </c>
    </row>
    <row r="5" spans="1:19" x14ac:dyDescent="0.25">
      <c r="A5" s="2" t="s">
        <v>74</v>
      </c>
      <c r="B5" s="2"/>
      <c r="C5" s="2"/>
      <c r="D5" s="45"/>
      <c r="E5" s="45"/>
      <c r="F5" s="2"/>
      <c r="G5" s="4">
        <f>SUM(G4:G4)</f>
        <v>998883451</v>
      </c>
      <c r="H5" s="4">
        <f>SUM(H4:H4)</f>
        <v>489452891</v>
      </c>
      <c r="I5" s="4">
        <f t="shared" ref="I5:Q5" si="0">SUM(I4:I4)</f>
        <v>509430560</v>
      </c>
      <c r="J5" s="4">
        <f t="shared" si="0"/>
        <v>3716924.64</v>
      </c>
      <c r="K5" s="4">
        <f t="shared" si="0"/>
        <v>5481014.8799999999</v>
      </c>
      <c r="L5" s="4">
        <f t="shared" si="0"/>
        <v>25464978.400000002</v>
      </c>
      <c r="M5" s="4">
        <f t="shared" si="0"/>
        <v>19171674.400000002</v>
      </c>
      <c r="N5" s="4">
        <f t="shared" si="0"/>
        <v>4399235.04</v>
      </c>
      <c r="O5" s="4">
        <f t="shared" si="0"/>
        <v>14787327.359999999</v>
      </c>
      <c r="P5" s="4">
        <f t="shared" si="0"/>
        <v>5291307.68</v>
      </c>
      <c r="Q5" s="4">
        <f t="shared" si="0"/>
        <v>0</v>
      </c>
      <c r="R5" s="19">
        <f>J5+K5+L5+M5+N5+O5+P5+Q5</f>
        <v>78312462.400000006</v>
      </c>
    </row>
    <row r="6" spans="1:19" x14ac:dyDescent="0.25">
      <c r="A6" s="2"/>
      <c r="B6" s="2"/>
      <c r="C6" s="2"/>
      <c r="D6" s="45"/>
      <c r="E6" s="45"/>
      <c r="F6" s="2"/>
      <c r="G6" s="4"/>
      <c r="H6" s="4"/>
      <c r="I6" s="4"/>
      <c r="R6" s="16"/>
    </row>
    <row r="7" spans="1:19" x14ac:dyDescent="0.25">
      <c r="A7" s="6" t="s">
        <v>20</v>
      </c>
      <c r="B7" s="6" t="s">
        <v>90</v>
      </c>
      <c r="C7" s="6" t="s">
        <v>18</v>
      </c>
      <c r="D7" s="47">
        <v>88983</v>
      </c>
      <c r="E7" s="47">
        <v>84989</v>
      </c>
      <c r="F7" s="6" t="s">
        <v>19</v>
      </c>
      <c r="G7" s="7">
        <v>6164482</v>
      </c>
      <c r="H7" s="7">
        <f>G7</f>
        <v>6164482</v>
      </c>
      <c r="I7" s="7">
        <v>0</v>
      </c>
      <c r="R7" s="16">
        <f t="shared" ref="R7:R72" si="1">J7+K7+L7+M7+N7+O7+P7+Q7</f>
        <v>0</v>
      </c>
      <c r="S7" s="17" t="s">
        <v>87</v>
      </c>
    </row>
    <row r="8" spans="1:19" x14ac:dyDescent="0.25">
      <c r="A8" s="2" t="s">
        <v>75</v>
      </c>
      <c r="B8" s="2"/>
      <c r="C8" s="2"/>
      <c r="D8" s="45"/>
      <c r="E8" s="45"/>
      <c r="F8" s="2"/>
      <c r="G8" s="4">
        <f>SUM(G7:G7)</f>
        <v>6164482</v>
      </c>
      <c r="H8" s="4">
        <f>SUM(H7:H7)</f>
        <v>6164482</v>
      </c>
      <c r="I8" s="4">
        <f>SUM(I7:I7)</f>
        <v>0</v>
      </c>
      <c r="J8" s="4">
        <f t="shared" ref="J8:Q8" si="2">SUM(J7:J7)</f>
        <v>0</v>
      </c>
      <c r="K8" s="4">
        <f t="shared" si="2"/>
        <v>0</v>
      </c>
      <c r="L8" s="4">
        <f t="shared" si="2"/>
        <v>0</v>
      </c>
      <c r="M8" s="4">
        <f t="shared" si="2"/>
        <v>0</v>
      </c>
      <c r="N8" s="4">
        <f t="shared" si="2"/>
        <v>0</v>
      </c>
      <c r="O8" s="4">
        <f t="shared" si="2"/>
        <v>0</v>
      </c>
      <c r="P8" s="4">
        <f t="shared" si="2"/>
        <v>0</v>
      </c>
      <c r="Q8" s="4">
        <f t="shared" si="2"/>
        <v>0</v>
      </c>
      <c r="R8" s="19">
        <f t="shared" si="1"/>
        <v>0</v>
      </c>
    </row>
    <row r="9" spans="1:19" x14ac:dyDescent="0.25">
      <c r="G9" s="7"/>
      <c r="H9" s="7"/>
      <c r="I9" s="7"/>
      <c r="R9" s="16"/>
    </row>
    <row r="10" spans="1:19" s="2" customFormat="1" x14ac:dyDescent="0.25">
      <c r="A10" s="2" t="s">
        <v>76</v>
      </c>
      <c r="D10" s="45"/>
      <c r="E10" s="45"/>
      <c r="G10" s="4">
        <f>G12+G21+G23</f>
        <v>243268086</v>
      </c>
      <c r="H10" s="4">
        <f>H12+H21+H23</f>
        <v>122399575</v>
      </c>
      <c r="I10" s="4">
        <f>I12+I21+I23</f>
        <v>120868511</v>
      </c>
      <c r="J10" s="4">
        <f t="shared" ref="J10:Q10" si="3">J12+J21+J23</f>
        <v>0</v>
      </c>
      <c r="K10" s="4">
        <f t="shared" si="3"/>
        <v>0</v>
      </c>
      <c r="L10" s="4">
        <f t="shared" si="3"/>
        <v>21295805</v>
      </c>
      <c r="M10" s="4">
        <f t="shared" si="3"/>
        <v>0</v>
      </c>
      <c r="N10" s="4">
        <f t="shared" si="3"/>
        <v>0</v>
      </c>
      <c r="O10" s="4">
        <f t="shared" si="3"/>
        <v>0</v>
      </c>
      <c r="P10" s="4">
        <f t="shared" si="3"/>
        <v>0</v>
      </c>
      <c r="Q10" s="4">
        <f t="shared" si="3"/>
        <v>0</v>
      </c>
      <c r="R10" s="19">
        <f t="shared" si="1"/>
        <v>21295805</v>
      </c>
      <c r="S10" s="21"/>
    </row>
    <row r="11" spans="1:19" x14ac:dyDescent="0.25">
      <c r="A11" s="6" t="s">
        <v>21</v>
      </c>
      <c r="B11" s="6" t="s">
        <v>90</v>
      </c>
      <c r="C11" s="6" t="s">
        <v>18</v>
      </c>
      <c r="D11" s="46">
        <v>86900</v>
      </c>
      <c r="E11" s="46">
        <v>84904</v>
      </c>
      <c r="F11" s="6" t="s">
        <v>19</v>
      </c>
      <c r="G11" s="7">
        <v>97016982</v>
      </c>
      <c r="H11" s="7">
        <f>ROUNDUP(G11*49%,0)</f>
        <v>47538322</v>
      </c>
      <c r="I11" s="7">
        <f>ROUNDDOWN(G11*51%,0)</f>
        <v>49478660</v>
      </c>
      <c r="L11" s="15">
        <f>ROUND(H11*16%,0)</f>
        <v>7606132</v>
      </c>
      <c r="R11" s="16">
        <f t="shared" si="1"/>
        <v>7606132</v>
      </c>
    </row>
    <row r="12" spans="1:19" s="2" customFormat="1" x14ac:dyDescent="0.25">
      <c r="A12" s="2" t="s">
        <v>77</v>
      </c>
      <c r="D12" s="45"/>
      <c r="E12" s="45"/>
      <c r="G12" s="4">
        <f>SUM(G11:G11)</f>
        <v>97016982</v>
      </c>
      <c r="H12" s="4">
        <f t="shared" ref="H12:Q12" si="4">SUM(H11:H11)</f>
        <v>47538322</v>
      </c>
      <c r="I12" s="4">
        <f t="shared" si="4"/>
        <v>49478660</v>
      </c>
      <c r="J12" s="4">
        <f t="shared" si="4"/>
        <v>0</v>
      </c>
      <c r="K12" s="4">
        <f t="shared" si="4"/>
        <v>0</v>
      </c>
      <c r="L12" s="4">
        <f t="shared" si="4"/>
        <v>7606132</v>
      </c>
      <c r="M12" s="4">
        <f t="shared" si="4"/>
        <v>0</v>
      </c>
      <c r="N12" s="4">
        <f t="shared" si="4"/>
        <v>0</v>
      </c>
      <c r="O12" s="4">
        <f t="shared" si="4"/>
        <v>0</v>
      </c>
      <c r="P12" s="4">
        <f t="shared" si="4"/>
        <v>0</v>
      </c>
      <c r="Q12" s="4">
        <f t="shared" si="4"/>
        <v>0</v>
      </c>
      <c r="R12" s="19">
        <f t="shared" si="1"/>
        <v>7606132</v>
      </c>
      <c r="S12" s="21"/>
    </row>
    <row r="13" spans="1:19" x14ac:dyDescent="0.25">
      <c r="G13" s="7"/>
      <c r="H13" s="7"/>
      <c r="I13" s="7"/>
      <c r="R13" s="16">
        <f t="shared" si="1"/>
        <v>0</v>
      </c>
    </row>
    <row r="14" spans="1:19" x14ac:dyDescent="0.25">
      <c r="A14" s="6" t="s">
        <v>22</v>
      </c>
      <c r="B14" s="6" t="s">
        <v>90</v>
      </c>
      <c r="C14" s="6" t="s">
        <v>18</v>
      </c>
      <c r="D14" s="46">
        <v>86900</v>
      </c>
      <c r="E14" s="46">
        <v>84901</v>
      </c>
      <c r="F14" s="6" t="s">
        <v>19</v>
      </c>
      <c r="G14" s="7">
        <v>67769936</v>
      </c>
      <c r="H14" s="7">
        <f>ROUNDUP(G14*49%,0)</f>
        <v>33207269</v>
      </c>
      <c r="I14" s="7">
        <f>ROUNDDOWN(G14*51%,0)</f>
        <v>34562667</v>
      </c>
      <c r="L14" s="15">
        <f>ROUND(H14*16%,0)-1</f>
        <v>5313162</v>
      </c>
      <c r="R14" s="16">
        <f t="shared" si="1"/>
        <v>5313162</v>
      </c>
    </row>
    <row r="15" spans="1:19" x14ac:dyDescent="0.25">
      <c r="A15" s="6" t="s">
        <v>23</v>
      </c>
      <c r="B15" s="6" t="s">
        <v>90</v>
      </c>
      <c r="C15" s="6" t="s">
        <v>18</v>
      </c>
      <c r="D15" s="46">
        <v>86900</v>
      </c>
      <c r="E15" s="46">
        <v>84901</v>
      </c>
      <c r="F15" s="6" t="s">
        <v>19</v>
      </c>
      <c r="G15" s="7">
        <v>2000000</v>
      </c>
      <c r="H15" s="7">
        <f>G15</f>
        <v>2000000</v>
      </c>
      <c r="I15" s="7">
        <v>0</v>
      </c>
      <c r="L15" s="15">
        <v>0</v>
      </c>
      <c r="R15" s="16">
        <f t="shared" si="1"/>
        <v>0</v>
      </c>
      <c r="S15" s="17" t="s">
        <v>87</v>
      </c>
    </row>
    <row r="16" spans="1:19" x14ac:dyDescent="0.25">
      <c r="A16" s="6" t="s">
        <v>24</v>
      </c>
      <c r="B16" s="6" t="s">
        <v>90</v>
      </c>
      <c r="C16" s="6" t="s">
        <v>25</v>
      </c>
      <c r="D16" s="46">
        <v>41100</v>
      </c>
      <c r="E16" s="48">
        <v>42003</v>
      </c>
      <c r="F16" s="6" t="s">
        <v>19</v>
      </c>
      <c r="G16" s="7">
        <v>56406064</v>
      </c>
      <c r="H16" s="7">
        <f>ROUNDUP(G16*50%,0)</f>
        <v>28203032</v>
      </c>
      <c r="I16" s="7">
        <f>ROUNDDOWN(G16*50%,0)</f>
        <v>28203032</v>
      </c>
      <c r="L16" s="15">
        <f>ROUND(H16*25%,0)</f>
        <v>7050758</v>
      </c>
      <c r="R16" s="16">
        <f t="shared" si="1"/>
        <v>7050758</v>
      </c>
    </row>
    <row r="17" spans="1:19" x14ac:dyDescent="0.25">
      <c r="A17" s="6" t="s">
        <v>27</v>
      </c>
      <c r="B17" s="6" t="s">
        <v>90</v>
      </c>
      <c r="C17" s="6" t="s">
        <v>18</v>
      </c>
      <c r="D17" s="46">
        <v>86900</v>
      </c>
      <c r="E17" s="46">
        <v>84901</v>
      </c>
      <c r="F17" s="6" t="s">
        <v>28</v>
      </c>
      <c r="G17" s="7">
        <v>3085581</v>
      </c>
      <c r="H17" s="7">
        <f>ROUNDUP(G17*49%,0)</f>
        <v>1511935</v>
      </c>
      <c r="I17" s="7">
        <f>ROUNDDOWN(G17*51%,0)</f>
        <v>1573646</v>
      </c>
      <c r="L17" s="15">
        <f>ROUND(H17*16%,0)</f>
        <v>241910</v>
      </c>
      <c r="R17" s="16">
        <f t="shared" si="1"/>
        <v>241910</v>
      </c>
    </row>
    <row r="18" spans="1:19" x14ac:dyDescent="0.25">
      <c r="A18" s="6" t="s">
        <v>29</v>
      </c>
      <c r="B18" s="6" t="s">
        <v>90</v>
      </c>
      <c r="C18" s="6" t="s">
        <v>18</v>
      </c>
      <c r="D18" s="46">
        <v>86900</v>
      </c>
      <c r="E18" s="46">
        <v>84901</v>
      </c>
      <c r="F18" s="6" t="s">
        <v>26</v>
      </c>
      <c r="G18" s="7">
        <v>135000</v>
      </c>
      <c r="H18" s="7">
        <f>G18</f>
        <v>135000</v>
      </c>
      <c r="I18" s="7">
        <v>0</v>
      </c>
      <c r="L18" s="15">
        <v>0</v>
      </c>
      <c r="R18" s="16">
        <f t="shared" si="1"/>
        <v>0</v>
      </c>
      <c r="S18" s="17" t="s">
        <v>87</v>
      </c>
    </row>
    <row r="19" spans="1:19" x14ac:dyDescent="0.25">
      <c r="A19" s="6" t="s">
        <v>30</v>
      </c>
      <c r="B19" s="6" t="s">
        <v>90</v>
      </c>
      <c r="C19" s="6" t="s">
        <v>18</v>
      </c>
      <c r="D19" s="46">
        <v>86900</v>
      </c>
      <c r="E19" s="46">
        <v>84901</v>
      </c>
      <c r="F19" s="6" t="s">
        <v>31</v>
      </c>
      <c r="G19" s="7">
        <v>3000000</v>
      </c>
      <c r="H19" s="7">
        <f>G19</f>
        <v>3000000</v>
      </c>
      <c r="I19" s="7">
        <v>0</v>
      </c>
      <c r="L19" s="15">
        <v>0</v>
      </c>
      <c r="R19" s="16">
        <f t="shared" si="1"/>
        <v>0</v>
      </c>
      <c r="S19" s="17" t="s">
        <v>87</v>
      </c>
    </row>
    <row r="20" spans="1:19" x14ac:dyDescent="0.25">
      <c r="A20" s="6" t="s">
        <v>32</v>
      </c>
      <c r="B20" s="6" t="s">
        <v>90</v>
      </c>
      <c r="C20" s="6" t="s">
        <v>18</v>
      </c>
      <c r="D20" s="46">
        <v>86900</v>
      </c>
      <c r="E20" s="46">
        <v>84901</v>
      </c>
      <c r="F20" s="6" t="s">
        <v>33</v>
      </c>
      <c r="G20" s="7">
        <v>30000</v>
      </c>
      <c r="H20" s="7">
        <f>G20</f>
        <v>30000</v>
      </c>
      <c r="I20" s="7">
        <v>0</v>
      </c>
      <c r="L20" s="15">
        <v>0</v>
      </c>
      <c r="R20" s="16">
        <f t="shared" si="1"/>
        <v>0</v>
      </c>
      <c r="S20" s="17" t="s">
        <v>87</v>
      </c>
    </row>
    <row r="21" spans="1:19" x14ac:dyDescent="0.25">
      <c r="A21" s="2" t="s">
        <v>78</v>
      </c>
      <c r="B21" s="2"/>
      <c r="C21" s="2"/>
      <c r="D21" s="45"/>
      <c r="E21" s="45"/>
      <c r="F21" s="2"/>
      <c r="G21" s="4">
        <f>SUM(G14:G20)</f>
        <v>132426581</v>
      </c>
      <c r="H21" s="4">
        <f>SUM(H14:H20)</f>
        <v>68087236</v>
      </c>
      <c r="I21" s="4">
        <f>SUM(I14:I20)</f>
        <v>64339345</v>
      </c>
      <c r="J21" s="4">
        <f t="shared" ref="J21:Q21" si="5">SUM(J14:J20)</f>
        <v>0</v>
      </c>
      <c r="K21" s="4">
        <f t="shared" si="5"/>
        <v>0</v>
      </c>
      <c r="L21" s="4">
        <f t="shared" si="5"/>
        <v>12605830</v>
      </c>
      <c r="M21" s="4">
        <f t="shared" si="5"/>
        <v>0</v>
      </c>
      <c r="N21" s="4">
        <f t="shared" si="5"/>
        <v>0</v>
      </c>
      <c r="O21" s="4">
        <f t="shared" si="5"/>
        <v>0</v>
      </c>
      <c r="P21" s="4">
        <f t="shared" si="5"/>
        <v>0</v>
      </c>
      <c r="Q21" s="4">
        <f t="shared" si="5"/>
        <v>0</v>
      </c>
      <c r="R21" s="19">
        <f t="shared" si="1"/>
        <v>12605830</v>
      </c>
    </row>
    <row r="22" spans="1:19" x14ac:dyDescent="0.25">
      <c r="E22" s="46" t="s">
        <v>34</v>
      </c>
      <c r="G22" s="7"/>
      <c r="H22" s="7"/>
      <c r="I22" s="7"/>
      <c r="R22" s="16"/>
    </row>
    <row r="23" spans="1:19" s="2" customFormat="1" x14ac:dyDescent="0.25">
      <c r="A23" s="2" t="s">
        <v>79</v>
      </c>
      <c r="B23" s="6" t="s">
        <v>90</v>
      </c>
      <c r="C23" s="2" t="s">
        <v>18</v>
      </c>
      <c r="D23" s="45">
        <v>86900</v>
      </c>
      <c r="E23" s="45">
        <v>84902</v>
      </c>
      <c r="G23" s="4">
        <v>13824523</v>
      </c>
      <c r="H23" s="4">
        <f>ROUNDUP(G23*49%,0)</f>
        <v>6774017</v>
      </c>
      <c r="I23" s="4">
        <f>ROUNDDOWN(G23*51%,0)</f>
        <v>7050506</v>
      </c>
      <c r="J23" s="20"/>
      <c r="K23" s="20"/>
      <c r="L23" s="20">
        <f>ROUND(H23*16%,0)</f>
        <v>1083843</v>
      </c>
      <c r="M23" s="20"/>
      <c r="N23" s="20"/>
      <c r="O23" s="20"/>
      <c r="P23" s="20"/>
      <c r="Q23" s="20"/>
      <c r="R23" s="19">
        <f t="shared" si="1"/>
        <v>1083843</v>
      </c>
      <c r="S23" s="21"/>
    </row>
    <row r="24" spans="1:19" x14ac:dyDescent="0.25">
      <c r="G24" s="7"/>
      <c r="H24" s="4"/>
      <c r="I24" s="4"/>
      <c r="R24" s="16"/>
    </row>
    <row r="25" spans="1:19" s="2" customFormat="1" x14ac:dyDescent="0.25">
      <c r="A25" s="2" t="s">
        <v>80</v>
      </c>
      <c r="B25" s="6" t="s">
        <v>90</v>
      </c>
      <c r="C25" s="2" t="s">
        <v>25</v>
      </c>
      <c r="D25" s="45">
        <v>41200</v>
      </c>
      <c r="E25" s="45">
        <v>42001</v>
      </c>
      <c r="F25" s="2" t="s">
        <v>19</v>
      </c>
      <c r="G25" s="4">
        <v>18329943</v>
      </c>
      <c r="H25" s="4">
        <f>ROUNDUP(G25*50%,0)</f>
        <v>9164972</v>
      </c>
      <c r="I25" s="4">
        <f>ROUNDDOWN(G25*50%,0)</f>
        <v>9164971</v>
      </c>
      <c r="J25" s="20">
        <v>396595</v>
      </c>
      <c r="K25" s="20">
        <v>396595</v>
      </c>
      <c r="L25" s="20">
        <v>167377</v>
      </c>
      <c r="M25" s="20">
        <v>370109</v>
      </c>
      <c r="N25" s="20">
        <v>396595</v>
      </c>
      <c r="O25" s="20">
        <v>167377</v>
      </c>
      <c r="P25" s="20">
        <v>396595</v>
      </c>
      <c r="Q25" s="20">
        <v>0</v>
      </c>
      <c r="R25" s="19">
        <f t="shared" si="1"/>
        <v>2291243</v>
      </c>
      <c r="S25" s="21"/>
    </row>
    <row r="26" spans="1:19" s="2" customFormat="1" x14ac:dyDescent="0.25">
      <c r="B26" s="6"/>
      <c r="D26" s="45"/>
      <c r="E26" s="45"/>
      <c r="G26" s="4"/>
      <c r="H26" s="4"/>
      <c r="I26" s="4"/>
      <c r="J26" s="20"/>
      <c r="K26" s="20"/>
      <c r="L26" s="20"/>
      <c r="M26" s="20"/>
      <c r="N26" s="20"/>
      <c r="O26" s="20"/>
      <c r="P26" s="20"/>
      <c r="Q26" s="20"/>
      <c r="R26" s="19"/>
      <c r="S26" s="21"/>
    </row>
    <row r="27" spans="1:19" s="2" customFormat="1" x14ac:dyDescent="0.25">
      <c r="A27" s="35" t="s">
        <v>100</v>
      </c>
      <c r="B27" s="37" t="s">
        <v>90</v>
      </c>
      <c r="C27" s="31" t="s">
        <v>18</v>
      </c>
      <c r="D27" s="47">
        <v>88942</v>
      </c>
      <c r="E27" s="47">
        <v>84942</v>
      </c>
      <c r="F27" s="33"/>
      <c r="G27" s="36">
        <v>13119216</v>
      </c>
      <c r="H27" s="36">
        <f>ROUNDUP(G27*50%,0)</f>
        <v>6559608</v>
      </c>
      <c r="I27" s="36">
        <f>ROUNDDOWN(G27*50%,0)</f>
        <v>6559608</v>
      </c>
      <c r="J27" s="20">
        <v>158079</v>
      </c>
      <c r="K27" s="20">
        <v>33384</v>
      </c>
      <c r="L27" s="20">
        <v>263433</v>
      </c>
      <c r="M27" s="20">
        <v>540531</v>
      </c>
      <c r="N27" s="20">
        <v>44790</v>
      </c>
      <c r="O27" s="20">
        <v>487311</v>
      </c>
      <c r="P27" s="20">
        <v>94812</v>
      </c>
      <c r="Q27" s="20">
        <v>0</v>
      </c>
      <c r="R27" s="19">
        <f t="shared" si="1"/>
        <v>1622340</v>
      </c>
      <c r="S27" s="21"/>
    </row>
    <row r="28" spans="1:19" x14ac:dyDescent="0.25">
      <c r="G28" s="7"/>
      <c r="H28" s="7"/>
      <c r="I28" s="7"/>
      <c r="R28" s="19"/>
    </row>
    <row r="29" spans="1:19" x14ac:dyDescent="0.25">
      <c r="A29" s="2" t="s">
        <v>81</v>
      </c>
      <c r="B29" s="2"/>
      <c r="C29" s="2"/>
      <c r="D29" s="45"/>
      <c r="E29" s="45"/>
      <c r="F29" s="2"/>
      <c r="G29" s="4">
        <f t="shared" ref="G29:Q29" si="6">SUM(G30:G36)</f>
        <v>140792377</v>
      </c>
      <c r="H29" s="4">
        <f t="shared" si="6"/>
        <v>70396190</v>
      </c>
      <c r="I29" s="4">
        <f t="shared" si="6"/>
        <v>70396187</v>
      </c>
      <c r="J29" s="4">
        <f t="shared" si="6"/>
        <v>0</v>
      </c>
      <c r="K29" s="4">
        <f t="shared" si="6"/>
        <v>0</v>
      </c>
      <c r="L29" s="4">
        <f t="shared" si="6"/>
        <v>0</v>
      </c>
      <c r="M29" s="4">
        <f t="shared" si="6"/>
        <v>0</v>
      </c>
      <c r="N29" s="4">
        <f t="shared" si="6"/>
        <v>0</v>
      </c>
      <c r="O29" s="4">
        <f t="shared" si="6"/>
        <v>0</v>
      </c>
      <c r="P29" s="4">
        <f t="shared" si="6"/>
        <v>0</v>
      </c>
      <c r="Q29" s="4">
        <f t="shared" si="6"/>
        <v>17599049</v>
      </c>
      <c r="R29" s="19">
        <f t="shared" si="1"/>
        <v>17599049</v>
      </c>
    </row>
    <row r="30" spans="1:19" x14ac:dyDescent="0.25">
      <c r="A30" s="6" t="s">
        <v>82</v>
      </c>
      <c r="B30" s="6" t="s">
        <v>90</v>
      </c>
      <c r="C30" s="6" t="s">
        <v>18</v>
      </c>
      <c r="D30" s="46">
        <v>87900</v>
      </c>
      <c r="E30" s="46">
        <v>84900</v>
      </c>
      <c r="F30" s="6" t="s">
        <v>19</v>
      </c>
      <c r="G30" s="7">
        <v>117158647</v>
      </c>
      <c r="H30" s="7">
        <f>ROUNDUP(G30*50%,0)</f>
        <v>58579324</v>
      </c>
      <c r="I30" s="7">
        <f>ROUNDDOWN(G30*50%,0)</f>
        <v>58579323</v>
      </c>
      <c r="Q30" s="15">
        <f t="shared" ref="Q30:Q36" si="7">ROUND(25%*H30,0)</f>
        <v>14644831</v>
      </c>
      <c r="R30" s="16">
        <f t="shared" si="1"/>
        <v>14644831</v>
      </c>
    </row>
    <row r="31" spans="1:19" x14ac:dyDescent="0.25">
      <c r="A31" s="6" t="s">
        <v>83</v>
      </c>
      <c r="B31" s="6" t="s">
        <v>90</v>
      </c>
      <c r="C31" s="6" t="s">
        <v>18</v>
      </c>
      <c r="D31" s="46">
        <v>87900</v>
      </c>
      <c r="E31" s="46">
        <v>84908</v>
      </c>
      <c r="F31" s="6" t="s">
        <v>19</v>
      </c>
      <c r="G31" s="7">
        <v>2000000</v>
      </c>
      <c r="H31" s="7">
        <f t="shared" ref="H31:H36" si="8">ROUNDUP(G31*50%,0)</f>
        <v>1000000</v>
      </c>
      <c r="I31" s="7">
        <f t="shared" ref="I31:I36" si="9">ROUNDDOWN(G31*50%,0)</f>
        <v>1000000</v>
      </c>
      <c r="Q31" s="15">
        <f t="shared" si="7"/>
        <v>250000</v>
      </c>
      <c r="R31" s="16">
        <f t="shared" si="1"/>
        <v>250000</v>
      </c>
    </row>
    <row r="32" spans="1:19" x14ac:dyDescent="0.25">
      <c r="A32" s="6" t="s">
        <v>35</v>
      </c>
      <c r="B32" s="6" t="s">
        <v>90</v>
      </c>
      <c r="C32" s="6" t="s">
        <v>18</v>
      </c>
      <c r="D32" s="46">
        <v>87900</v>
      </c>
      <c r="E32" s="46">
        <v>84900</v>
      </c>
      <c r="F32" s="6" t="s">
        <v>19</v>
      </c>
      <c r="G32" s="7">
        <v>5400000</v>
      </c>
      <c r="H32" s="7">
        <f t="shared" si="8"/>
        <v>2700000</v>
      </c>
      <c r="I32" s="7">
        <f t="shared" si="9"/>
        <v>2700000</v>
      </c>
      <c r="Q32" s="15">
        <f t="shared" si="7"/>
        <v>675000</v>
      </c>
      <c r="R32" s="16">
        <f t="shared" si="1"/>
        <v>675000</v>
      </c>
    </row>
    <row r="33" spans="1:19" x14ac:dyDescent="0.25">
      <c r="A33" s="6" t="s">
        <v>36</v>
      </c>
      <c r="B33" s="6" t="s">
        <v>90</v>
      </c>
      <c r="C33" s="6" t="s">
        <v>18</v>
      </c>
      <c r="D33" s="46">
        <v>87900</v>
      </c>
      <c r="E33" s="47">
        <v>84911</v>
      </c>
      <c r="F33" s="6" t="s">
        <v>19</v>
      </c>
      <c r="G33" s="7">
        <v>1000000</v>
      </c>
      <c r="H33" s="7">
        <f t="shared" si="8"/>
        <v>500000</v>
      </c>
      <c r="I33" s="7">
        <f t="shared" si="9"/>
        <v>500000</v>
      </c>
      <c r="Q33" s="15">
        <f t="shared" si="7"/>
        <v>125000</v>
      </c>
      <c r="R33" s="16">
        <f t="shared" si="1"/>
        <v>125000</v>
      </c>
    </row>
    <row r="34" spans="1:19" x14ac:dyDescent="0.25">
      <c r="A34" s="6" t="s">
        <v>84</v>
      </c>
      <c r="B34" s="6" t="s">
        <v>90</v>
      </c>
      <c r="C34" s="6" t="s">
        <v>18</v>
      </c>
      <c r="D34" s="46">
        <v>87900</v>
      </c>
      <c r="E34" s="46">
        <v>84908</v>
      </c>
      <c r="F34" s="6" t="s">
        <v>19</v>
      </c>
      <c r="G34" s="7">
        <v>9722521</v>
      </c>
      <c r="H34" s="7">
        <f t="shared" si="8"/>
        <v>4861261</v>
      </c>
      <c r="I34" s="7">
        <f t="shared" si="9"/>
        <v>4861260</v>
      </c>
      <c r="Q34" s="15">
        <f>ROUNDUP(25%*H34,0)</f>
        <v>1215316</v>
      </c>
      <c r="R34" s="16">
        <f t="shared" si="1"/>
        <v>1215316</v>
      </c>
    </row>
    <row r="35" spans="1:19" x14ac:dyDescent="0.25">
      <c r="A35" s="6" t="s">
        <v>85</v>
      </c>
      <c r="B35" s="6" t="s">
        <v>90</v>
      </c>
      <c r="C35" s="6" t="s">
        <v>18</v>
      </c>
      <c r="D35" s="46">
        <v>87900</v>
      </c>
      <c r="E35" s="46">
        <v>84905</v>
      </c>
      <c r="F35" s="6" t="s">
        <v>19</v>
      </c>
      <c r="G35" s="7">
        <v>4011209</v>
      </c>
      <c r="H35" s="7">
        <f t="shared" si="8"/>
        <v>2005605</v>
      </c>
      <c r="I35" s="7">
        <f t="shared" si="9"/>
        <v>2005604</v>
      </c>
      <c r="Q35" s="15">
        <f>ROUNDUP(25%*H35,0)</f>
        <v>501402</v>
      </c>
      <c r="R35" s="16">
        <f t="shared" si="1"/>
        <v>501402</v>
      </c>
    </row>
    <row r="36" spans="1:19" x14ac:dyDescent="0.25">
      <c r="A36" s="6" t="s">
        <v>37</v>
      </c>
      <c r="B36" s="6" t="s">
        <v>90</v>
      </c>
      <c r="C36" s="6" t="s">
        <v>18</v>
      </c>
      <c r="D36" s="46">
        <v>87900</v>
      </c>
      <c r="E36" s="48">
        <v>84912</v>
      </c>
      <c r="F36" s="6" t="s">
        <v>38</v>
      </c>
      <c r="G36" s="7">
        <v>1500000</v>
      </c>
      <c r="H36" s="7">
        <f t="shared" si="8"/>
        <v>750000</v>
      </c>
      <c r="I36" s="7">
        <f t="shared" si="9"/>
        <v>750000</v>
      </c>
      <c r="Q36" s="15">
        <f t="shared" si="7"/>
        <v>187500</v>
      </c>
      <c r="R36" s="16">
        <f t="shared" si="1"/>
        <v>187500</v>
      </c>
    </row>
    <row r="37" spans="1:19" x14ac:dyDescent="0.25">
      <c r="G37" s="7"/>
      <c r="H37" s="7"/>
      <c r="I37" s="7"/>
      <c r="R37" s="16"/>
    </row>
    <row r="38" spans="1:19" x14ac:dyDescent="0.25">
      <c r="G38" s="7"/>
      <c r="H38" s="7"/>
      <c r="I38" s="7"/>
      <c r="R38" s="16"/>
    </row>
    <row r="39" spans="1:19" s="2" customFormat="1" x14ac:dyDescent="0.25">
      <c r="A39" s="2" t="s">
        <v>86</v>
      </c>
      <c r="D39" s="45"/>
      <c r="E39" s="45"/>
      <c r="G39" s="4">
        <f>SUM(G40:G72)</f>
        <v>64277188</v>
      </c>
      <c r="H39" s="4">
        <f t="shared" ref="H39:Q39" si="10">SUM(H40:H72)</f>
        <v>34620179</v>
      </c>
      <c r="I39" s="4">
        <f t="shared" si="10"/>
        <v>29657009</v>
      </c>
      <c r="J39" s="4">
        <f t="shared" si="10"/>
        <v>41125.132046524493</v>
      </c>
      <c r="K39" s="4">
        <f t="shared" si="10"/>
        <v>222964.5509391379</v>
      </c>
      <c r="L39" s="4">
        <f t="shared" si="10"/>
        <v>2259490.5874445699</v>
      </c>
      <c r="M39" s="4">
        <f t="shared" si="10"/>
        <v>980718.34492738661</v>
      </c>
      <c r="N39" s="4">
        <f t="shared" si="10"/>
        <v>32675.567777606491</v>
      </c>
      <c r="O39" s="4">
        <f t="shared" si="10"/>
        <v>551090.65264993254</v>
      </c>
      <c r="P39" s="4">
        <f t="shared" si="10"/>
        <v>47615.764214842115</v>
      </c>
      <c r="Q39" s="4">
        <f t="shared" si="10"/>
        <v>0</v>
      </c>
      <c r="R39" s="19">
        <f t="shared" si="1"/>
        <v>4135680.6</v>
      </c>
      <c r="S39" s="21"/>
    </row>
    <row r="40" spans="1:19" x14ac:dyDescent="0.25">
      <c r="A40" s="6" t="s">
        <v>39</v>
      </c>
      <c r="B40" s="6" t="s">
        <v>89</v>
      </c>
      <c r="C40" s="6" t="s">
        <v>18</v>
      </c>
      <c r="D40" s="46">
        <v>88981</v>
      </c>
      <c r="E40" s="46">
        <v>84981</v>
      </c>
      <c r="F40" s="6" t="s">
        <v>19</v>
      </c>
      <c r="G40" s="7">
        <v>30849152</v>
      </c>
      <c r="H40" s="7">
        <f>ROUNDUP(G40*49%,0)</f>
        <v>15116085</v>
      </c>
      <c r="I40" s="7">
        <f>ROUNDDOWN(G40*51%,0)</f>
        <v>15733067</v>
      </c>
      <c r="J40" s="15">
        <v>29699.132046524493</v>
      </c>
      <c r="K40" s="15">
        <v>175720.5509391379</v>
      </c>
      <c r="L40" s="15">
        <v>1337979.5874445699</v>
      </c>
      <c r="M40" s="15">
        <v>586133.34492738661</v>
      </c>
      <c r="N40" s="15">
        <v>32675.567777606491</v>
      </c>
      <c r="O40" s="15">
        <v>208749.65264993257</v>
      </c>
      <c r="P40" s="15">
        <v>47615.764214842115</v>
      </c>
      <c r="R40" s="16">
        <f t="shared" si="1"/>
        <v>2418573.6</v>
      </c>
      <c r="S40" s="18"/>
    </row>
    <row r="41" spans="1:19" x14ac:dyDescent="0.25">
      <c r="A41" s="6" t="s">
        <v>40</v>
      </c>
      <c r="B41" s="6" t="s">
        <v>90</v>
      </c>
      <c r="C41" s="6" t="s">
        <v>18</v>
      </c>
      <c r="D41" s="46">
        <v>88981</v>
      </c>
      <c r="E41" s="46">
        <v>84504</v>
      </c>
      <c r="F41" s="6" t="s">
        <v>19</v>
      </c>
      <c r="G41" s="7">
        <v>4288845</v>
      </c>
      <c r="H41" s="7">
        <f t="shared" ref="H41:H64" si="11">ROUNDUP(G41*49%,0)</f>
        <v>2101535</v>
      </c>
      <c r="I41" s="7">
        <f t="shared" ref="I41:I64" si="12">ROUNDDOWN(G41*51%,0)</f>
        <v>2187310</v>
      </c>
      <c r="L41" s="15">
        <f>ROUND(16%*H41,0)</f>
        <v>336246</v>
      </c>
      <c r="R41" s="16">
        <f t="shared" si="1"/>
        <v>336246</v>
      </c>
    </row>
    <row r="42" spans="1:19" x14ac:dyDescent="0.25">
      <c r="A42" s="6" t="s">
        <v>41</v>
      </c>
      <c r="B42" s="6" t="s">
        <v>90</v>
      </c>
      <c r="C42" s="6" t="s">
        <v>18</v>
      </c>
      <c r="D42" s="46">
        <v>88981</v>
      </c>
      <c r="E42" s="46">
        <v>84981</v>
      </c>
      <c r="F42" s="6" t="s">
        <v>19</v>
      </c>
      <c r="G42" s="7">
        <v>3152391</v>
      </c>
      <c r="H42" s="7">
        <f t="shared" si="11"/>
        <v>1544672</v>
      </c>
      <c r="I42" s="7">
        <f t="shared" si="12"/>
        <v>1607719</v>
      </c>
      <c r="M42" s="15">
        <v>86501</v>
      </c>
      <c r="O42" s="15">
        <v>160645</v>
      </c>
      <c r="R42" s="16">
        <f t="shared" si="1"/>
        <v>247146</v>
      </c>
    </row>
    <row r="43" spans="1:19" x14ac:dyDescent="0.25">
      <c r="A43" s="6" t="s">
        <v>42</v>
      </c>
      <c r="B43" s="6" t="s">
        <v>90</v>
      </c>
      <c r="C43" s="6" t="s">
        <v>18</v>
      </c>
      <c r="D43" s="46">
        <v>88981</v>
      </c>
      <c r="E43" s="46">
        <v>84505</v>
      </c>
      <c r="F43" s="6" t="s">
        <v>19</v>
      </c>
      <c r="G43" s="7">
        <v>2848133</v>
      </c>
      <c r="H43" s="7">
        <f t="shared" si="11"/>
        <v>1395586</v>
      </c>
      <c r="I43" s="7">
        <f t="shared" si="12"/>
        <v>1452547</v>
      </c>
      <c r="M43" s="15">
        <f>ROUND(16%*H43,0)-1</f>
        <v>223293</v>
      </c>
      <c r="R43" s="16">
        <f t="shared" si="1"/>
        <v>223293</v>
      </c>
    </row>
    <row r="44" spans="1:19" x14ac:dyDescent="0.25">
      <c r="A44" s="6" t="s">
        <v>43</v>
      </c>
      <c r="B44" s="6" t="s">
        <v>90</v>
      </c>
      <c r="C44" s="6" t="s">
        <v>18</v>
      </c>
      <c r="D44" s="46">
        <v>88981</v>
      </c>
      <c r="E44" s="46">
        <v>84981</v>
      </c>
      <c r="F44" s="6" t="s">
        <v>19</v>
      </c>
      <c r="G44" s="7">
        <v>1563951</v>
      </c>
      <c r="H44" s="7">
        <f t="shared" si="11"/>
        <v>766336</v>
      </c>
      <c r="I44" s="7">
        <f t="shared" si="12"/>
        <v>797615</v>
      </c>
      <c r="L44" s="15">
        <f>ROUND(16%*H44,0)-1</f>
        <v>122613</v>
      </c>
      <c r="R44" s="16">
        <f t="shared" si="1"/>
        <v>122613</v>
      </c>
    </row>
    <row r="45" spans="1:19" x14ac:dyDescent="0.25">
      <c r="A45" s="6" t="s">
        <v>44</v>
      </c>
      <c r="B45" s="6" t="s">
        <v>90</v>
      </c>
      <c r="C45" s="6" t="s">
        <v>18</v>
      </c>
      <c r="D45" s="46">
        <v>88981</v>
      </c>
      <c r="E45" s="46">
        <v>84981</v>
      </c>
      <c r="F45" s="6" t="s">
        <v>19</v>
      </c>
      <c r="G45" s="7">
        <v>1312851</v>
      </c>
      <c r="H45" s="7">
        <f t="shared" si="11"/>
        <v>643297</v>
      </c>
      <c r="I45" s="7">
        <f t="shared" si="12"/>
        <v>669554</v>
      </c>
      <c r="L45" s="15">
        <v>48890</v>
      </c>
      <c r="M45" s="15">
        <v>5145</v>
      </c>
      <c r="O45" s="15">
        <v>48891</v>
      </c>
      <c r="R45" s="16">
        <f t="shared" si="1"/>
        <v>102926</v>
      </c>
    </row>
    <row r="46" spans="1:19" x14ac:dyDescent="0.25">
      <c r="A46" s="6" t="s">
        <v>45</v>
      </c>
      <c r="B46" s="6" t="s">
        <v>90</v>
      </c>
      <c r="C46" s="6" t="s">
        <v>18</v>
      </c>
      <c r="D46" s="46">
        <v>88981</v>
      </c>
      <c r="E46" s="46">
        <v>84981</v>
      </c>
      <c r="F46" s="6" t="s">
        <v>19</v>
      </c>
      <c r="G46" s="7">
        <v>1254779</v>
      </c>
      <c r="H46" s="7">
        <f t="shared" si="11"/>
        <v>614842</v>
      </c>
      <c r="I46" s="7">
        <f t="shared" si="12"/>
        <v>639937</v>
      </c>
      <c r="O46" s="15">
        <f>ROUND(16%*H46,0)</f>
        <v>98375</v>
      </c>
      <c r="R46" s="16">
        <f t="shared" si="1"/>
        <v>98375</v>
      </c>
    </row>
    <row r="47" spans="1:19" x14ac:dyDescent="0.25">
      <c r="A47" s="6" t="s">
        <v>46</v>
      </c>
      <c r="B47" s="6" t="s">
        <v>90</v>
      </c>
      <c r="C47" s="6" t="s">
        <v>18</v>
      </c>
      <c r="D47" s="46">
        <v>88981</v>
      </c>
      <c r="E47" s="46">
        <v>84981</v>
      </c>
      <c r="F47" s="6" t="s">
        <v>19</v>
      </c>
      <c r="G47" s="7">
        <v>781976</v>
      </c>
      <c r="H47" s="7">
        <f t="shared" si="11"/>
        <v>383169</v>
      </c>
      <c r="I47" s="7">
        <f t="shared" si="12"/>
        <v>398807</v>
      </c>
      <c r="L47" s="15">
        <f>ROUND(16%*H47,0)-1</f>
        <v>61306</v>
      </c>
      <c r="R47" s="16">
        <f t="shared" si="1"/>
        <v>61306</v>
      </c>
    </row>
    <row r="48" spans="1:19" x14ac:dyDescent="0.25">
      <c r="A48" s="6" t="s">
        <v>47</v>
      </c>
      <c r="B48" s="6" t="s">
        <v>90</v>
      </c>
      <c r="C48" s="6" t="s">
        <v>18</v>
      </c>
      <c r="D48" s="46">
        <v>88981</v>
      </c>
      <c r="E48" s="46">
        <v>84518</v>
      </c>
      <c r="F48" s="6" t="s">
        <v>19</v>
      </c>
      <c r="G48" s="7">
        <v>602602</v>
      </c>
      <c r="H48" s="7">
        <f t="shared" si="11"/>
        <v>295275</v>
      </c>
      <c r="I48" s="7">
        <f t="shared" si="12"/>
        <v>307327</v>
      </c>
      <c r="K48" s="15">
        <f>ROUND(16%*H48,0)</f>
        <v>47244</v>
      </c>
      <c r="R48" s="16">
        <f t="shared" si="1"/>
        <v>47244</v>
      </c>
    </row>
    <row r="49" spans="1:19" x14ac:dyDescent="0.25">
      <c r="A49" s="6" t="s">
        <v>48</v>
      </c>
      <c r="B49" s="6" t="s">
        <v>90</v>
      </c>
      <c r="C49" s="6" t="s">
        <v>18</v>
      </c>
      <c r="D49" s="46">
        <v>88981</v>
      </c>
      <c r="E49" s="46">
        <v>84981</v>
      </c>
      <c r="F49" s="6" t="s">
        <v>19</v>
      </c>
      <c r="G49" s="7">
        <v>549218</v>
      </c>
      <c r="H49" s="7">
        <f t="shared" si="11"/>
        <v>269117</v>
      </c>
      <c r="I49" s="7">
        <f t="shared" si="12"/>
        <v>280101</v>
      </c>
      <c r="M49" s="15">
        <f>ROUND(16%*H49,0)</f>
        <v>43059</v>
      </c>
      <c r="R49" s="16">
        <f t="shared" si="1"/>
        <v>43059</v>
      </c>
    </row>
    <row r="50" spans="1:19" x14ac:dyDescent="0.25">
      <c r="A50" s="6" t="s">
        <v>49</v>
      </c>
      <c r="B50" s="6" t="s">
        <v>90</v>
      </c>
      <c r="C50" s="6" t="s">
        <v>18</v>
      </c>
      <c r="D50" s="46">
        <v>88981</v>
      </c>
      <c r="E50" s="46">
        <v>84500</v>
      </c>
      <c r="F50" s="6" t="s">
        <v>19</v>
      </c>
      <c r="G50" s="7">
        <v>503531</v>
      </c>
      <c r="H50" s="7">
        <f t="shared" si="11"/>
        <v>246731</v>
      </c>
      <c r="I50" s="7">
        <f t="shared" si="12"/>
        <v>256800</v>
      </c>
      <c r="L50" s="15">
        <f>ROUND(16%*H50,0)+1</f>
        <v>39478</v>
      </c>
      <c r="R50" s="16">
        <f t="shared" si="1"/>
        <v>39478</v>
      </c>
    </row>
    <row r="51" spans="1:19" x14ac:dyDescent="0.25">
      <c r="A51" s="6" t="s">
        <v>50</v>
      </c>
      <c r="B51" s="6" t="s">
        <v>90</v>
      </c>
      <c r="C51" s="6" t="s">
        <v>18</v>
      </c>
      <c r="D51" s="46">
        <v>88981</v>
      </c>
      <c r="E51" s="46">
        <v>84981</v>
      </c>
      <c r="F51" s="6" t="s">
        <v>19</v>
      </c>
      <c r="G51" s="7">
        <v>439153</v>
      </c>
      <c r="H51" s="7">
        <f t="shared" si="11"/>
        <v>215185</v>
      </c>
      <c r="I51" s="7">
        <f t="shared" si="12"/>
        <v>223968</v>
      </c>
      <c r="O51" s="15">
        <f>ROUND(16%*H51,0)</f>
        <v>34430</v>
      </c>
      <c r="R51" s="16">
        <f t="shared" si="1"/>
        <v>34430</v>
      </c>
    </row>
    <row r="52" spans="1:19" x14ac:dyDescent="0.25">
      <c r="A52" s="6" t="s">
        <v>51</v>
      </c>
      <c r="B52" s="6" t="s">
        <v>90</v>
      </c>
      <c r="C52" s="6" t="s">
        <v>18</v>
      </c>
      <c r="D52" s="46">
        <v>88981</v>
      </c>
      <c r="E52" s="46">
        <v>84981</v>
      </c>
      <c r="F52" s="6" t="s">
        <v>19</v>
      </c>
      <c r="G52" s="7">
        <v>394693</v>
      </c>
      <c r="H52" s="7">
        <f t="shared" si="11"/>
        <v>193400</v>
      </c>
      <c r="I52" s="7">
        <f t="shared" si="12"/>
        <v>201293</v>
      </c>
      <c r="L52" s="15">
        <f>ROUND(16%*H52,0)</f>
        <v>30944</v>
      </c>
      <c r="R52" s="16">
        <f t="shared" si="1"/>
        <v>30944</v>
      </c>
    </row>
    <row r="53" spans="1:19" x14ac:dyDescent="0.25">
      <c r="A53" s="6" t="s">
        <v>52</v>
      </c>
      <c r="B53" s="6" t="s">
        <v>90</v>
      </c>
      <c r="C53" s="6" t="s">
        <v>18</v>
      </c>
      <c r="D53" s="46">
        <v>88981</v>
      </c>
      <c r="E53" s="46">
        <v>84505</v>
      </c>
      <c r="F53" s="6" t="s">
        <v>19</v>
      </c>
      <c r="G53" s="7">
        <v>228988</v>
      </c>
      <c r="H53" s="7">
        <f t="shared" si="11"/>
        <v>112205</v>
      </c>
      <c r="I53" s="7">
        <f t="shared" si="12"/>
        <v>116783</v>
      </c>
      <c r="M53" s="15">
        <f>ROUND(16%*H53,0)</f>
        <v>17953</v>
      </c>
      <c r="R53" s="16">
        <f t="shared" si="1"/>
        <v>17953</v>
      </c>
    </row>
    <row r="54" spans="1:19" x14ac:dyDescent="0.25">
      <c r="A54" s="6" t="s">
        <v>53</v>
      </c>
      <c r="B54" s="6" t="s">
        <v>90</v>
      </c>
      <c r="C54" s="6" t="s">
        <v>18</v>
      </c>
      <c r="D54" s="46">
        <v>88981</v>
      </c>
      <c r="E54" s="46">
        <v>88944</v>
      </c>
      <c r="F54" s="6" t="s">
        <v>19</v>
      </c>
      <c r="G54" s="7">
        <v>253073</v>
      </c>
      <c r="H54" s="7">
        <f t="shared" si="11"/>
        <v>124006</v>
      </c>
      <c r="I54" s="7">
        <f t="shared" si="12"/>
        <v>129067</v>
      </c>
      <c r="L54" s="15">
        <f>ROUND(16%*H54,0)+1</f>
        <v>19842</v>
      </c>
      <c r="R54" s="16">
        <f t="shared" si="1"/>
        <v>19842</v>
      </c>
    </row>
    <row r="55" spans="1:19" x14ac:dyDescent="0.25">
      <c r="A55" s="6" t="s">
        <v>54</v>
      </c>
      <c r="B55" s="6" t="s">
        <v>90</v>
      </c>
      <c r="C55" s="6" t="s">
        <v>18</v>
      </c>
      <c r="D55" s="46">
        <v>88981</v>
      </c>
      <c r="E55" s="46">
        <v>84981</v>
      </c>
      <c r="F55" s="6" t="s">
        <v>19</v>
      </c>
      <c r="G55" s="7">
        <v>3227009</v>
      </c>
      <c r="H55" s="7">
        <f t="shared" si="11"/>
        <v>1581235</v>
      </c>
      <c r="I55" s="7">
        <f t="shared" si="12"/>
        <v>1645774</v>
      </c>
      <c r="L55" s="15">
        <f>ROUND(16%*H55,0)</f>
        <v>252998</v>
      </c>
      <c r="R55" s="16">
        <f t="shared" si="1"/>
        <v>252998</v>
      </c>
    </row>
    <row r="56" spans="1:19" x14ac:dyDescent="0.25">
      <c r="A56" s="6" t="s">
        <v>55</v>
      </c>
      <c r="B56" s="6" t="s">
        <v>90</v>
      </c>
      <c r="C56" s="6" t="s">
        <v>18</v>
      </c>
      <c r="D56" s="46">
        <v>88981</v>
      </c>
      <c r="E56" s="46">
        <v>84981</v>
      </c>
      <c r="F56" s="6" t="s">
        <v>19</v>
      </c>
      <c r="G56" s="7">
        <v>206464</v>
      </c>
      <c r="H56" s="7">
        <f t="shared" si="11"/>
        <v>101168</v>
      </c>
      <c r="I56" s="7">
        <f t="shared" si="12"/>
        <v>105296</v>
      </c>
      <c r="L56" s="15">
        <v>9194</v>
      </c>
      <c r="M56" s="15">
        <v>6994</v>
      </c>
      <c r="R56" s="16">
        <f t="shared" si="1"/>
        <v>16188</v>
      </c>
    </row>
    <row r="57" spans="1:19" x14ac:dyDescent="0.25">
      <c r="A57" s="6" t="s">
        <v>56</v>
      </c>
      <c r="B57" s="6" t="s">
        <v>90</v>
      </c>
      <c r="C57" s="6" t="s">
        <v>18</v>
      </c>
      <c r="D57" s="46">
        <v>88981</v>
      </c>
      <c r="E57" s="46">
        <v>84981</v>
      </c>
      <c r="F57" s="6" t="s">
        <v>26</v>
      </c>
      <c r="G57" s="7">
        <v>100000</v>
      </c>
      <c r="H57" s="7">
        <f>G57</f>
        <v>100000</v>
      </c>
      <c r="I57" s="7">
        <v>0</v>
      </c>
      <c r="L57" s="15">
        <v>0</v>
      </c>
      <c r="R57" s="16">
        <f t="shared" si="1"/>
        <v>0</v>
      </c>
      <c r="S57" s="17" t="s">
        <v>87</v>
      </c>
    </row>
    <row r="58" spans="1:19" x14ac:dyDescent="0.25">
      <c r="A58" s="6" t="s">
        <v>57</v>
      </c>
      <c r="B58" s="6" t="s">
        <v>90</v>
      </c>
      <c r="C58" s="6" t="s">
        <v>18</v>
      </c>
      <c r="D58" s="46">
        <v>88981</v>
      </c>
      <c r="E58" s="46">
        <v>84981</v>
      </c>
      <c r="F58" s="6" t="s">
        <v>26</v>
      </c>
      <c r="G58" s="7">
        <v>500000</v>
      </c>
      <c r="H58" s="7">
        <f t="shared" si="11"/>
        <v>245000</v>
      </c>
      <c r="I58" s="7">
        <f t="shared" si="12"/>
        <v>255000</v>
      </c>
      <c r="R58" s="16">
        <f t="shared" si="1"/>
        <v>0</v>
      </c>
    </row>
    <row r="59" spans="1:19" x14ac:dyDescent="0.25">
      <c r="A59" s="6" t="s">
        <v>58</v>
      </c>
      <c r="B59" s="6" t="s">
        <v>90</v>
      </c>
      <c r="C59" s="6" t="s">
        <v>18</v>
      </c>
      <c r="D59" s="46">
        <v>88981</v>
      </c>
      <c r="E59" s="46">
        <v>84981</v>
      </c>
      <c r="F59" s="6" t="s">
        <v>26</v>
      </c>
      <c r="G59" s="7">
        <v>250000</v>
      </c>
      <c r="H59" s="7">
        <f>G59</f>
        <v>250000</v>
      </c>
      <c r="I59" s="7">
        <v>0</v>
      </c>
      <c r="L59" s="15">
        <v>0</v>
      </c>
      <c r="R59" s="16">
        <f t="shared" si="1"/>
        <v>0</v>
      </c>
      <c r="S59" s="17" t="s">
        <v>87</v>
      </c>
    </row>
    <row r="60" spans="1:19" x14ac:dyDescent="0.25">
      <c r="A60" s="6" t="s">
        <v>92</v>
      </c>
      <c r="B60" s="6" t="s">
        <v>90</v>
      </c>
      <c r="C60" s="6" t="s">
        <v>18</v>
      </c>
      <c r="D60" s="46">
        <v>88981</v>
      </c>
      <c r="E60" s="46">
        <v>84981</v>
      </c>
      <c r="F60" s="6" t="s">
        <v>26</v>
      </c>
      <c r="G60" s="7">
        <v>195000</v>
      </c>
      <c r="H60" s="7">
        <v>195000</v>
      </c>
      <c r="I60" s="7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6">
        <f t="shared" si="1"/>
        <v>0</v>
      </c>
      <c r="S60" s="17" t="s">
        <v>93</v>
      </c>
    </row>
    <row r="61" spans="1:19" x14ac:dyDescent="0.25">
      <c r="A61" s="6" t="s">
        <v>59</v>
      </c>
      <c r="B61" s="6" t="s">
        <v>90</v>
      </c>
      <c r="C61" s="6" t="s">
        <v>18</v>
      </c>
      <c r="D61" s="48">
        <v>88987</v>
      </c>
      <c r="E61" s="48">
        <v>84914</v>
      </c>
      <c r="F61" s="6" t="s">
        <v>60</v>
      </c>
      <c r="G61" s="7">
        <v>300000</v>
      </c>
      <c r="H61" s="7">
        <f>G61</f>
        <v>300000</v>
      </c>
      <c r="I61" s="7">
        <v>0</v>
      </c>
      <c r="L61" s="15">
        <v>0</v>
      </c>
      <c r="R61" s="16">
        <f t="shared" si="1"/>
        <v>0</v>
      </c>
      <c r="S61" s="17" t="s">
        <v>87</v>
      </c>
    </row>
    <row r="62" spans="1:19" x14ac:dyDescent="0.25">
      <c r="A62" s="6" t="s">
        <v>61</v>
      </c>
      <c r="B62" s="6" t="s">
        <v>90</v>
      </c>
      <c r="C62" s="6" t="s">
        <v>18</v>
      </c>
      <c r="D62" s="46">
        <v>88981</v>
      </c>
      <c r="E62" s="46">
        <v>84981</v>
      </c>
      <c r="F62" s="6" t="s">
        <v>33</v>
      </c>
      <c r="G62" s="7">
        <v>846173</v>
      </c>
      <c r="H62" s="7">
        <f>G62</f>
        <v>846173</v>
      </c>
      <c r="I62" s="7">
        <v>0</v>
      </c>
      <c r="L62" s="15">
        <v>0</v>
      </c>
      <c r="R62" s="16">
        <f t="shared" si="1"/>
        <v>0</v>
      </c>
      <c r="S62" s="17" t="s">
        <v>87</v>
      </c>
    </row>
    <row r="63" spans="1:19" x14ac:dyDescent="0.25">
      <c r="A63" s="6" t="s">
        <v>62</v>
      </c>
      <c r="B63" s="6" t="s">
        <v>90</v>
      </c>
      <c r="C63" s="6" t="s">
        <v>18</v>
      </c>
      <c r="D63" s="47">
        <v>88989</v>
      </c>
      <c r="E63" s="47">
        <v>84916</v>
      </c>
      <c r="F63" s="6" t="s">
        <v>63</v>
      </c>
      <c r="G63" s="7">
        <v>148462</v>
      </c>
      <c r="H63" s="7">
        <f t="shared" si="11"/>
        <v>72747</v>
      </c>
      <c r="I63" s="7">
        <f t="shared" si="12"/>
        <v>75715</v>
      </c>
      <c r="M63" s="15">
        <f>ROUND(16%*H63,0)</f>
        <v>11640</v>
      </c>
      <c r="R63" s="16">
        <f t="shared" si="1"/>
        <v>11640</v>
      </c>
    </row>
    <row r="64" spans="1:19" x14ac:dyDescent="0.25">
      <c r="A64" s="6" t="s">
        <v>64</v>
      </c>
      <c r="B64" s="6" t="s">
        <v>90</v>
      </c>
      <c r="C64" s="6" t="s">
        <v>18</v>
      </c>
      <c r="D64" s="47">
        <v>88989</v>
      </c>
      <c r="E64" s="47">
        <v>84916</v>
      </c>
      <c r="F64" s="6" t="s">
        <v>63</v>
      </c>
      <c r="G64" s="7">
        <v>145744</v>
      </c>
      <c r="H64" s="7">
        <f t="shared" si="11"/>
        <v>71415</v>
      </c>
      <c r="I64" s="7">
        <f t="shared" si="12"/>
        <v>74329</v>
      </c>
      <c r="J64" s="15">
        <f>ROUND(16%*H64,0)</f>
        <v>11426</v>
      </c>
      <c r="R64" s="16">
        <f t="shared" si="1"/>
        <v>11426</v>
      </c>
    </row>
    <row r="65" spans="1:19" x14ac:dyDescent="0.25">
      <c r="A65" s="6" t="s">
        <v>65</v>
      </c>
      <c r="B65" s="6" t="s">
        <v>90</v>
      </c>
      <c r="C65" s="6" t="s">
        <v>18</v>
      </c>
      <c r="D65" s="47">
        <v>88990</v>
      </c>
      <c r="E65" s="47">
        <v>84917</v>
      </c>
      <c r="F65" s="6" t="s">
        <v>28</v>
      </c>
      <c r="G65" s="7">
        <v>420000</v>
      </c>
      <c r="H65" s="7">
        <f>G65</f>
        <v>420000</v>
      </c>
      <c r="I65" s="7">
        <v>0</v>
      </c>
      <c r="M65" s="15">
        <v>0</v>
      </c>
      <c r="R65" s="16">
        <f t="shared" si="1"/>
        <v>0</v>
      </c>
      <c r="S65" s="17" t="s">
        <v>87</v>
      </c>
    </row>
    <row r="66" spans="1:19" x14ac:dyDescent="0.25">
      <c r="A66" s="6" t="s">
        <v>66</v>
      </c>
      <c r="B66" s="6" t="s">
        <v>90</v>
      </c>
      <c r="C66" s="6" t="s">
        <v>18</v>
      </c>
      <c r="D66" s="47">
        <v>88991</v>
      </c>
      <c r="E66" s="47">
        <v>84918</v>
      </c>
      <c r="F66" s="6" t="s">
        <v>28</v>
      </c>
      <c r="G66" s="7">
        <v>150000</v>
      </c>
      <c r="H66" s="7">
        <f>G66</f>
        <v>150000</v>
      </c>
      <c r="I66" s="7">
        <v>0</v>
      </c>
      <c r="L66" s="15">
        <v>0</v>
      </c>
      <c r="R66" s="16">
        <f t="shared" si="1"/>
        <v>0</v>
      </c>
      <c r="S66" s="17" t="s">
        <v>87</v>
      </c>
    </row>
    <row r="67" spans="1:19" x14ac:dyDescent="0.25">
      <c r="A67" s="6" t="s">
        <v>67</v>
      </c>
      <c r="B67" s="6" t="s">
        <v>90</v>
      </c>
      <c r="C67" s="6" t="s">
        <v>18</v>
      </c>
      <c r="D67" s="47">
        <v>88992</v>
      </c>
      <c r="E67" s="47">
        <v>84919</v>
      </c>
      <c r="F67" s="6" t="s">
        <v>28</v>
      </c>
      <c r="G67" s="7">
        <v>365000</v>
      </c>
      <c r="H67" s="7">
        <f>G67</f>
        <v>365000</v>
      </c>
      <c r="I67" s="7">
        <v>0</v>
      </c>
      <c r="L67" s="15">
        <v>0</v>
      </c>
      <c r="R67" s="16">
        <f t="shared" si="1"/>
        <v>0</v>
      </c>
      <c r="S67" s="17" t="s">
        <v>87</v>
      </c>
    </row>
    <row r="68" spans="1:19" x14ac:dyDescent="0.25">
      <c r="A68" s="6" t="s">
        <v>68</v>
      </c>
      <c r="B68" s="6" t="s">
        <v>90</v>
      </c>
      <c r="C68" s="6" t="s">
        <v>18</v>
      </c>
      <c r="D68" s="47">
        <v>86901</v>
      </c>
      <c r="E68" s="47">
        <v>84920</v>
      </c>
      <c r="F68" s="6" t="s">
        <v>31</v>
      </c>
      <c r="G68" s="7">
        <v>500000</v>
      </c>
      <c r="H68" s="7">
        <f>G68</f>
        <v>500000</v>
      </c>
      <c r="I68" s="7">
        <v>0</v>
      </c>
      <c r="L68" s="15">
        <v>0</v>
      </c>
      <c r="R68" s="16">
        <f t="shared" si="1"/>
        <v>0</v>
      </c>
      <c r="S68" s="17" t="s">
        <v>87</v>
      </c>
    </row>
    <row r="69" spans="1:19" x14ac:dyDescent="0.25">
      <c r="A69" s="6" t="s">
        <v>69</v>
      </c>
      <c r="B69" s="6" t="s">
        <v>90</v>
      </c>
      <c r="C69" s="6" t="s">
        <v>18</v>
      </c>
      <c r="D69" s="47">
        <v>88988</v>
      </c>
      <c r="E69" s="47">
        <v>84915</v>
      </c>
      <c r="F69" s="6" t="s">
        <v>70</v>
      </c>
      <c r="G69" s="7">
        <v>3000000</v>
      </c>
      <c r="H69" s="7">
        <f>G69</f>
        <v>3000000</v>
      </c>
      <c r="I69" s="7">
        <v>0</v>
      </c>
      <c r="L69" s="15">
        <v>0</v>
      </c>
      <c r="R69" s="16">
        <f t="shared" si="1"/>
        <v>0</v>
      </c>
      <c r="S69" s="17" t="s">
        <v>87</v>
      </c>
    </row>
    <row r="70" spans="1:19" s="32" customFormat="1" x14ac:dyDescent="0.25">
      <c r="A70" s="31" t="s">
        <v>95</v>
      </c>
      <c r="C70" s="33" t="s">
        <v>18</v>
      </c>
      <c r="D70" s="49">
        <v>30000</v>
      </c>
      <c r="E70" s="49">
        <v>30520</v>
      </c>
      <c r="F70" s="33" t="s">
        <v>98</v>
      </c>
      <c r="G70" s="34">
        <v>2500000</v>
      </c>
      <c r="H70" s="7">
        <f>ROUNDUP(G70*49%,0)</f>
        <v>1225000</v>
      </c>
      <c r="I70" s="7">
        <f>ROUNDUP(G70*51%,0)</f>
        <v>1275000</v>
      </c>
      <c r="J70" s="22"/>
      <c r="K70" s="22"/>
      <c r="L70" s="22"/>
      <c r="M70" s="22"/>
      <c r="N70" s="22"/>
      <c r="O70" s="22"/>
      <c r="P70" s="22"/>
      <c r="Q70" s="22"/>
      <c r="R70" s="16">
        <f t="shared" si="1"/>
        <v>0</v>
      </c>
      <c r="S70" s="17" t="s">
        <v>101</v>
      </c>
    </row>
    <row r="71" spans="1:19" s="32" customFormat="1" x14ac:dyDescent="0.25">
      <c r="A71" s="31" t="s">
        <v>96</v>
      </c>
      <c r="C71" s="33" t="s">
        <v>18</v>
      </c>
      <c r="D71" s="49">
        <v>30000</v>
      </c>
      <c r="E71" s="49">
        <v>30521</v>
      </c>
      <c r="F71" s="33" t="s">
        <v>98</v>
      </c>
      <c r="G71" s="34">
        <v>2150000</v>
      </c>
      <c r="H71" s="7">
        <f>ROUNDUP(G71*49%,0)</f>
        <v>1053500</v>
      </c>
      <c r="I71" s="7">
        <f>ROUNDUP(G71*51%,0)</f>
        <v>1096500</v>
      </c>
      <c r="J71" s="22"/>
      <c r="K71" s="22"/>
      <c r="L71" s="22"/>
      <c r="M71" s="22"/>
      <c r="N71" s="22"/>
      <c r="O71" s="22"/>
      <c r="P71" s="22"/>
      <c r="Q71" s="22"/>
      <c r="R71" s="16">
        <f t="shared" si="1"/>
        <v>0</v>
      </c>
      <c r="S71" s="17" t="s">
        <v>101</v>
      </c>
    </row>
    <row r="72" spans="1:19" s="32" customFormat="1" x14ac:dyDescent="0.25">
      <c r="A72" s="31" t="s">
        <v>97</v>
      </c>
      <c r="C72" s="33" t="s">
        <v>18</v>
      </c>
      <c r="D72" s="49">
        <v>30000</v>
      </c>
      <c r="E72" s="49">
        <v>30522</v>
      </c>
      <c r="F72" s="33" t="s">
        <v>98</v>
      </c>
      <c r="G72" s="34">
        <v>250000</v>
      </c>
      <c r="H72" s="7">
        <f>ROUNDUP(G72*49%,0)</f>
        <v>122500</v>
      </c>
      <c r="I72" s="7">
        <f>ROUNDUP(G72*51%,0)</f>
        <v>127500</v>
      </c>
      <c r="J72" s="22"/>
      <c r="K72" s="22"/>
      <c r="L72" s="22"/>
      <c r="M72" s="22"/>
      <c r="N72" s="22"/>
      <c r="O72" s="22"/>
      <c r="P72" s="22"/>
      <c r="Q72" s="22"/>
      <c r="R72" s="16">
        <f t="shared" si="1"/>
        <v>0</v>
      </c>
      <c r="S72" s="17" t="s">
        <v>101</v>
      </c>
    </row>
    <row r="73" spans="1:19" x14ac:dyDescent="0.25">
      <c r="G73" s="7"/>
      <c r="H73" s="7"/>
      <c r="I73" s="7"/>
      <c r="R73" s="16"/>
    </row>
    <row r="74" spans="1:19" x14ac:dyDescent="0.25">
      <c r="G74" s="7"/>
      <c r="H74" s="7"/>
      <c r="I74" s="7"/>
      <c r="R74" s="16"/>
    </row>
    <row r="75" spans="1:19" x14ac:dyDescent="0.25">
      <c r="A75" s="2" t="s">
        <v>71</v>
      </c>
      <c r="B75" s="2"/>
      <c r="C75" s="2"/>
      <c r="D75" s="45"/>
      <c r="E75" s="45"/>
      <c r="F75" s="2"/>
      <c r="G75" s="4">
        <f>G39+G29+G25+G10+G8+G5+G27</f>
        <v>1484834743</v>
      </c>
      <c r="H75" s="4">
        <f t="shared" ref="H75:R75" si="13">H39+H29+H25+H10+H8+H5+H27</f>
        <v>738757897</v>
      </c>
      <c r="I75" s="4">
        <f t="shared" si="13"/>
        <v>746076846</v>
      </c>
      <c r="J75" s="4">
        <f t="shared" si="13"/>
        <v>4312723.772046525</v>
      </c>
      <c r="K75" s="4">
        <f t="shared" si="13"/>
        <v>6133958.4309391379</v>
      </c>
      <c r="L75" s="4">
        <f t="shared" si="13"/>
        <v>49451083.987444572</v>
      </c>
      <c r="M75" s="4">
        <f t="shared" si="13"/>
        <v>21063032.744927388</v>
      </c>
      <c r="N75" s="4">
        <f t="shared" si="13"/>
        <v>4873295.6077776067</v>
      </c>
      <c r="O75" s="4">
        <f t="shared" si="13"/>
        <v>15993106.012649931</v>
      </c>
      <c r="P75" s="4">
        <f t="shared" si="13"/>
        <v>5830330.4442148414</v>
      </c>
      <c r="Q75" s="4">
        <f t="shared" si="13"/>
        <v>17599049</v>
      </c>
      <c r="R75" s="4">
        <f t="shared" si="13"/>
        <v>125256580</v>
      </c>
    </row>
    <row r="76" spans="1:19" x14ac:dyDescent="0.25">
      <c r="A76" s="2"/>
      <c r="B76" s="2"/>
      <c r="C76" s="2"/>
      <c r="D76" s="45"/>
      <c r="E76" s="45"/>
      <c r="F76" s="2"/>
      <c r="G76" s="4"/>
      <c r="H76" s="4"/>
      <c r="I76" s="4"/>
      <c r="R76" s="16"/>
    </row>
    <row r="77" spans="1:19" x14ac:dyDescent="0.25">
      <c r="R77" s="16"/>
    </row>
    <row r="78" spans="1:19" x14ac:dyDescent="0.25">
      <c r="R78" s="1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F158B5DB2BFC478EA205C31BD0EA75" ma:contentTypeVersion="2" ma:contentTypeDescription="Create a new document." ma:contentTypeScope="" ma:versionID="cebb8e7e6fea1e11fa61d5c5219c4cf1">
  <xsd:schema xmlns:xsd="http://www.w3.org/2001/XMLSchema" xmlns:xs="http://www.w3.org/2001/XMLSchema" xmlns:p="http://schemas.microsoft.com/office/2006/metadata/properties" xmlns:ns1="http://schemas.microsoft.com/sharepoint/v3" xmlns:ns2="e877a115-f35f-4608-970e-08dfb7717e06" targetNamespace="http://schemas.microsoft.com/office/2006/metadata/properties" ma:root="true" ma:fieldsID="f6cab31822e01966468f42a00c5632c3" ns1:_="" ns2:_="">
    <xsd:import namespace="http://schemas.microsoft.com/sharepoint/v3"/>
    <xsd:import namespace="e877a115-f35f-4608-970e-08dfb7717e0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7a115-f35f-4608-970e-08dfb7717e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1D7461-86C0-49A3-9919-B72C6D53CC6D}"/>
</file>

<file path=customXml/itemProps2.xml><?xml version="1.0" encoding="utf-8"?>
<ds:datastoreItem xmlns:ds="http://schemas.openxmlformats.org/officeDocument/2006/customXml" ds:itemID="{28DBB8D5-AF51-478A-9FEB-44889406BC20}"/>
</file>

<file path=customXml/itemProps3.xml><?xml version="1.0" encoding="utf-8"?>
<ds:datastoreItem xmlns:ds="http://schemas.openxmlformats.org/officeDocument/2006/customXml" ds:itemID="{E0E8619C-3A0B-4E11-9C4D-0F0702A412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FY2024</vt:lpstr>
      <vt:lpstr>Q1</vt:lpstr>
      <vt:lpstr>Q2</vt:lpstr>
      <vt:lpstr>Q3</vt:lpstr>
      <vt:lpstr>Q4</vt:lpstr>
    </vt:vector>
  </TitlesOfParts>
  <Company>Higher Education Coordinating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WINSLOW Kayla</dc:creator>
  <cp:lastModifiedBy>WINSLOW Kayla * HECC</cp:lastModifiedBy>
  <dcterms:created xsi:type="dcterms:W3CDTF">2023-07-18T15:33:14Z</dcterms:created>
  <dcterms:modified xsi:type="dcterms:W3CDTF">2024-01-29T20:21:34Z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2023-10-26T20:01:13Z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d241acb5-e58e-4db8-8f0a-9974cc18931c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0x010100D8F158B5DB2BFC478EA205C31BD0EA75</vt:lpwstr>
  </property>
</Properties>
</file>