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homps\Desktop\willHg\"/>
    </mc:Choice>
  </mc:AlternateContent>
  <workbookProtection workbookAlgorithmName="SHA-512" workbookHashValue="iTNRNvpfeFrSR1qtTFQf+YViKNeOCBlRTASFXjSTsu1KLoX3XSW8GU6aaRRB3F7qvaRmGCcCU7o+Yt0SVd3cOw==" workbookSaltValue="7RfYad6y/UlNLbqPXV02YA==" workbookSpinCount="100000" lockStructure="1"/>
  <bookViews>
    <workbookView xWindow="0" yWindow="0" windowWidth="28800" windowHeight="11700"/>
  </bookViews>
  <sheets>
    <sheet name="Table of Contents" sheetId="15" r:id="rId1"/>
    <sheet name="Sub-Basin Map" sheetId="16" r:id="rId2"/>
    <sheet name="Flowchart" sheetId="12" r:id="rId3"/>
    <sheet name="Categories" sheetId="13" r:id="rId4"/>
    <sheet name="Allocation Optimize Final Basin" sheetId="8" r:id="rId5"/>
    <sheet name="Allocation Optimize Final" sheetId="7" r:id="rId6"/>
    <sheet name="Allocation Loads" sheetId="6" r:id="rId7"/>
    <sheet name="Loading Capacities" sheetId="5" r:id="rId8"/>
    <sheet name="At-Source Loads" sheetId="2" r:id="rId9"/>
    <sheet name="Delivered Loads" sheetId="3" r:id="rId10"/>
    <sheet name="Delivery Ratios" sheetId="4" r:id="rId11"/>
  </sheets>
  <definedNames>
    <definedName name="_xlnm._FilterDatabase" localSheetId="6" hidden="1">'Allocation Loads'!$B$8:$Q$29</definedName>
    <definedName name="_xlnm._FilterDatabase" localSheetId="5" hidden="1">'Allocation Optimize Final'!$A$13:$O$34</definedName>
    <definedName name="_xlnm._FilterDatabase" localSheetId="4" hidden="1">'Allocation Optimize Final Basin'!$A$14:$A$35</definedName>
    <definedName name="_xlnm._FilterDatabase" localSheetId="8" hidden="1">'At-Source Loads'!$B$8:$Q$29</definedName>
    <definedName name="_xlnm._FilterDatabase" localSheetId="9" hidden="1">'Delivered Loads'!$B$8:$Q$29</definedName>
    <definedName name="solver_adj" localSheetId="5" hidden="1">'Allocation Optimize Final'!$P$14:$P$30,'Allocation Optimize Final'!$P$32:$P$33</definedName>
    <definedName name="solver_adj" localSheetId="4" hidden="1">'Allocation Optimize Final Basin'!$B$15:$B$32,'Allocation Optimize Final Basin'!$B$33:$B$34</definedName>
    <definedName name="solver_cvg" localSheetId="5" hidden="1">0.0001</definedName>
    <definedName name="solver_cvg" localSheetId="4" hidden="1">0.0001</definedName>
    <definedName name="solver_drv" localSheetId="5" hidden="1">1</definedName>
    <definedName name="solver_drv" localSheetId="4" hidden="1">1</definedName>
    <definedName name="solver_eng" localSheetId="5" hidden="1">1</definedName>
    <definedName name="solver_eng" localSheetId="4" hidden="1">1</definedName>
    <definedName name="solver_est" localSheetId="5" hidden="1">1</definedName>
    <definedName name="solver_est" localSheetId="4" hidden="1">1</definedName>
    <definedName name="solver_itr" localSheetId="5" hidden="1">2147483647</definedName>
    <definedName name="solver_itr" localSheetId="4" hidden="1">2147483647</definedName>
    <definedName name="solver_lhs1" localSheetId="5" hidden="1">'Allocation Optimize Final'!$P$14:$P$34</definedName>
    <definedName name="solver_lhs1" localSheetId="4" hidden="1">'Allocation Optimize Final Basin'!$B$15:$B$35</definedName>
    <definedName name="solver_lhs10" localSheetId="5" hidden="1">'Allocation Optimize Final'!$P$18</definedName>
    <definedName name="solver_lhs10" localSheetId="4" hidden="1">'Allocation Optimize Final Basin'!$B$19</definedName>
    <definedName name="solver_lhs2" localSheetId="5" hidden="1">'Allocation Optimize Final'!$P$14:$P$34</definedName>
    <definedName name="solver_lhs2" localSheetId="4" hidden="1">'Allocation Optimize Final Basin'!$B$15:$B$35</definedName>
    <definedName name="solver_lhs3" localSheetId="5" hidden="1">'Allocation Optimize Final'!$Q$14:$Q$18</definedName>
    <definedName name="solver_lhs3" localSheetId="4" hidden="1">'Allocation Optimize Final Basin'!$C$15:$C$19</definedName>
    <definedName name="solver_lhs4" localSheetId="5" hidden="1">'Allocation Optimize Final'!$P$18</definedName>
    <definedName name="solver_lhs4" localSheetId="4" hidden="1">'Allocation Optimize Final Basin'!$B$19</definedName>
    <definedName name="solver_lhs5" localSheetId="5" hidden="1">'Allocation Optimize Final'!$P$18</definedName>
    <definedName name="solver_lhs5" localSheetId="4" hidden="1">'Allocation Optimize Final Basin'!$B$19</definedName>
    <definedName name="solver_lhs6" localSheetId="5" hidden="1">'Allocation Optimize Final'!$P$18</definedName>
    <definedName name="solver_lhs6" localSheetId="4" hidden="1">'Allocation Optimize Final Basin'!$B$19</definedName>
    <definedName name="solver_lhs7" localSheetId="5" hidden="1">'Allocation Optimize Final'!$P$18</definedName>
    <definedName name="solver_lhs7" localSheetId="4" hidden="1">'Allocation Optimize Final Basin'!$B$19</definedName>
    <definedName name="solver_lhs8" localSheetId="5" hidden="1">'Allocation Optimize Final'!$P$18</definedName>
    <definedName name="solver_lhs8" localSheetId="4" hidden="1">'Allocation Optimize Final Basin'!$B$19</definedName>
    <definedName name="solver_lhs9" localSheetId="5" hidden="1">'Allocation Optimize Final'!$P$18</definedName>
    <definedName name="solver_lhs9" localSheetId="4" hidden="1">'Allocation Optimize Final Basin'!$B$19</definedName>
    <definedName name="solver_mip" localSheetId="5" hidden="1">2147483647</definedName>
    <definedName name="solver_mip" localSheetId="4" hidden="1">2147483647</definedName>
    <definedName name="solver_mni" localSheetId="5" hidden="1">30</definedName>
    <definedName name="solver_mni" localSheetId="4" hidden="1">30</definedName>
    <definedName name="solver_mrt" localSheetId="5" hidden="1">0.075</definedName>
    <definedName name="solver_mrt" localSheetId="4" hidden="1">0.075</definedName>
    <definedName name="solver_msl" localSheetId="5" hidden="1">2</definedName>
    <definedName name="solver_msl" localSheetId="4" hidden="1">2</definedName>
    <definedName name="solver_neg" localSheetId="5" hidden="1">1</definedName>
    <definedName name="solver_neg" localSheetId="4" hidden="1">1</definedName>
    <definedName name="solver_nod" localSheetId="5" hidden="1">2147483647</definedName>
    <definedName name="solver_nod" localSheetId="4" hidden="1">2147483647</definedName>
    <definedName name="solver_num" localSheetId="5" hidden="1">3</definedName>
    <definedName name="solver_num" localSheetId="4" hidden="1">3</definedName>
    <definedName name="solver_nwt" localSheetId="5" hidden="1">1</definedName>
    <definedName name="solver_nwt" localSheetId="4" hidden="1">1</definedName>
    <definedName name="solver_opt" localSheetId="5" hidden="1">'Allocation Optimize Final'!$Q$9</definedName>
    <definedName name="solver_opt" localSheetId="4" hidden="1">'Allocation Optimize Final Basin'!$C$10</definedName>
    <definedName name="solver_pre" localSheetId="5" hidden="1">0.000001</definedName>
    <definedName name="solver_pre" localSheetId="4" hidden="1">0.000001</definedName>
    <definedName name="solver_rbv" localSheetId="5" hidden="1">1</definedName>
    <definedName name="solver_rbv" localSheetId="4" hidden="1">1</definedName>
    <definedName name="solver_rel1" localSheetId="5" hidden="1">1</definedName>
    <definedName name="solver_rel1" localSheetId="4" hidden="1">1</definedName>
    <definedName name="solver_rel10" localSheetId="5" hidden="1">3</definedName>
    <definedName name="solver_rel10" localSheetId="4" hidden="1">3</definedName>
    <definedName name="solver_rel2" localSheetId="5" hidden="1">3</definedName>
    <definedName name="solver_rel2" localSheetId="4" hidden="1">3</definedName>
    <definedName name="solver_rel3" localSheetId="5" hidden="1">1</definedName>
    <definedName name="solver_rel3" localSheetId="4" hidden="1">1</definedName>
    <definedName name="solver_rel4" localSheetId="5" hidden="1">3</definedName>
    <definedName name="solver_rel4" localSheetId="4" hidden="1">3</definedName>
    <definedName name="solver_rel5" localSheetId="5" hidden="1">3</definedName>
    <definedName name="solver_rel5" localSheetId="4" hidden="1">3</definedName>
    <definedName name="solver_rel6" localSheetId="5" hidden="1">3</definedName>
    <definedName name="solver_rel6" localSheetId="4" hidden="1">3</definedName>
    <definedName name="solver_rel7" localSheetId="5" hidden="1">3</definedName>
    <definedName name="solver_rel7" localSheetId="4" hidden="1">3</definedName>
    <definedName name="solver_rel8" localSheetId="5" hidden="1">3</definedName>
    <definedName name="solver_rel8" localSheetId="4" hidden="1">3</definedName>
    <definedName name="solver_rel9" localSheetId="5" hidden="1">3</definedName>
    <definedName name="solver_rel9" localSheetId="4" hidden="1">3</definedName>
    <definedName name="solver_rhs1" localSheetId="5" hidden="1">'Allocation Optimize Final'!$S$14:$S$34</definedName>
    <definedName name="solver_rhs1" localSheetId="4" hidden="1">'Allocation Optimize Final Basin'!$E$15:$E$35</definedName>
    <definedName name="solver_rhs10" localSheetId="5" hidden="1">'Allocation Optimize Final'!$R$18</definedName>
    <definedName name="solver_rhs10" localSheetId="4" hidden="1">'Allocation Optimize Final Basin'!$D$19</definedName>
    <definedName name="solver_rhs2" localSheetId="5" hidden="1">'Allocation Optimize Final'!$R$14:$R$34</definedName>
    <definedName name="solver_rhs2" localSheetId="4" hidden="1">'Allocation Optimize Final Basin'!$D$15:$D$35</definedName>
    <definedName name="solver_rhs3" localSheetId="5" hidden="1">1</definedName>
    <definedName name="solver_rhs3" localSheetId="4" hidden="1">1</definedName>
    <definedName name="solver_rhs4" localSheetId="5" hidden="1">'Allocation Optimize Final'!$R$18</definedName>
    <definedName name="solver_rhs4" localSheetId="4" hidden="1">'Allocation Optimize Final Basin'!$D$19</definedName>
    <definedName name="solver_rhs5" localSheetId="5" hidden="1">'Allocation Optimize Final'!$R$18</definedName>
    <definedName name="solver_rhs5" localSheetId="4" hidden="1">'Allocation Optimize Final Basin'!$D$19</definedName>
    <definedName name="solver_rhs6" localSheetId="5" hidden="1">'Allocation Optimize Final'!$R$18</definedName>
    <definedName name="solver_rhs6" localSheetId="4" hidden="1">'Allocation Optimize Final Basin'!$D$19</definedName>
    <definedName name="solver_rhs7" localSheetId="5" hidden="1">'Allocation Optimize Final'!$R$18</definedName>
    <definedName name="solver_rhs7" localSheetId="4" hidden="1">'Allocation Optimize Final Basin'!$D$19</definedName>
    <definedName name="solver_rhs8" localSheetId="5" hidden="1">'Allocation Optimize Final'!$R$18</definedName>
    <definedName name="solver_rhs8" localSheetId="4" hidden="1">'Allocation Optimize Final Basin'!$D$19</definedName>
    <definedName name="solver_rhs9" localSheetId="5" hidden="1">'Allocation Optimize Final'!$R$18</definedName>
    <definedName name="solver_rhs9" localSheetId="4" hidden="1">'Allocation Optimize Final Basin'!$D$19</definedName>
    <definedName name="solver_rlx" localSheetId="5" hidden="1">2</definedName>
    <definedName name="solver_rlx" localSheetId="4" hidden="1">2</definedName>
    <definedName name="solver_rsd" localSheetId="5" hidden="1">0</definedName>
    <definedName name="solver_rsd" localSheetId="4" hidden="1">0</definedName>
    <definedName name="solver_scl" localSheetId="5" hidden="1">1</definedName>
    <definedName name="solver_scl" localSheetId="4" hidden="1">1</definedName>
    <definedName name="solver_sho" localSheetId="5" hidden="1">2</definedName>
    <definedName name="solver_sho" localSheetId="4" hidden="1">2</definedName>
    <definedName name="solver_ssz" localSheetId="5" hidden="1">100</definedName>
    <definedName name="solver_ssz" localSheetId="4" hidden="1">100</definedName>
    <definedName name="solver_tim" localSheetId="5" hidden="1">2147483647</definedName>
    <definedName name="solver_tim" localSheetId="4" hidden="1">2147483647</definedName>
    <definedName name="solver_tol" localSheetId="5" hidden="1">0.01</definedName>
    <definedName name="solver_tol" localSheetId="4" hidden="1">0.01</definedName>
    <definedName name="solver_typ" localSheetId="5" hidden="1">3</definedName>
    <definedName name="solver_typ" localSheetId="4" hidden="1">3</definedName>
    <definedName name="solver_val" localSheetId="5" hidden="1">0</definedName>
    <definedName name="solver_val" localSheetId="4" hidden="1">0</definedName>
    <definedName name="solver_ver" localSheetId="5" hidden="1">3</definedName>
    <definedName name="solver_ver" localSheetId="4"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5" l="1"/>
  <c r="B16" i="15" l="1"/>
  <c r="B15" i="15"/>
  <c r="B14" i="15"/>
  <c r="B13" i="15"/>
  <c r="B12" i="15"/>
  <c r="B11" i="15"/>
  <c r="B10" i="15"/>
  <c r="B9" i="15"/>
  <c r="B8" i="15"/>
  <c r="R10" i="2" l="1"/>
  <c r="R11" i="2"/>
  <c r="R12" i="2"/>
  <c r="R13" i="2"/>
  <c r="R14" i="2"/>
  <c r="R15" i="2"/>
  <c r="R16" i="2"/>
  <c r="R17" i="2"/>
  <c r="R18" i="2"/>
  <c r="R19" i="2"/>
  <c r="R20" i="2"/>
  <c r="R21" i="2"/>
  <c r="R22" i="2"/>
  <c r="R23" i="2"/>
  <c r="R24" i="2"/>
  <c r="R25" i="2"/>
  <c r="R26" i="2"/>
  <c r="R27" i="2"/>
  <c r="R28" i="2"/>
  <c r="R29" i="2"/>
  <c r="R9" i="2"/>
  <c r="R31" i="7" l="1"/>
  <c r="E34" i="8"/>
  <c r="D34" i="8"/>
  <c r="B34" i="8"/>
  <c r="E33" i="8"/>
  <c r="D33" i="8"/>
  <c r="B33" i="8"/>
  <c r="E31" i="8"/>
  <c r="D31" i="8"/>
  <c r="B31" i="8"/>
  <c r="E30" i="8"/>
  <c r="D30" i="8"/>
  <c r="B30" i="8"/>
  <c r="E29" i="8"/>
  <c r="D29" i="8"/>
  <c r="B29" i="8"/>
  <c r="E28" i="8"/>
  <c r="D28" i="8"/>
  <c r="B28" i="8"/>
  <c r="E27" i="8"/>
  <c r="D27" i="8"/>
  <c r="B27" i="8"/>
  <c r="E26" i="8"/>
  <c r="D26" i="8"/>
  <c r="B26" i="8"/>
  <c r="E25" i="8"/>
  <c r="D25" i="8"/>
  <c r="B25" i="8"/>
  <c r="E24" i="8"/>
  <c r="D24" i="8"/>
  <c r="B24" i="8"/>
  <c r="E23" i="8"/>
  <c r="D23" i="8"/>
  <c r="B23" i="8"/>
  <c r="E22" i="8"/>
  <c r="D22" i="8"/>
  <c r="B22" i="8"/>
  <c r="E21" i="8"/>
  <c r="D21" i="8"/>
  <c r="B21" i="8"/>
  <c r="E20" i="8"/>
  <c r="D20" i="8"/>
  <c r="B20" i="8"/>
  <c r="E19" i="8"/>
  <c r="D19" i="8"/>
  <c r="B19" i="8"/>
  <c r="E18" i="8"/>
  <c r="D18" i="8"/>
  <c r="B18" i="8"/>
  <c r="E17" i="8"/>
  <c r="D17" i="8"/>
  <c r="B17" i="8"/>
  <c r="E16" i="8"/>
  <c r="D16" i="8"/>
  <c r="B16" i="8"/>
  <c r="E15" i="8"/>
  <c r="D15" i="8"/>
  <c r="B15" i="8"/>
  <c r="B10" i="8"/>
  <c r="P28" i="6"/>
  <c r="O28" i="6"/>
  <c r="N28" i="6"/>
  <c r="M28" i="6"/>
  <c r="L28" i="6"/>
  <c r="K28" i="6"/>
  <c r="J28" i="6"/>
  <c r="I28" i="6"/>
  <c r="H28" i="6"/>
  <c r="G28" i="6"/>
  <c r="F28" i="6"/>
  <c r="E28" i="6"/>
  <c r="D28" i="6"/>
  <c r="C28" i="6"/>
  <c r="P27" i="6"/>
  <c r="O27" i="6"/>
  <c r="N27" i="6"/>
  <c r="M27" i="6"/>
  <c r="L27" i="6"/>
  <c r="K27" i="6"/>
  <c r="J27" i="6"/>
  <c r="I27" i="6"/>
  <c r="H27" i="6"/>
  <c r="G27" i="6"/>
  <c r="F27" i="6"/>
  <c r="E27" i="6"/>
  <c r="D27" i="6"/>
  <c r="C27" i="6"/>
  <c r="P25" i="6"/>
  <c r="O25" i="6"/>
  <c r="N25" i="6"/>
  <c r="M25" i="6"/>
  <c r="L25" i="6"/>
  <c r="K25" i="6"/>
  <c r="J25" i="6"/>
  <c r="I25" i="6"/>
  <c r="H25" i="6"/>
  <c r="G25" i="6"/>
  <c r="F25" i="6"/>
  <c r="E25" i="6"/>
  <c r="D25" i="6"/>
  <c r="C25" i="6"/>
  <c r="P24" i="6"/>
  <c r="O24" i="6"/>
  <c r="N24" i="6"/>
  <c r="M24" i="6"/>
  <c r="L24" i="6"/>
  <c r="K24" i="6"/>
  <c r="J24" i="6"/>
  <c r="I24" i="6"/>
  <c r="H24" i="6"/>
  <c r="G24" i="6"/>
  <c r="F24" i="6"/>
  <c r="E24" i="6"/>
  <c r="D24" i="6"/>
  <c r="C24" i="6"/>
  <c r="P23" i="6"/>
  <c r="O23" i="6"/>
  <c r="N23" i="6"/>
  <c r="M23" i="6"/>
  <c r="L23" i="6"/>
  <c r="K23" i="6"/>
  <c r="J23" i="6"/>
  <c r="I23" i="6"/>
  <c r="H23" i="6"/>
  <c r="G23" i="6"/>
  <c r="F23" i="6"/>
  <c r="E23" i="6"/>
  <c r="D23" i="6"/>
  <c r="C23" i="6"/>
  <c r="P22" i="6"/>
  <c r="O22" i="6"/>
  <c r="N22" i="6"/>
  <c r="M22" i="6"/>
  <c r="L22" i="6"/>
  <c r="K22" i="6"/>
  <c r="J22" i="6"/>
  <c r="I22" i="6"/>
  <c r="H22" i="6"/>
  <c r="G22" i="6"/>
  <c r="F22" i="6"/>
  <c r="E22" i="6"/>
  <c r="D22" i="6"/>
  <c r="C22" i="6"/>
  <c r="P21" i="6"/>
  <c r="O21" i="6"/>
  <c r="N21" i="6"/>
  <c r="M21" i="6"/>
  <c r="L21" i="6"/>
  <c r="K21" i="6"/>
  <c r="J21" i="6"/>
  <c r="I21" i="6"/>
  <c r="H21" i="6"/>
  <c r="G21" i="6"/>
  <c r="F21" i="6"/>
  <c r="E21" i="6"/>
  <c r="D21" i="6"/>
  <c r="C21" i="6"/>
  <c r="P20" i="6"/>
  <c r="O20" i="6"/>
  <c r="N20" i="6"/>
  <c r="M20" i="6"/>
  <c r="L20" i="6"/>
  <c r="K20" i="6"/>
  <c r="J20" i="6"/>
  <c r="I20" i="6"/>
  <c r="H20" i="6"/>
  <c r="G20" i="6"/>
  <c r="F20" i="6"/>
  <c r="E20" i="6"/>
  <c r="D20" i="6"/>
  <c r="C20" i="6"/>
  <c r="P19" i="6"/>
  <c r="O19" i="6"/>
  <c r="N19" i="6"/>
  <c r="M19" i="6"/>
  <c r="L19" i="6"/>
  <c r="K19" i="6"/>
  <c r="J19" i="6"/>
  <c r="I19" i="6"/>
  <c r="H19" i="6"/>
  <c r="G19" i="6"/>
  <c r="F19" i="6"/>
  <c r="E19" i="6"/>
  <c r="D19" i="6"/>
  <c r="C19" i="6"/>
  <c r="P18" i="6"/>
  <c r="O18" i="6"/>
  <c r="N18" i="6"/>
  <c r="M18" i="6"/>
  <c r="L18" i="6"/>
  <c r="K18" i="6"/>
  <c r="J18" i="6"/>
  <c r="I18" i="6"/>
  <c r="H18" i="6"/>
  <c r="G18" i="6"/>
  <c r="F18" i="6"/>
  <c r="E18" i="6"/>
  <c r="D18" i="6"/>
  <c r="C18" i="6"/>
  <c r="P17" i="6"/>
  <c r="O17" i="6"/>
  <c r="N17" i="6"/>
  <c r="M17" i="6"/>
  <c r="L17" i="6"/>
  <c r="K17" i="6"/>
  <c r="J17" i="6"/>
  <c r="I17" i="6"/>
  <c r="H17" i="6"/>
  <c r="G17" i="6"/>
  <c r="F17" i="6"/>
  <c r="E17" i="6"/>
  <c r="D17" i="6"/>
  <c r="C17" i="6"/>
  <c r="P16" i="6"/>
  <c r="O16" i="6"/>
  <c r="N16" i="6"/>
  <c r="M16" i="6"/>
  <c r="L16" i="6"/>
  <c r="K16" i="6"/>
  <c r="J16" i="6"/>
  <c r="I16" i="6"/>
  <c r="H16" i="6"/>
  <c r="G16" i="6"/>
  <c r="F16" i="6"/>
  <c r="E16" i="6"/>
  <c r="D16" i="6"/>
  <c r="C16" i="6"/>
  <c r="P15" i="6"/>
  <c r="O15" i="6"/>
  <c r="N15" i="6"/>
  <c r="M15" i="6"/>
  <c r="L15" i="6"/>
  <c r="K15" i="6"/>
  <c r="J15" i="6"/>
  <c r="I15" i="6"/>
  <c r="H15" i="6"/>
  <c r="G15" i="6"/>
  <c r="F15" i="6"/>
  <c r="E15" i="6"/>
  <c r="D15" i="6"/>
  <c r="C15" i="6"/>
  <c r="P14" i="6"/>
  <c r="O14" i="6"/>
  <c r="N14" i="6"/>
  <c r="M14" i="6"/>
  <c r="L14" i="6"/>
  <c r="K14" i="6"/>
  <c r="J14" i="6"/>
  <c r="I14" i="6"/>
  <c r="H14" i="6"/>
  <c r="G14" i="6"/>
  <c r="F14" i="6"/>
  <c r="E14" i="6"/>
  <c r="D14" i="6"/>
  <c r="C14" i="6"/>
  <c r="S34" i="7"/>
  <c r="E35" i="8" s="1"/>
  <c r="R34" i="7"/>
  <c r="D35" i="8" s="1"/>
  <c r="P34" i="7"/>
  <c r="N29" i="6" s="1"/>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S31" i="7"/>
  <c r="E32" i="8" s="1"/>
  <c r="D32" i="8"/>
  <c r="P31" i="7"/>
  <c r="O31" i="7" s="1"/>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Q18" i="7"/>
  <c r="N18" i="7" s="1"/>
  <c r="Q17" i="7"/>
  <c r="M17" i="7" s="1"/>
  <c r="Q16" i="7"/>
  <c r="N16" i="7" s="1"/>
  <c r="Q15" i="7"/>
  <c r="O15" i="7" s="1"/>
  <c r="Q14" i="7"/>
  <c r="N14" i="7" s="1"/>
  <c r="H17" i="7" l="1"/>
  <c r="C18" i="7"/>
  <c r="B16" i="7"/>
  <c r="E14" i="7"/>
  <c r="F34" i="7"/>
  <c r="K14" i="7"/>
  <c r="J34" i="7"/>
  <c r="D26" i="6"/>
  <c r="H31" i="7"/>
  <c r="L26" i="6"/>
  <c r="L31" i="7"/>
  <c r="B34" i="7"/>
  <c r="G29" i="6"/>
  <c r="B14" i="7"/>
  <c r="L14" i="7"/>
  <c r="C16" i="7"/>
  <c r="J16" i="7"/>
  <c r="F17" i="7"/>
  <c r="I18" i="7"/>
  <c r="C34" i="7"/>
  <c r="G34" i="7"/>
  <c r="K34" i="7"/>
  <c r="M11" i="6"/>
  <c r="E26" i="6"/>
  <c r="M26" i="6"/>
  <c r="K29" i="6"/>
  <c r="E11" i="6"/>
  <c r="E16" i="7"/>
  <c r="M16" i="7"/>
  <c r="D34" i="7"/>
  <c r="H34" i="7"/>
  <c r="L34" i="7"/>
  <c r="G12" i="6"/>
  <c r="H26" i="6"/>
  <c r="P26" i="6"/>
  <c r="O29" i="6"/>
  <c r="I16" i="7"/>
  <c r="G14" i="7"/>
  <c r="G16" i="7"/>
  <c r="O16" i="7"/>
  <c r="E34" i="7"/>
  <c r="I34" i="7"/>
  <c r="O34" i="7"/>
  <c r="F9" i="6"/>
  <c r="O12" i="6"/>
  <c r="I26" i="6"/>
  <c r="C29" i="6"/>
  <c r="D29" i="6"/>
  <c r="H29" i="6"/>
  <c r="L29" i="6"/>
  <c r="P29" i="6"/>
  <c r="B35" i="8"/>
  <c r="M34" i="7"/>
  <c r="E29" i="6"/>
  <c r="I29" i="6"/>
  <c r="M29" i="6"/>
  <c r="N34" i="7"/>
  <c r="F29" i="6"/>
  <c r="J29" i="6"/>
  <c r="Q25" i="6"/>
  <c r="F26" i="6"/>
  <c r="J26" i="6"/>
  <c r="N26" i="6"/>
  <c r="B32" i="8"/>
  <c r="D31" i="7"/>
  <c r="C26" i="6"/>
  <c r="G26" i="6"/>
  <c r="K26" i="6"/>
  <c r="O26" i="6"/>
  <c r="Q23" i="6"/>
  <c r="Q15" i="6"/>
  <c r="I13" i="6"/>
  <c r="L17" i="7"/>
  <c r="D18" i="7"/>
  <c r="K18" i="7"/>
  <c r="J9" i="6"/>
  <c r="H11" i="6"/>
  <c r="P11" i="6"/>
  <c r="J12" i="6"/>
  <c r="D13" i="6"/>
  <c r="L13" i="6"/>
  <c r="C15" i="8"/>
  <c r="F16" i="7"/>
  <c r="K16" i="7"/>
  <c r="D17" i="7"/>
  <c r="N17" i="7"/>
  <c r="E18" i="7"/>
  <c r="M18" i="7"/>
  <c r="N9" i="6"/>
  <c r="I11" i="6"/>
  <c r="C12" i="6"/>
  <c r="K12" i="6"/>
  <c r="E13" i="6"/>
  <c r="M13" i="6"/>
  <c r="H18" i="7"/>
  <c r="O18" i="7"/>
  <c r="D11" i="6"/>
  <c r="L11" i="6"/>
  <c r="F12" i="6"/>
  <c r="N12" i="6"/>
  <c r="H13" i="6"/>
  <c r="P13" i="6"/>
  <c r="H15" i="7"/>
  <c r="D10" i="6"/>
  <c r="H10" i="6"/>
  <c r="L10" i="6"/>
  <c r="P10" i="6"/>
  <c r="F11" i="6"/>
  <c r="J11" i="6"/>
  <c r="N11" i="6"/>
  <c r="D12" i="6"/>
  <c r="H12" i="6"/>
  <c r="L12" i="6"/>
  <c r="P12" i="6"/>
  <c r="F13" i="6"/>
  <c r="J13" i="6"/>
  <c r="N13" i="6"/>
  <c r="L15" i="7"/>
  <c r="D16" i="7"/>
  <c r="H16" i="7"/>
  <c r="L16" i="7"/>
  <c r="B17" i="7"/>
  <c r="J17" i="7"/>
  <c r="B18" i="7"/>
  <c r="G18" i="7"/>
  <c r="L18" i="7"/>
  <c r="E10" i="6"/>
  <c r="I10" i="6"/>
  <c r="M10" i="6"/>
  <c r="C11" i="6"/>
  <c r="G11" i="6"/>
  <c r="K11" i="6"/>
  <c r="O11" i="6"/>
  <c r="E12" i="6"/>
  <c r="I12" i="6"/>
  <c r="M12" i="6"/>
  <c r="C13" i="6"/>
  <c r="G13" i="6"/>
  <c r="K13" i="6"/>
  <c r="O13" i="6"/>
  <c r="C16" i="8"/>
  <c r="C17" i="8"/>
  <c r="C18" i="8"/>
  <c r="C19" i="8"/>
  <c r="F10" i="6"/>
  <c r="J10" i="6"/>
  <c r="N10" i="6"/>
  <c r="D15" i="7"/>
  <c r="C10" i="6"/>
  <c r="G10" i="6"/>
  <c r="K10" i="6"/>
  <c r="O10" i="6"/>
  <c r="E9" i="6"/>
  <c r="I9" i="6"/>
  <c r="M9" i="6"/>
  <c r="C14" i="7"/>
  <c r="H14" i="7"/>
  <c r="M14" i="7"/>
  <c r="C9" i="6"/>
  <c r="G9" i="6"/>
  <c r="K9" i="6"/>
  <c r="O9" i="6"/>
  <c r="D14" i="7"/>
  <c r="I14" i="7"/>
  <c r="O14" i="7"/>
  <c r="D9" i="6"/>
  <c r="H9" i="6"/>
  <c r="L9" i="6"/>
  <c r="P9" i="6"/>
  <c r="E15" i="7"/>
  <c r="I15" i="7"/>
  <c r="M15" i="7"/>
  <c r="C17" i="7"/>
  <c r="G17" i="7"/>
  <c r="K17" i="7"/>
  <c r="O17" i="7"/>
  <c r="E31" i="7"/>
  <c r="I31" i="7"/>
  <c r="M31" i="7"/>
  <c r="B15" i="7"/>
  <c r="F15" i="7"/>
  <c r="J15" i="7"/>
  <c r="N15" i="7"/>
  <c r="B31" i="7"/>
  <c r="F31" i="7"/>
  <c r="J31" i="7"/>
  <c r="N31" i="7"/>
  <c r="F14" i="7"/>
  <c r="J14" i="7"/>
  <c r="C15" i="7"/>
  <c r="G15" i="7"/>
  <c r="K15" i="7"/>
  <c r="E17" i="7"/>
  <c r="I17" i="7"/>
  <c r="F18" i="7"/>
  <c r="J18" i="7"/>
  <c r="C31" i="7"/>
  <c r="G31" i="7"/>
  <c r="K31" i="7"/>
  <c r="Q17" i="6"/>
  <c r="Q16" i="6"/>
  <c r="Q20" i="6"/>
  <c r="Q24" i="6"/>
  <c r="Q28" i="6"/>
  <c r="Q21" i="6"/>
  <c r="Q19" i="6"/>
  <c r="Q27" i="6"/>
  <c r="Q14" i="6"/>
  <c r="Q18" i="6"/>
  <c r="Q22" i="6"/>
  <c r="Q29" i="6" l="1"/>
  <c r="Q10" i="6"/>
  <c r="H30" i="6"/>
  <c r="E30" i="6"/>
  <c r="Q26" i="6"/>
  <c r="M30" i="6"/>
  <c r="O30" i="6"/>
  <c r="Q9" i="6"/>
  <c r="J30" i="6"/>
  <c r="D30" i="6"/>
  <c r="N30" i="6"/>
  <c r="I30" i="6"/>
  <c r="F30" i="6"/>
  <c r="K30" i="6"/>
  <c r="Q12" i="6"/>
  <c r="P30" i="6"/>
  <c r="Q13" i="6"/>
  <c r="Q11" i="6"/>
  <c r="G30" i="6"/>
  <c r="L30" i="6"/>
  <c r="C30" i="6"/>
  <c r="Q30" i="6" l="1"/>
  <c r="M22" i="5" l="1"/>
  <c r="I22" i="5"/>
  <c r="E22" i="5"/>
  <c r="C13" i="5"/>
  <c r="I12" i="5"/>
  <c r="P11" i="5"/>
  <c r="P12" i="5" s="1"/>
  <c r="O11" i="5"/>
  <c r="O12" i="5" s="1"/>
  <c r="N11" i="5"/>
  <c r="N12" i="5" s="1"/>
  <c r="M11" i="5"/>
  <c r="M12" i="5" s="1"/>
  <c r="L11" i="5"/>
  <c r="L12" i="5" s="1"/>
  <c r="L21" i="5" s="1"/>
  <c r="K11" i="5"/>
  <c r="K12" i="5" s="1"/>
  <c r="J11" i="5"/>
  <c r="J12" i="5" s="1"/>
  <c r="I11" i="5"/>
  <c r="H11" i="5"/>
  <c r="H12" i="5" s="1"/>
  <c r="G11" i="5"/>
  <c r="G12" i="5" s="1"/>
  <c r="F11" i="5"/>
  <c r="F12" i="5" s="1"/>
  <c r="E11" i="5"/>
  <c r="E12" i="5" s="1"/>
  <c r="D11" i="5"/>
  <c r="D12" i="5" s="1"/>
  <c r="D21" i="5" s="1"/>
  <c r="C11" i="5"/>
  <c r="C12" i="5" s="1"/>
  <c r="P17" i="4"/>
  <c r="O17" i="4"/>
  <c r="N17" i="4"/>
  <c r="M17" i="4"/>
  <c r="L17" i="4"/>
  <c r="K17" i="4"/>
  <c r="J17" i="4"/>
  <c r="I17" i="4"/>
  <c r="H17" i="4"/>
  <c r="G17" i="4"/>
  <c r="F17" i="4"/>
  <c r="E17" i="4"/>
  <c r="D17" i="4"/>
  <c r="C17" i="4"/>
  <c r="P16" i="4"/>
  <c r="O16" i="4"/>
  <c r="N16" i="4"/>
  <c r="M16" i="4"/>
  <c r="L16" i="4"/>
  <c r="K16" i="4"/>
  <c r="J16" i="4"/>
  <c r="I16" i="4"/>
  <c r="H16" i="4"/>
  <c r="G16" i="4"/>
  <c r="F16" i="4"/>
  <c r="E16" i="4"/>
  <c r="D16" i="4"/>
  <c r="C16" i="4"/>
  <c r="P15" i="4"/>
  <c r="O15" i="4"/>
  <c r="N15" i="4"/>
  <c r="M15" i="4"/>
  <c r="L15" i="4"/>
  <c r="K15" i="4"/>
  <c r="J15" i="4"/>
  <c r="I15" i="4"/>
  <c r="H15" i="4"/>
  <c r="G15" i="4"/>
  <c r="F15" i="4"/>
  <c r="E15" i="4"/>
  <c r="D15" i="4"/>
  <c r="C15" i="4"/>
  <c r="P11" i="4"/>
  <c r="O11" i="4"/>
  <c r="M11" i="4"/>
  <c r="L11" i="4"/>
  <c r="K11" i="4"/>
  <c r="J11" i="4"/>
  <c r="H11" i="4"/>
  <c r="G11" i="4" s="1"/>
  <c r="F11" i="4"/>
  <c r="D11" i="4"/>
  <c r="C11" i="4"/>
  <c r="P10" i="4"/>
  <c r="O10" i="4"/>
  <c r="M10" i="4"/>
  <c r="L10" i="4"/>
  <c r="K10" i="4"/>
  <c r="J10" i="4"/>
  <c r="H10" i="4"/>
  <c r="G10" i="4" s="1"/>
  <c r="F10" i="4"/>
  <c r="D10" i="4"/>
  <c r="C10" i="4"/>
  <c r="E10" i="4" s="1"/>
  <c r="P9" i="4"/>
  <c r="O9" i="4"/>
  <c r="M9" i="4"/>
  <c r="L9" i="4"/>
  <c r="K9" i="4"/>
  <c r="J9" i="4"/>
  <c r="H9" i="4"/>
  <c r="G9" i="4"/>
  <c r="F9" i="4"/>
  <c r="D9" i="4"/>
  <c r="C9" i="4"/>
  <c r="H21" i="4"/>
  <c r="P30" i="3"/>
  <c r="P22" i="5" s="1"/>
  <c r="O30" i="3"/>
  <c r="O22" i="5" s="1"/>
  <c r="N30" i="3"/>
  <c r="Q30" i="3" s="1"/>
  <c r="M30" i="3"/>
  <c r="L30" i="3"/>
  <c r="L22" i="5" s="1"/>
  <c r="K30" i="3"/>
  <c r="K22" i="5" s="1"/>
  <c r="J30" i="3"/>
  <c r="J22" i="5" s="1"/>
  <c r="I30" i="3"/>
  <c r="H30" i="3"/>
  <c r="H22" i="5" s="1"/>
  <c r="G30" i="3"/>
  <c r="G22" i="5" s="1"/>
  <c r="F30" i="3"/>
  <c r="F22" i="5" s="1"/>
  <c r="E30" i="3"/>
  <c r="D30" i="3"/>
  <c r="D22" i="5" s="1"/>
  <c r="C30" i="3"/>
  <c r="C22" i="5" s="1"/>
  <c r="Q29" i="3"/>
  <c r="Q28" i="3"/>
  <c r="Q27" i="3"/>
  <c r="Q26" i="3"/>
  <c r="Q25" i="3"/>
  <c r="Q24" i="3"/>
  <c r="Q23" i="3"/>
  <c r="Q22" i="3"/>
  <c r="Q21" i="3"/>
  <c r="Q20" i="3"/>
  <c r="Q19" i="3"/>
  <c r="Q18" i="3"/>
  <c r="Q17" i="3"/>
  <c r="Q16" i="3"/>
  <c r="Q15" i="3"/>
  <c r="Q14" i="3"/>
  <c r="Q13" i="3"/>
  <c r="Q12" i="3"/>
  <c r="Q11" i="3"/>
  <c r="Q10" i="3"/>
  <c r="Q9" i="3"/>
  <c r="Q9" i="2"/>
  <c r="Q10" i="2"/>
  <c r="Q11" i="2"/>
  <c r="Q12" i="2"/>
  <c r="Q13" i="2"/>
  <c r="Q14" i="2"/>
  <c r="Q15" i="2"/>
  <c r="Q16" i="2"/>
  <c r="Q17" i="2"/>
  <c r="Q18" i="2"/>
  <c r="Q19" i="2"/>
  <c r="Q20" i="2"/>
  <c r="Q21" i="2"/>
  <c r="Q22" i="2"/>
  <c r="Q23" i="2"/>
  <c r="Q24" i="2"/>
  <c r="Q25" i="2"/>
  <c r="Q26" i="2"/>
  <c r="Q27" i="2"/>
  <c r="Q28" i="2"/>
  <c r="Q29" i="2"/>
  <c r="C30" i="2"/>
  <c r="B9" i="7" s="1"/>
  <c r="D30" i="2"/>
  <c r="C9" i="7" s="1"/>
  <c r="E30" i="2"/>
  <c r="D9" i="7" s="1"/>
  <c r="F30" i="2"/>
  <c r="E9" i="7" s="1"/>
  <c r="G30" i="2"/>
  <c r="F9" i="7" s="1"/>
  <c r="H30" i="2"/>
  <c r="G9" i="7" s="1"/>
  <c r="I30" i="2"/>
  <c r="H9" i="7" s="1"/>
  <c r="J30" i="2"/>
  <c r="I9" i="7" s="1"/>
  <c r="K30" i="2"/>
  <c r="J9" i="7" s="1"/>
  <c r="L30" i="2"/>
  <c r="K9" i="7" s="1"/>
  <c r="M30" i="2"/>
  <c r="L9" i="7" s="1"/>
  <c r="N30" i="2"/>
  <c r="M9" i="7" s="1"/>
  <c r="O30" i="2"/>
  <c r="N9" i="7" s="1"/>
  <c r="P30" i="2"/>
  <c r="O9" i="7" s="1"/>
  <c r="R30" i="2" l="1"/>
  <c r="P13" i="5"/>
  <c r="H13" i="5"/>
  <c r="L13" i="5"/>
  <c r="M21" i="4"/>
  <c r="I13" i="5"/>
  <c r="I14" i="5" s="1"/>
  <c r="F13" i="5"/>
  <c r="F14" i="5" s="1"/>
  <c r="J13" i="5"/>
  <c r="N13" i="5"/>
  <c r="E13" i="5"/>
  <c r="E14" i="5" s="1"/>
  <c r="M13" i="5"/>
  <c r="M14" i="5" s="1"/>
  <c r="P9" i="7"/>
  <c r="L21" i="4"/>
  <c r="F21" i="4"/>
  <c r="D13" i="5"/>
  <c r="D14" i="5" s="1"/>
  <c r="G13" i="5"/>
  <c r="K13" i="5"/>
  <c r="O13" i="5"/>
  <c r="O14" i="5" s="1"/>
  <c r="K21" i="4"/>
  <c r="O21" i="4"/>
  <c r="N22" i="5"/>
  <c r="J21" i="4"/>
  <c r="D21" i="4"/>
  <c r="P21" i="4"/>
  <c r="D23" i="5"/>
  <c r="D24" i="5" s="1"/>
  <c r="L23" i="5"/>
  <c r="L24" i="5" s="1"/>
  <c r="H14" i="5"/>
  <c r="H15" i="5" s="1"/>
  <c r="P14" i="5"/>
  <c r="F21" i="5"/>
  <c r="F23" i="5" s="1"/>
  <c r="J21" i="5"/>
  <c r="J23" i="5" s="1"/>
  <c r="J14" i="5"/>
  <c r="N21" i="5"/>
  <c r="N23" i="5" s="1"/>
  <c r="N14" i="5"/>
  <c r="C21" i="5"/>
  <c r="C23" i="5" s="1"/>
  <c r="C14" i="5"/>
  <c r="G14" i="5"/>
  <c r="G21" i="5"/>
  <c r="G23" i="5" s="1"/>
  <c r="K14" i="5"/>
  <c r="K21" i="5"/>
  <c r="K23" i="5" s="1"/>
  <c r="O21" i="5"/>
  <c r="O23" i="5" s="1"/>
  <c r="P15" i="5"/>
  <c r="P16" i="5"/>
  <c r="P17" i="5" s="1"/>
  <c r="O8" i="7" s="1"/>
  <c r="H21" i="5"/>
  <c r="H23" i="5" s="1"/>
  <c r="P21" i="5"/>
  <c r="P23" i="5" s="1"/>
  <c r="L14" i="5"/>
  <c r="E21" i="5"/>
  <c r="E23" i="5" s="1"/>
  <c r="I21" i="5"/>
  <c r="I23" i="5" s="1"/>
  <c r="M21" i="5"/>
  <c r="M23" i="5" s="1"/>
  <c r="I10" i="4"/>
  <c r="N10" i="4" s="1"/>
  <c r="E9" i="4"/>
  <c r="E11" i="4"/>
  <c r="I11" i="4"/>
  <c r="C21" i="4"/>
  <c r="G21" i="4"/>
  <c r="Q30" i="2"/>
  <c r="M16" i="5" l="1"/>
  <c r="M17" i="5" s="1"/>
  <c r="L8" i="7" s="1"/>
  <c r="M15" i="5"/>
  <c r="E15" i="5"/>
  <c r="E16" i="5"/>
  <c r="E17" i="5" s="1"/>
  <c r="D8" i="7" s="1"/>
  <c r="I15" i="5"/>
  <c r="I16" i="5"/>
  <c r="I17" i="5" s="1"/>
  <c r="H8" i="7" s="1"/>
  <c r="N11" i="4"/>
  <c r="H16" i="5"/>
  <c r="H17" i="5" s="1"/>
  <c r="G8" i="7" s="1"/>
  <c r="B9" i="8"/>
  <c r="D25" i="5"/>
  <c r="D26" i="5" s="1"/>
  <c r="L25" i="5"/>
  <c r="L26" i="5" s="1"/>
  <c r="E25" i="5"/>
  <c r="E26" i="5" s="1"/>
  <c r="E24" i="5"/>
  <c r="O15" i="5"/>
  <c r="O16" i="5"/>
  <c r="O17" i="5" s="1"/>
  <c r="N8" i="7" s="1"/>
  <c r="N16" i="5"/>
  <c r="N17" i="5" s="1"/>
  <c r="M8" i="7" s="1"/>
  <c r="N15" i="5"/>
  <c r="F16" i="5"/>
  <c r="F17" i="5" s="1"/>
  <c r="E8" i="7" s="1"/>
  <c r="F15" i="5"/>
  <c r="K25" i="5"/>
  <c r="K26" i="5" s="1"/>
  <c r="K24" i="5"/>
  <c r="C15" i="5"/>
  <c r="C16" i="5"/>
  <c r="N25" i="5"/>
  <c r="N26" i="5" s="1"/>
  <c r="N24" i="5"/>
  <c r="F25" i="5"/>
  <c r="F26" i="5" s="1"/>
  <c r="F24" i="5"/>
  <c r="M24" i="5"/>
  <c r="M25" i="5"/>
  <c r="M26" i="5" s="1"/>
  <c r="D15" i="5"/>
  <c r="D16" i="5"/>
  <c r="D17" i="5" s="1"/>
  <c r="C8" i="7" s="1"/>
  <c r="K16" i="5"/>
  <c r="K17" i="5" s="1"/>
  <c r="J8" i="7" s="1"/>
  <c r="K15" i="5"/>
  <c r="C24" i="5"/>
  <c r="C25" i="5"/>
  <c r="C26" i="5" s="1"/>
  <c r="J16" i="5"/>
  <c r="J17" i="5" s="1"/>
  <c r="I8" i="7" s="1"/>
  <c r="J15" i="5"/>
  <c r="H24" i="5"/>
  <c r="H25" i="5"/>
  <c r="H26" i="5" s="1"/>
  <c r="G15" i="5"/>
  <c r="G16" i="5"/>
  <c r="G17" i="5" s="1"/>
  <c r="F8" i="7" s="1"/>
  <c r="L16" i="5"/>
  <c r="L17" i="5" s="1"/>
  <c r="K8" i="7" s="1"/>
  <c r="L15" i="5"/>
  <c r="I24" i="5"/>
  <c r="I25" i="5"/>
  <c r="I26" i="5" s="1"/>
  <c r="P24" i="5"/>
  <c r="P25" i="5"/>
  <c r="P26" i="5" s="1"/>
  <c r="O24" i="5"/>
  <c r="O25" i="5"/>
  <c r="O26" i="5" s="1"/>
  <c r="G24" i="5"/>
  <c r="G25" i="5"/>
  <c r="G26" i="5" s="1"/>
  <c r="J25" i="5"/>
  <c r="J26" i="5" s="1"/>
  <c r="J24" i="5"/>
  <c r="E21" i="4"/>
  <c r="I9" i="4"/>
  <c r="N9" i="4" s="1"/>
  <c r="C17" i="5" l="1"/>
  <c r="B8" i="7" s="1"/>
  <c r="I21" i="4"/>
  <c r="N21" i="4"/>
  <c r="P8" i="7" l="1"/>
  <c r="B8" i="8" l="1"/>
  <c r="C10" i="8" s="1"/>
  <c r="Q9" i="7"/>
</calcChain>
</file>

<file path=xl/sharedStrings.xml><?xml version="1.0" encoding="utf-8"?>
<sst xmlns="http://schemas.openxmlformats.org/spreadsheetml/2006/main" count="292" uniqueCount="124">
  <si>
    <t>Total</t>
  </si>
  <si>
    <t>Industrial dischargers</t>
  </si>
  <si>
    <t>POTWs</t>
  </si>
  <si>
    <t>Mines</t>
  </si>
  <si>
    <t>Urban DMAs</t>
  </si>
  <si>
    <t>MS4</t>
  </si>
  <si>
    <t>Sediment (other)</t>
  </si>
  <si>
    <t>Sediment (developed)</t>
  </si>
  <si>
    <t>Sediment (shrub)</t>
  </si>
  <si>
    <t>Sediment (forest)</t>
  </si>
  <si>
    <t>Sediment (agriculture)</t>
  </si>
  <si>
    <t>Groundwater (other)</t>
  </si>
  <si>
    <t>Groundwater (developed)</t>
  </si>
  <si>
    <t>Groundwater (shrub)</t>
  </si>
  <si>
    <t>Groundwater (forest)</t>
  </si>
  <si>
    <t>Groundwater (agriculture)</t>
  </si>
  <si>
    <t>Atmospheric deposition direct to water</t>
  </si>
  <si>
    <t>Runoff of atmospheric deposition (other)</t>
  </si>
  <si>
    <t>Runoff of atmospheric deposition (developed)</t>
  </si>
  <si>
    <t>Runoff of atmospheric deposition (shrub)</t>
  </si>
  <si>
    <t>Runoff of atmospheric deposition (forest)</t>
  </si>
  <si>
    <t>Runoff of atmospheric deposition (agriculture)</t>
  </si>
  <si>
    <t>Columbia</t>
  </si>
  <si>
    <t>Multnomah</t>
  </si>
  <si>
    <t>Category</t>
  </si>
  <si>
    <t xml:space="preserve"> </t>
  </si>
  <si>
    <t>Load (kg/yr)</t>
  </si>
  <si>
    <t>Top table is in kg/yr and bottom table is in g/day. Filterable with dynamic HUC8 loads (applicable to the table in kg/yr).</t>
  </si>
  <si>
    <t>Existing At-Source Loads</t>
  </si>
  <si>
    <t>Existing Delivered Loads</t>
  </si>
  <si>
    <t>For example, loads listed for 17090001 (Middle Fork Willamette) are representative of loads delivered to the outlet of 17090001.</t>
  </si>
  <si>
    <t>The "Total" column includes loads delivered to the Columbia River from the Willamette River Basin (i.e., the sum of loads delivered to the Lower Willamette (17090012), Multnomah Channel, and Columbia Slough).</t>
  </si>
  <si>
    <t>Delivery Ratios to HUC Outlet</t>
  </si>
  <si>
    <t>At-Source Loads - Including all upstream HUCs</t>
  </si>
  <si>
    <t>PSL</t>
  </si>
  <si>
    <t>Permitted MS4s</t>
  </si>
  <si>
    <t>NPL</t>
  </si>
  <si>
    <t>Delivered Load</t>
  </si>
  <si>
    <t>Delivery Ratios</t>
  </si>
  <si>
    <t>All Categories</t>
  </si>
  <si>
    <t>Delivered/At-source</t>
  </si>
  <si>
    <t>Load Capacities</t>
  </si>
  <si>
    <t>Surface Water Target Concentration (ng/L)</t>
  </si>
  <si>
    <t>Reserve Capacity (%)</t>
  </si>
  <si>
    <t>At-source Load Capacities</t>
  </si>
  <si>
    <t>Percent reduction based on NPM Median Target</t>
  </si>
  <si>
    <t>Total at-source load (kg/yr)</t>
  </si>
  <si>
    <t>Loading capacity (kg/yr)</t>
  </si>
  <si>
    <t>Loading capacity (g/d)</t>
  </si>
  <si>
    <t>Reserve Capacity (kg/yr)</t>
  </si>
  <si>
    <t>Delivered Load Capacities</t>
  </si>
  <si>
    <t>Total delivered load (kg/yr)</t>
  </si>
  <si>
    <t>Total allocation</t>
  </si>
  <si>
    <t>Load for planned reductions (below)</t>
  </si>
  <si>
    <t>Result</t>
  </si>
  <si>
    <t>Planned Percent Reductions</t>
  </si>
  <si>
    <t>Opt Reduction</t>
  </si>
  <si>
    <t>Lower Limit</t>
  </si>
  <si>
    <t>Upper Limit</t>
  </si>
  <si>
    <t>Total allocation (g/day)</t>
  </si>
  <si>
    <t>Load for planned reductions (g/day)</t>
  </si>
  <si>
    <t>Source Category</t>
  </si>
  <si>
    <t>Load (g/day)</t>
  </si>
  <si>
    <t>Check</t>
  </si>
  <si>
    <t>NA</t>
  </si>
  <si>
    <t>Optimized percent reductions for entire basin. This sheet is linked to the "Allocation Optimize Final" sheet</t>
  </si>
  <si>
    <t>See link for more information about Microsoft Solver:</t>
  </si>
  <si>
    <t>Delivery ratios to HUC outlets based on loading from all upstream HUCs. This sheet uses data from the "Delivered Loads" sheet as input.</t>
  </si>
  <si>
    <t>Source Categories</t>
  </si>
  <si>
    <t>Group</t>
  </si>
  <si>
    <t>Description</t>
  </si>
  <si>
    <t>Runoff of atmospheric deposition</t>
  </si>
  <si>
    <t>Groundwater</t>
  </si>
  <si>
    <t>Sediment</t>
  </si>
  <si>
    <t>Aggregated Land Use</t>
  </si>
  <si>
    <t>National Land Cover Database (2011) Categories</t>
  </si>
  <si>
    <t>Agriculture</t>
  </si>
  <si>
    <t>Cultivated Crops (land used for production of annual crops or perennial woody crops, e.g., vineyards or orchards)</t>
  </si>
  <si>
    <t>Forest</t>
  </si>
  <si>
    <t>Deciduous, Evergreen, and Mixed Forest</t>
  </si>
  <si>
    <t>Shrub</t>
  </si>
  <si>
    <t>Shrub/Scrub; predominantly disturbed forest land</t>
  </si>
  <si>
    <t>Developed</t>
  </si>
  <si>
    <t>Developed Open, Low, Medium, and High Density</t>
  </si>
  <si>
    <t>Other</t>
  </si>
  <si>
    <t>Barren Land, Grassland/Herbaceous, Pasture/Hay, Wetlands, Open Water</t>
  </si>
  <si>
    <t xml:space="preserve">Note that changes to the workbook structure (e.g., addition of rows) could result in miscalculation. </t>
  </si>
  <si>
    <t>Tab Name</t>
  </si>
  <si>
    <t>Categories</t>
  </si>
  <si>
    <t>Loading Capacities</t>
  </si>
  <si>
    <t>Delivered Loads</t>
  </si>
  <si>
    <t>Table of Contents</t>
  </si>
  <si>
    <t>Flowchart</t>
  </si>
  <si>
    <t>Allocation Optimize Final Basin</t>
  </si>
  <si>
    <t>Allocation Optimize Final</t>
  </si>
  <si>
    <t>Descriptions of total mercury source categories.</t>
  </si>
  <si>
    <t>Allocation Loads</t>
  </si>
  <si>
    <t>Filterable with dynamic HUC8 loads (applicable to the table in kg/yr).</t>
  </si>
  <si>
    <t>At-source loads are defined as total mercury loads generated in the HUC. Loads from upstream HUCs are not included and instream processes (e.g., total mercury loads conversion to elemental mercury that escapes to the atmosphere) are not represented. This sheet uses data from the "Allocation Optimize Loads" and "At-Source Loads" sheets as input.</t>
  </si>
  <si>
    <t>Shows the general flow of calculations among the individual sheets.</t>
  </si>
  <si>
    <t>Load capacities for target surface water total mercury concentration (0.14 ng/L) to meet a fish tissue concentration of 0.40 mg/kg MeHg in the Northern Pikeminnow. This sheet uses data from the "At-Source Loads" and Delivered Loads" sheets as input.</t>
  </si>
  <si>
    <t>At-source loads are defined as total mercury loads generated in the HUC. Loads from upstream HUCs are not included and instream processes (e.g., total mercury conversion to elemental mercury that escapes to the atmosphere) are not represented.</t>
  </si>
  <si>
    <t>Delivered loads are defined as total mercury loads delivered to the specified HUC outlet. Loads from upstream HUCs are included and instream processes are represented.</t>
  </si>
  <si>
    <t>Sub-Basin Map</t>
  </si>
  <si>
    <t>Map of sub-basins of Willamette Basin</t>
  </si>
  <si>
    <t>total mercury in surface runoff from wet and dry atmospheric deposition to pervious and impervous surfaces.</t>
  </si>
  <si>
    <t>total mercury from wet and dry atmospheric deposition direct to water surfaces.</t>
  </si>
  <si>
    <t>Dissolved total mercury associated with subsurface flows (shallow interflow and resurfacing groundwater).</t>
  </si>
  <si>
    <t>Particulate-assocatied total mercury from sediment erosion and transport.</t>
  </si>
  <si>
    <t>total mercury associated with stormwater in permitted Phase I &amp; II MS4 areas (cities, counties, &amp; ODOT). Includes total mercury from runoff of atmospheric deposition, dissolved total mercury in shallow subsurface interflow, and particulate-associated total mercury from sediment erosion. Limited to developed low, medium, and high density land in MS4 areas.</t>
  </si>
  <si>
    <t>total mercury associated with stormwater from urban Designated Management Areas (DMAs).  Includes total mercury from runoff of atmospheric deposition, dissolved total mercury in shallow subsurface interflow, and particulate-associated total mercury from sediment erosion. Limited to developed low, medium, and high density land in urban DMA areas.</t>
  </si>
  <si>
    <t>Legacy total mercury from contaminated mine tailings and furnace areas at the Black Butte Mine and the Bohemia Mining District.</t>
  </si>
  <si>
    <t>total mercury associated with discharges from major POTWs and minor domestic WWTPs that hold NPDES permits.</t>
  </si>
  <si>
    <t>total mercury associated with discharges from industrial facilities that hold NPDES permits.</t>
  </si>
  <si>
    <t>Combined with Atm Dep Reduction</t>
  </si>
  <si>
    <t>Optimized Allocation for Entire Willamette Basin</t>
  </si>
  <si>
    <t>Optimized Allocation by HUC08</t>
  </si>
  <si>
    <t>Optimized percent reductions for by HUC08. The "solver" tool in Excel is used to find the optimum percent reductions given the lower and upper limit constraints. This sheet uses data from the "Load Capacities" and "At-Source Loads" sheets as input.</t>
  </si>
  <si>
    <t>Link to Microsoft Excel Solver information</t>
  </si>
  <si>
    <t>Remaining Load Capacity (kg/yr)</t>
  </si>
  <si>
    <t>Median total mercury Concentration (ng/L)</t>
  </si>
  <si>
    <t>Median total mercury Concentration (ng/L, 2002-2017)</t>
  </si>
  <si>
    <t>This spreadsheet calculates waste load and load allocations for the Willamette Basin Mercury TMDL.</t>
  </si>
  <si>
    <t xml:space="preserve">    Calculation of Waste Load and Load Allocations for the Willamette Basin Mercury TMDL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</si>
</sst>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2" x14ac:knownFonts="1">
    <font>
      <sz val="11"/>
      <color theme="1"/>
      <name val="Calibri"/>
      <family val="2"/>
      <scheme val="minor"/>
    </font>
    <font>
      <sz val="11"/>
      <color theme="1"/>
      <name val="Calibri"/>
      <family val="2"/>
      <scheme val="minor"/>
    </font>
    <font>
      <sz val="9"/>
      <color theme="1"/>
      <name val="Arial"/>
      <family val="2"/>
    </font>
    <font>
      <u/>
      <sz val="11"/>
      <color theme="10"/>
      <name val="Calibri"/>
      <family val="2"/>
      <scheme val="minor"/>
    </font>
    <font>
      <sz val="11"/>
      <color theme="1"/>
      <name val="Arial"/>
      <family val="2"/>
    </font>
    <font>
      <sz val="10"/>
      <color theme="1"/>
      <name val="Arial"/>
      <family val="2"/>
    </font>
    <font>
      <b/>
      <sz val="12"/>
      <color theme="1"/>
      <name val="Arial"/>
      <family val="2"/>
    </font>
    <font>
      <b/>
      <sz val="14"/>
      <color theme="0"/>
      <name val="Arial"/>
      <family val="2"/>
    </font>
    <font>
      <sz val="11"/>
      <color theme="0"/>
      <name val="Arial"/>
      <family val="2"/>
    </font>
    <font>
      <i/>
      <sz val="11"/>
      <color theme="1"/>
      <name val="Arial"/>
      <family val="2"/>
    </font>
    <font>
      <i/>
      <sz val="11"/>
      <color rgb="FFFF0000"/>
      <name val="Arial"/>
      <family val="2"/>
    </font>
    <font>
      <b/>
      <sz val="11"/>
      <color theme="1"/>
      <name val="Arial"/>
      <family val="2"/>
    </font>
    <font>
      <b/>
      <sz val="10"/>
      <color theme="1"/>
      <name val="Arial"/>
      <family val="2"/>
    </font>
    <font>
      <i/>
      <sz val="10"/>
      <color theme="1"/>
      <name val="Arial"/>
      <family val="2"/>
    </font>
    <font>
      <sz val="10"/>
      <color theme="0" tint="-4.9989318521683403E-2"/>
      <name val="Arial"/>
      <family val="2"/>
    </font>
    <font>
      <b/>
      <sz val="12"/>
      <color theme="0" tint="-4.9989318521683403E-2"/>
      <name val="Arial"/>
      <family val="2"/>
    </font>
    <font>
      <sz val="11"/>
      <color theme="0" tint="-4.9989318521683403E-2"/>
      <name val="Arial"/>
      <family val="2"/>
    </font>
    <font>
      <u/>
      <sz val="11"/>
      <color theme="10"/>
      <name val="Arial"/>
      <family val="2"/>
    </font>
    <font>
      <b/>
      <sz val="11"/>
      <color theme="4"/>
      <name val="Arial"/>
      <family val="2"/>
    </font>
    <font>
      <sz val="10"/>
      <name val="Arial"/>
      <family val="2"/>
    </font>
    <font>
      <b/>
      <sz val="11"/>
      <color rgb="FF0070C0"/>
      <name val="Arial"/>
      <family val="2"/>
    </font>
    <font>
      <b/>
      <sz val="16"/>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rgb="FFFF8585"/>
        <bgColor indexed="64"/>
      </patternFill>
    </fill>
  </fills>
  <borders count="34">
    <border>
      <left/>
      <right/>
      <top/>
      <bottom/>
      <diagonal/>
    </border>
    <border>
      <left style="thin">
        <color theme="0" tint="-0.249977111117893"/>
      </left>
      <right style="thin">
        <color theme="0" tint="-0.499984740745262"/>
      </right>
      <top style="thin">
        <color theme="0" tint="-0.249977111117893"/>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499984740745262"/>
      </bottom>
      <diagonal/>
    </border>
    <border>
      <left style="thin">
        <color theme="0" tint="-0.499984740745262"/>
      </left>
      <right style="thin">
        <color theme="0" tint="-0.249977111117893"/>
      </right>
      <top style="thin">
        <color theme="0" tint="-0.249977111117893"/>
      </top>
      <bottom style="thin">
        <color theme="0" tint="-0.499984740745262"/>
      </bottom>
      <diagonal/>
    </border>
    <border>
      <left style="thin">
        <color theme="0" tint="-0.249977111117893"/>
      </left>
      <right style="thin">
        <color theme="0" tint="-0.499984740745262"/>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249977111117893"/>
      </right>
      <top style="thin">
        <color theme="0" tint="-0.249977111117893"/>
      </top>
      <bottom style="thin">
        <color theme="0" tint="-0.249977111117893"/>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top style="thin">
        <color theme="0" tint="-0.499984740745262"/>
      </top>
      <bottom style="thin">
        <color theme="0" tint="-0.249977111117893"/>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249977111117893"/>
      </right>
      <top style="thin">
        <color theme="0" tint="-0.499984740745262"/>
      </top>
      <bottom style="thin">
        <color theme="0" tint="-0.499984740745262"/>
      </bottom>
      <diagonal/>
    </border>
    <border>
      <left style="thin">
        <color theme="0" tint="-0.249977111117893"/>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249977111117893"/>
      </right>
      <top/>
      <bottom style="thin">
        <color theme="0" tint="-0.249977111117893"/>
      </bottom>
      <diagonal/>
    </border>
    <border>
      <left style="thin">
        <color theme="0" tint="-0.499984740745262"/>
      </left>
      <right style="thin">
        <color theme="0" tint="-0.249977111117893"/>
      </right>
      <top style="thin">
        <color theme="0" tint="-0.499984740745262"/>
      </top>
      <bottom style="thin">
        <color theme="0" tint="-0.249977111117893"/>
      </bottom>
      <diagonal/>
    </border>
    <border>
      <left style="thin">
        <color theme="0" tint="-0.249977111117893"/>
      </left>
      <right style="thin">
        <color theme="0" tint="-0.249977111117893"/>
      </right>
      <top style="thin">
        <color theme="0" tint="-0.499984740745262"/>
      </top>
      <bottom style="thin">
        <color theme="0" tint="-0.249977111117893"/>
      </bottom>
      <diagonal/>
    </border>
    <border>
      <left style="thin">
        <color theme="0" tint="-0.249977111117893"/>
      </left>
      <right style="thin">
        <color theme="0" tint="-0.499984740745262"/>
      </right>
      <top style="thin">
        <color theme="0" tint="-0.499984740745262"/>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499984740745262"/>
      </right>
      <top/>
      <bottom style="thin">
        <color theme="0" tint="-0.249977111117893"/>
      </bottom>
      <diagonal/>
    </border>
    <border>
      <left style="thin">
        <color theme="0" tint="-0.499984740745262"/>
      </left>
      <right style="thin">
        <color theme="0" tint="-0.249977111117893"/>
      </right>
      <top/>
      <bottom style="thin">
        <color theme="0" tint="-0.499984740745262"/>
      </bottom>
      <diagonal/>
    </border>
    <border>
      <left/>
      <right/>
      <top style="thin">
        <color theme="0" tint="-0.499984740745262"/>
      </top>
      <bottom style="thin">
        <color theme="0" tint="-0.249977111117893"/>
      </bottom>
      <diagonal/>
    </border>
    <border>
      <left/>
      <right style="thin">
        <color theme="0" tint="-0.499984740745262"/>
      </right>
      <top style="thin">
        <color theme="0" tint="-0.499984740745262"/>
      </top>
      <bottom style="thin">
        <color theme="0" tint="-0.249977111117893"/>
      </bottom>
      <diagonal/>
    </border>
    <border>
      <left style="thin">
        <color indexed="64"/>
      </left>
      <right style="thin">
        <color indexed="64"/>
      </right>
      <top style="thin">
        <color indexed="64"/>
      </top>
      <bottom style="thin">
        <color indexed="64"/>
      </bottom>
      <diagonal/>
    </border>
    <border>
      <left style="thin">
        <color theme="0" tint="-0.249977111117893"/>
      </left>
      <right/>
      <top/>
      <bottom/>
      <diagonal/>
    </border>
    <border>
      <left style="thin">
        <color theme="1" tint="0.499984740745262"/>
      </left>
      <right style="thin">
        <color theme="0" tint="-0.499984740745262"/>
      </right>
      <top style="thin">
        <color theme="0" tint="-0.499984740745262"/>
      </top>
      <bottom style="thin">
        <color theme="0" tint="-0.249977111117893"/>
      </bottom>
      <diagonal/>
    </border>
    <border>
      <left/>
      <right style="thin">
        <color theme="0" tint="-0.499984740745262"/>
      </right>
      <top/>
      <bottom/>
      <diagonal/>
    </border>
    <border>
      <left style="thin">
        <color theme="1" tint="0.499984740745262"/>
      </left>
      <right style="thin">
        <color theme="0" tint="-0.249977111117893"/>
      </right>
      <top/>
      <bottom style="thin">
        <color theme="0" tint="-0.249977111117893"/>
      </bottom>
      <diagonal/>
    </border>
    <border>
      <left style="thin">
        <color theme="1" tint="0.499984740745262"/>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style="thin">
        <color theme="0" tint="-0.499984740745262"/>
      </left>
      <right/>
      <top/>
      <bottom style="thin">
        <color theme="0" tint="-0.499984740745262"/>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46">
    <xf numFmtId="0" fontId="0" fillId="0" borderId="0" xfId="0"/>
    <xf numFmtId="2" fontId="2" fillId="0" borderId="0" xfId="0" applyNumberFormat="1" applyFont="1" applyAlignment="1">
      <alignment wrapText="1"/>
    </xf>
    <xf numFmtId="0" fontId="4" fillId="0" borderId="0" xfId="0" applyFont="1"/>
    <xf numFmtId="0" fontId="7" fillId="3" borderId="0" xfId="0" applyFont="1" applyFill="1"/>
    <xf numFmtId="0" fontId="8" fillId="3" borderId="0" xfId="0" applyFont="1" applyFill="1"/>
    <xf numFmtId="0" fontId="9" fillId="0" borderId="0" xfId="0" applyFont="1"/>
    <xf numFmtId="0" fontId="10" fillId="0" borderId="0" xfId="0" applyFont="1"/>
    <xf numFmtId="0" fontId="11" fillId="0" borderId="0" xfId="0" applyFont="1"/>
    <xf numFmtId="0" fontId="4" fillId="0" borderId="0" xfId="0" applyFont="1" applyAlignment="1">
      <alignment wrapText="1"/>
    </xf>
    <xf numFmtId="0" fontId="4" fillId="0" borderId="0" xfId="0" applyFont="1" applyBorder="1"/>
    <xf numFmtId="0" fontId="12" fillId="2" borderId="18" xfId="0" applyFont="1" applyFill="1" applyBorder="1"/>
    <xf numFmtId="0" fontId="12" fillId="2" borderId="24" xfId="0" applyFont="1" applyFill="1" applyBorder="1"/>
    <xf numFmtId="0" fontId="12" fillId="2" borderId="28" xfId="0" applyFont="1" applyFill="1" applyBorder="1"/>
    <xf numFmtId="0" fontId="5" fillId="0" borderId="6" xfId="0" applyFont="1" applyBorder="1" applyAlignment="1">
      <alignment horizontal="left" vertical="center"/>
    </xf>
    <xf numFmtId="0" fontId="5" fillId="0" borderId="0" xfId="0" applyFont="1" applyBorder="1"/>
    <xf numFmtId="0" fontId="4" fillId="0" borderId="29" xfId="0" applyFont="1" applyBorder="1" applyAlignment="1">
      <alignment wrapText="1"/>
    </xf>
    <xf numFmtId="0" fontId="4" fillId="0" borderId="0" xfId="0" applyFont="1" applyFill="1" applyBorder="1"/>
    <xf numFmtId="0" fontId="5" fillId="0" borderId="3" xfId="0" applyFont="1" applyBorder="1" applyAlignment="1">
      <alignment horizontal="left" vertical="center"/>
    </xf>
    <xf numFmtId="0" fontId="5" fillId="0" borderId="13" xfId="0" applyFont="1" applyBorder="1"/>
    <xf numFmtId="0" fontId="4" fillId="0" borderId="14" xfId="0" applyFont="1" applyBorder="1" applyAlignment="1">
      <alignment wrapText="1"/>
    </xf>
    <xf numFmtId="0" fontId="5" fillId="0" borderId="30" xfId="0" applyFont="1" applyBorder="1"/>
    <xf numFmtId="0" fontId="5" fillId="0" borderId="31" xfId="0" applyFont="1" applyBorder="1"/>
    <xf numFmtId="0" fontId="12" fillId="2" borderId="9" xfId="0" applyFont="1" applyFill="1" applyBorder="1"/>
    <xf numFmtId="0" fontId="4" fillId="0" borderId="32" xfId="0" applyFont="1" applyBorder="1"/>
    <xf numFmtId="0" fontId="4" fillId="0" borderId="33" xfId="0" applyFont="1" applyBorder="1"/>
    <xf numFmtId="0" fontId="13" fillId="0" borderId="0" xfId="0" applyFont="1"/>
    <xf numFmtId="0" fontId="4" fillId="0" borderId="9" xfId="0" applyFont="1" applyBorder="1"/>
    <xf numFmtId="0" fontId="12" fillId="2" borderId="6" xfId="0" applyFont="1" applyFill="1" applyBorder="1"/>
    <xf numFmtId="0" fontId="5" fillId="0" borderId="6" xfId="0" applyFont="1" applyBorder="1"/>
    <xf numFmtId="1" fontId="4" fillId="0" borderId="0" xfId="0" applyNumberFormat="1" applyFont="1"/>
    <xf numFmtId="0" fontId="5" fillId="0" borderId="3" xfId="0" applyFont="1" applyBorder="1"/>
    <xf numFmtId="2" fontId="4" fillId="0" borderId="0" xfId="0" applyNumberFormat="1" applyFont="1"/>
    <xf numFmtId="0" fontId="12" fillId="2" borderId="26" xfId="0" applyFont="1" applyFill="1" applyBorder="1"/>
    <xf numFmtId="0" fontId="6" fillId="2" borderId="26"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5" fillId="4" borderId="26" xfId="0" applyFont="1" applyFill="1" applyBorder="1"/>
    <xf numFmtId="9" fontId="6" fillId="4" borderId="26" xfId="0" applyNumberFormat="1" applyFont="1" applyFill="1" applyBorder="1" applyAlignment="1">
      <alignment horizontal="center" vertical="center"/>
    </xf>
    <xf numFmtId="9" fontId="4" fillId="4" borderId="26" xfId="0" applyNumberFormat="1" applyFont="1" applyFill="1" applyBorder="1"/>
    <xf numFmtId="0" fontId="5" fillId="5" borderId="26" xfId="0" applyFont="1" applyFill="1" applyBorder="1"/>
    <xf numFmtId="9" fontId="6" fillId="5" borderId="26" xfId="0" applyNumberFormat="1" applyFont="1" applyFill="1" applyBorder="1" applyAlignment="1">
      <alignment horizontal="center" vertical="center"/>
    </xf>
    <xf numFmtId="0" fontId="4" fillId="5" borderId="26" xfId="0" applyFont="1" applyFill="1" applyBorder="1"/>
    <xf numFmtId="9" fontId="4" fillId="5" borderId="26" xfId="0" applyNumberFormat="1" applyFont="1" applyFill="1" applyBorder="1"/>
    <xf numFmtId="0" fontId="14" fillId="6" borderId="26" xfId="0" applyFont="1" applyFill="1" applyBorder="1"/>
    <xf numFmtId="9" fontId="15" fillId="6" borderId="26" xfId="0" applyNumberFormat="1" applyFont="1" applyFill="1" applyBorder="1" applyAlignment="1">
      <alignment horizontal="center" vertical="center"/>
    </xf>
    <xf numFmtId="0" fontId="16" fillId="6" borderId="26" xfId="0" applyFont="1" applyFill="1" applyBorder="1"/>
    <xf numFmtId="9" fontId="16" fillId="6" borderId="26" xfId="0" applyNumberFormat="1" applyFont="1" applyFill="1" applyBorder="1"/>
    <xf numFmtId="0" fontId="14" fillId="7" borderId="26" xfId="0" applyFont="1" applyFill="1" applyBorder="1"/>
    <xf numFmtId="9" fontId="15" fillId="7" borderId="26" xfId="0" applyNumberFormat="1" applyFont="1" applyFill="1" applyBorder="1" applyAlignment="1">
      <alignment horizontal="center" vertical="center"/>
    </xf>
    <xf numFmtId="0" fontId="16" fillId="7" borderId="26" xfId="0" applyFont="1" applyFill="1" applyBorder="1"/>
    <xf numFmtId="9" fontId="16" fillId="7" borderId="26" xfId="0" applyNumberFormat="1" applyFont="1" applyFill="1" applyBorder="1"/>
    <xf numFmtId="0" fontId="5" fillId="2" borderId="26" xfId="0" applyFont="1" applyFill="1" applyBorder="1"/>
    <xf numFmtId="9" fontId="6" fillId="2" borderId="26" xfId="0" applyNumberFormat="1" applyFont="1" applyFill="1" applyBorder="1" applyAlignment="1">
      <alignment horizontal="center" vertical="center"/>
    </xf>
    <xf numFmtId="0" fontId="4" fillId="2" borderId="26" xfId="0" applyFont="1" applyFill="1" applyBorder="1"/>
    <xf numFmtId="9" fontId="4" fillId="2" borderId="26" xfId="0" applyNumberFormat="1" applyFont="1" applyFill="1" applyBorder="1"/>
    <xf numFmtId="0" fontId="5" fillId="8" borderId="26" xfId="0" applyFont="1" applyFill="1" applyBorder="1"/>
    <xf numFmtId="9" fontId="6" fillId="8" borderId="26" xfId="0" applyNumberFormat="1" applyFont="1" applyFill="1" applyBorder="1" applyAlignment="1">
      <alignment horizontal="center" vertical="center"/>
    </xf>
    <xf numFmtId="0" fontId="4" fillId="8" borderId="26" xfId="0" applyFont="1" applyFill="1" applyBorder="1"/>
    <xf numFmtId="9" fontId="4" fillId="8" borderId="26" xfId="0" applyNumberFormat="1" applyFont="1" applyFill="1" applyBorder="1"/>
    <xf numFmtId="0" fontId="5" fillId="9" borderId="26" xfId="0" applyFont="1" applyFill="1" applyBorder="1"/>
    <xf numFmtId="9" fontId="6" fillId="9" borderId="26" xfId="0" applyNumberFormat="1" applyFont="1" applyFill="1" applyBorder="1" applyAlignment="1">
      <alignment horizontal="center" vertical="center"/>
    </xf>
    <xf numFmtId="0" fontId="4" fillId="9" borderId="26" xfId="0" applyFont="1" applyFill="1" applyBorder="1"/>
    <xf numFmtId="9" fontId="4" fillId="9" borderId="26" xfId="0" applyNumberFormat="1" applyFont="1" applyFill="1" applyBorder="1"/>
    <xf numFmtId="0" fontId="11" fillId="2" borderId="6" xfId="0" applyFont="1" applyFill="1" applyBorder="1"/>
    <xf numFmtId="0" fontId="4" fillId="0" borderId="6" xfId="0" applyFont="1" applyBorder="1"/>
    <xf numFmtId="0" fontId="4" fillId="0" borderId="3" xfId="0" applyFont="1" applyBorder="1"/>
    <xf numFmtId="9" fontId="4" fillId="0" borderId="1" xfId="0" applyNumberFormat="1" applyFont="1" applyBorder="1" applyAlignment="1">
      <alignment horizontal="center" vertical="center"/>
    </xf>
    <xf numFmtId="0" fontId="17" fillId="0" borderId="0" xfId="2" applyFont="1"/>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2" fontId="5" fillId="0" borderId="5" xfId="0" applyNumberFormat="1" applyFont="1" applyBorder="1" applyAlignment="1">
      <alignment horizontal="center" vertical="center"/>
    </xf>
    <xf numFmtId="2" fontId="4" fillId="0" borderId="0" xfId="0" applyNumberFormat="1" applyFont="1" applyAlignment="1">
      <alignment horizontal="center"/>
    </xf>
    <xf numFmtId="0" fontId="4" fillId="0" borderId="0" xfId="0" applyFont="1" applyAlignment="1">
      <alignment horizontal="center"/>
    </xf>
    <xf numFmtId="11" fontId="4" fillId="0" borderId="0" xfId="0" applyNumberFormat="1" applyFont="1"/>
    <xf numFmtId="2" fontId="5" fillId="0" borderId="4" xfId="0" applyNumberFormat="1" applyFont="1" applyBorder="1" applyAlignment="1">
      <alignment horizontal="center" vertical="center"/>
    </xf>
    <xf numFmtId="0" fontId="12" fillId="2" borderId="26" xfId="0" applyFont="1" applyFill="1" applyBorder="1" applyAlignment="1">
      <alignment horizontal="center" vertical="center"/>
    </xf>
    <xf numFmtId="9" fontId="5" fillId="4" borderId="26" xfId="0" applyNumberFormat="1" applyFont="1" applyFill="1" applyBorder="1" applyAlignment="1">
      <alignment horizontal="center" vertical="center"/>
    </xf>
    <xf numFmtId="9" fontId="5" fillId="5" borderId="26" xfId="0" applyNumberFormat="1" applyFont="1" applyFill="1" applyBorder="1" applyAlignment="1">
      <alignment horizontal="center" vertical="center"/>
    </xf>
    <xf numFmtId="9" fontId="14" fillId="6" borderId="26" xfId="0" applyNumberFormat="1" applyFont="1" applyFill="1" applyBorder="1" applyAlignment="1">
      <alignment horizontal="center" vertical="center"/>
    </xf>
    <xf numFmtId="9" fontId="14" fillId="7" borderId="26" xfId="0" applyNumberFormat="1" applyFont="1" applyFill="1" applyBorder="1" applyAlignment="1">
      <alignment horizontal="center" vertical="center"/>
    </xf>
    <xf numFmtId="9" fontId="5" fillId="2" borderId="26" xfId="0" applyNumberFormat="1" applyFont="1" applyFill="1" applyBorder="1" applyAlignment="1">
      <alignment horizontal="center" vertical="center"/>
    </xf>
    <xf numFmtId="9" fontId="5" fillId="8" borderId="26" xfId="0" applyNumberFormat="1" applyFont="1" applyFill="1" applyBorder="1" applyAlignment="1">
      <alignment horizontal="center" vertical="center"/>
    </xf>
    <xf numFmtId="9" fontId="5" fillId="9" borderId="26" xfId="0" applyNumberFormat="1" applyFont="1" applyFill="1" applyBorder="1" applyAlignment="1">
      <alignment horizontal="center" vertical="center"/>
    </xf>
    <xf numFmtId="0" fontId="4" fillId="0" borderId="10" xfId="0" applyFont="1" applyBorder="1"/>
    <xf numFmtId="0" fontId="4" fillId="0" borderId="7" xfId="0" applyFont="1" applyBorder="1"/>
    <xf numFmtId="11" fontId="5" fillId="0" borderId="5" xfId="0" applyNumberFormat="1" applyFont="1" applyBorder="1" applyAlignment="1">
      <alignment horizontal="center" vertical="center"/>
    </xf>
    <xf numFmtId="11" fontId="5" fillId="0" borderId="4" xfId="0" applyNumberFormat="1" applyFont="1" applyBorder="1" applyAlignment="1">
      <alignment horizontal="center" vertical="center"/>
    </xf>
    <xf numFmtId="0" fontId="12" fillId="2" borderId="3" xfId="0" applyFont="1" applyFill="1" applyBorder="1"/>
    <xf numFmtId="2" fontId="5" fillId="2" borderId="2"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0" fontId="7" fillId="3" borderId="0" xfId="0" applyFont="1" applyFill="1" applyAlignment="1"/>
    <xf numFmtId="0" fontId="8" fillId="3" borderId="0" xfId="0" applyFont="1" applyFill="1" applyAlignment="1"/>
    <xf numFmtId="0" fontId="9" fillId="0" borderId="0" xfId="0" applyFont="1" applyAlignment="1"/>
    <xf numFmtId="0" fontId="4" fillId="0" borderId="0" xfId="0" applyFont="1" applyAlignment="1"/>
    <xf numFmtId="0" fontId="12" fillId="2" borderId="15" xfId="0" applyFont="1" applyFill="1" applyBorder="1" applyAlignment="1">
      <alignment wrapText="1"/>
    </xf>
    <xf numFmtId="0" fontId="12" fillId="2" borderId="16" xfId="0" applyFont="1" applyFill="1" applyBorder="1" applyAlignment="1" applyProtection="1">
      <alignment horizontal="center" vertical="center" wrapText="1"/>
      <protection locked="0"/>
    </xf>
    <xf numFmtId="9" fontId="4" fillId="0" borderId="0" xfId="1" applyFont="1" applyAlignment="1">
      <alignment wrapText="1"/>
    </xf>
    <xf numFmtId="0" fontId="5" fillId="0" borderId="17" xfId="0" applyFont="1" applyFill="1" applyBorder="1" applyAlignment="1">
      <alignment wrapText="1"/>
    </xf>
    <xf numFmtId="0" fontId="5" fillId="0" borderId="0" xfId="0" applyFont="1" applyFill="1" applyBorder="1" applyAlignment="1">
      <alignment wrapText="1"/>
    </xf>
    <xf numFmtId="0" fontId="18" fillId="0" borderId="0" xfId="0" applyFont="1" applyAlignment="1">
      <alignment wrapText="1"/>
    </xf>
    <xf numFmtId="0" fontId="12" fillId="2" borderId="18" xfId="0" applyFont="1" applyFill="1" applyBorder="1" applyAlignment="1">
      <alignment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2" fontId="5" fillId="0" borderId="21" xfId="0" applyNumberFormat="1" applyFont="1" applyFill="1" applyBorder="1" applyAlignment="1">
      <alignment horizontal="center" vertical="center" wrapText="1"/>
    </xf>
    <xf numFmtId="2" fontId="5" fillId="0" borderId="22" xfId="0" applyNumberFormat="1" applyFont="1" applyFill="1" applyBorder="1" applyAlignment="1">
      <alignment horizontal="center" vertical="center" wrapText="1"/>
    </xf>
    <xf numFmtId="0" fontId="5" fillId="0" borderId="6" xfId="0" applyFont="1" applyBorder="1" applyAlignment="1">
      <alignment wrapText="1"/>
    </xf>
    <xf numFmtId="9" fontId="5" fillId="0" borderId="5"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19" fillId="0" borderId="6" xfId="0" applyFont="1" applyBorder="1" applyAlignment="1">
      <alignment wrapText="1"/>
    </xf>
    <xf numFmtId="164" fontId="5" fillId="0" borderId="5"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19" fillId="0" borderId="23" xfId="0" applyFont="1" applyFill="1" applyBorder="1" applyAlignment="1">
      <alignment wrapText="1"/>
    </xf>
    <xf numFmtId="2" fontId="4" fillId="0" borderId="13" xfId="0" applyNumberFormat="1" applyFont="1" applyBorder="1" applyAlignment="1">
      <alignment horizontal="center" wrapText="1"/>
    </xf>
    <xf numFmtId="164" fontId="5" fillId="0" borderId="1" xfId="0" applyNumberFormat="1" applyFont="1" applyBorder="1" applyAlignment="1">
      <alignment horizontal="center" vertical="center" wrapText="1"/>
    </xf>
    <xf numFmtId="0" fontId="19" fillId="0" borderId="3" xfId="0" applyFont="1" applyBorder="1" applyAlignment="1">
      <alignment wrapText="1"/>
    </xf>
    <xf numFmtId="2" fontId="5" fillId="0" borderId="2"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1" fontId="4" fillId="0" borderId="0" xfId="0" applyNumberFormat="1" applyFont="1" applyAlignment="1">
      <alignment wrapText="1"/>
    </xf>
    <xf numFmtId="165" fontId="4" fillId="0" borderId="0" xfId="0" applyNumberFormat="1" applyFont="1" applyAlignment="1">
      <alignment wrapText="1"/>
    </xf>
    <xf numFmtId="165" fontId="5" fillId="2" borderId="27" xfId="0" applyNumberFormat="1" applyFont="1" applyFill="1" applyBorder="1" applyAlignment="1">
      <alignment horizontal="center" vertical="center"/>
    </xf>
    <xf numFmtId="0" fontId="4" fillId="0" borderId="11" xfId="0" applyFont="1" applyBorder="1"/>
    <xf numFmtId="0" fontId="20" fillId="0" borderId="12" xfId="0" applyFont="1" applyBorder="1"/>
    <xf numFmtId="164" fontId="5" fillId="0" borderId="5" xfId="0" applyNumberFormat="1" applyFont="1" applyBorder="1" applyAlignment="1">
      <alignment horizontal="center" vertical="center"/>
    </xf>
    <xf numFmtId="164" fontId="5" fillId="0" borderId="4" xfId="0" applyNumberFormat="1" applyFont="1" applyBorder="1" applyAlignment="1">
      <alignment horizontal="center" vertical="center"/>
    </xf>
    <xf numFmtId="2" fontId="5" fillId="0" borderId="0" xfId="0" applyNumberFormat="1" applyFont="1" applyFill="1" applyBorder="1" applyAlignment="1">
      <alignment horizontal="center" vertical="center"/>
    </xf>
    <xf numFmtId="164" fontId="5" fillId="0" borderId="2" xfId="0" applyNumberFormat="1" applyFont="1" applyBorder="1" applyAlignment="1">
      <alignment horizontal="center" vertical="center"/>
    </xf>
    <xf numFmtId="2" fontId="5" fillId="0" borderId="2" xfId="0" applyNumberFormat="1" applyFont="1" applyBorder="1" applyAlignment="1">
      <alignment horizontal="center" vertical="center"/>
    </xf>
    <xf numFmtId="164" fontId="5" fillId="0" borderId="1" xfId="0" applyNumberFormat="1" applyFont="1" applyBorder="1" applyAlignment="1">
      <alignment horizontal="center" vertical="center"/>
    </xf>
    <xf numFmtId="165" fontId="4" fillId="0" borderId="0" xfId="0" applyNumberFormat="1" applyFont="1"/>
    <xf numFmtId="0" fontId="20" fillId="0" borderId="9" xfId="0" applyFont="1" applyBorder="1"/>
    <xf numFmtId="2" fontId="4" fillId="0" borderId="13" xfId="0" applyNumberFormat="1" applyFont="1" applyBorder="1" applyAlignment="1">
      <alignment horizontal="center"/>
    </xf>
    <xf numFmtId="2" fontId="4" fillId="0" borderId="14" xfId="0" applyNumberFormat="1" applyFont="1" applyBorder="1" applyAlignment="1">
      <alignment horizontal="center"/>
    </xf>
    <xf numFmtId="0" fontId="21" fillId="0" borderId="0" xfId="0" applyFont="1" applyAlignment="1">
      <alignment vertical="center"/>
    </xf>
    <xf numFmtId="0" fontId="4" fillId="0" borderId="13" xfId="0" applyFont="1" applyBorder="1" applyAlignment="1">
      <alignment horizontal="left" wrapText="1"/>
    </xf>
    <xf numFmtId="0" fontId="4" fillId="0" borderId="14" xfId="0" applyFont="1" applyBorder="1" applyAlignment="1">
      <alignment horizontal="left" wrapText="1"/>
    </xf>
    <xf numFmtId="0" fontId="12" fillId="2" borderId="8" xfId="0" applyFont="1" applyFill="1" applyBorder="1" applyAlignment="1">
      <alignment horizontal="left"/>
    </xf>
    <xf numFmtId="0" fontId="12" fillId="2" borderId="7" xfId="0" applyFont="1" applyFill="1" applyBorder="1" applyAlignment="1">
      <alignment horizontal="left"/>
    </xf>
    <xf numFmtId="0" fontId="4" fillId="0" borderId="0" xfId="0" applyFont="1" applyBorder="1" applyAlignment="1">
      <alignment horizontal="left"/>
    </xf>
    <xf numFmtId="0" fontId="4" fillId="0" borderId="29" xfId="0" applyFont="1" applyBorder="1" applyAlignment="1">
      <alignment horizontal="left"/>
    </xf>
    <xf numFmtId="0" fontId="11" fillId="0" borderId="24" xfId="0" applyFont="1" applyBorder="1" applyAlignment="1">
      <alignment horizontal="center"/>
    </xf>
    <xf numFmtId="0" fontId="11" fillId="0" borderId="25"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center" wrapText="1"/>
    </xf>
    <xf numFmtId="0" fontId="9" fillId="0" borderId="0" xfId="0" applyFont="1" applyAlignment="1">
      <alignment horizontal="left"/>
    </xf>
    <xf numFmtId="0" fontId="11" fillId="0" borderId="7" xfId="0" applyFont="1" applyBorder="1" applyAlignment="1">
      <alignment horizontal="center"/>
    </xf>
  </cellXfs>
  <cellStyles count="3">
    <cellStyle name="Hyperlink" xfId="2" builtinId="8"/>
    <cellStyle name="Normal" xfId="0" builtinId="0"/>
    <cellStyle name="Percent" xfId="1" builtinId="5"/>
  </cellStyles>
  <dxfs count="1">
    <dxf>
      <font>
        <color rgb="FFC00000"/>
      </font>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1933576</xdr:colOff>
      <xdr:row>0</xdr:row>
      <xdr:rowOff>451281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169622" cy="451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1</xdr:row>
      <xdr:rowOff>161925</xdr:rowOff>
    </xdr:from>
    <xdr:to>
      <xdr:col>8</xdr:col>
      <xdr:colOff>188595</xdr:colOff>
      <xdr:row>44</xdr:row>
      <xdr:rowOff>172849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400050"/>
          <a:ext cx="6017895" cy="77920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476574</xdr:colOff>
      <xdr:row>2</xdr:row>
      <xdr:rowOff>85725</xdr:rowOff>
    </xdr:from>
    <xdr:to>
      <xdr:col>6</xdr:col>
      <xdr:colOff>371475</xdr:colOff>
      <xdr:row>37</xdr:row>
      <xdr:rowOff>104525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574" y="514350"/>
          <a:ext cx="9600876" cy="6396047"/>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upport.office.com/en-us/article/define-and-solve-a-problem-by-using-solver-5d1a388f-079d-43ac-a7eb-f63e4592504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activeCell="A4" sqref="A4:B4"/>
    </sheetView>
  </sheetViews>
  <sheetFormatPr defaultColWidth="8.85546875" defaultRowHeight="14.25" x14ac:dyDescent="0.2"/>
  <cols>
    <col min="1" max="1" width="35.5703125" style="2" customWidth="1"/>
    <col min="2" max="2" width="127" style="2" customWidth="1"/>
    <col min="3" max="16384" width="8.85546875" style="2"/>
  </cols>
  <sheetData>
    <row r="1" spans="1:2" ht="43.9" customHeight="1" x14ac:dyDescent="0.2">
      <c r="B1" s="133" t="s">
        <v>123</v>
      </c>
    </row>
    <row r="2" spans="1:2" ht="18" x14ac:dyDescent="0.25">
      <c r="A2" s="3" t="s">
        <v>91</v>
      </c>
      <c r="B2" s="4"/>
    </row>
    <row r="3" spans="1:2" x14ac:dyDescent="0.2">
      <c r="A3" s="5" t="s">
        <v>122</v>
      </c>
    </row>
    <row r="4" spans="1:2" x14ac:dyDescent="0.2">
      <c r="A4" s="6" t="s">
        <v>86</v>
      </c>
    </row>
    <row r="5" spans="1:2" x14ac:dyDescent="0.2">
      <c r="A5" s="6"/>
    </row>
    <row r="6" spans="1:2" ht="15" x14ac:dyDescent="0.25">
      <c r="A6" s="7" t="s">
        <v>87</v>
      </c>
      <c r="B6" s="7" t="s">
        <v>70</v>
      </c>
    </row>
    <row r="7" spans="1:2" x14ac:dyDescent="0.2">
      <c r="A7" s="2" t="s">
        <v>103</v>
      </c>
      <c r="B7" s="8" t="str">
        <f>'Sub-Basin Map'!A2</f>
        <v>Map of sub-basins of Willamette Basin</v>
      </c>
    </row>
    <row r="8" spans="1:2" x14ac:dyDescent="0.2">
      <c r="A8" s="2" t="s">
        <v>92</v>
      </c>
      <c r="B8" s="8" t="str">
        <f>Flowchart!A2</f>
        <v>Shows the general flow of calculations among the individual sheets.</v>
      </c>
    </row>
    <row r="9" spans="1:2" x14ac:dyDescent="0.2">
      <c r="A9" s="2" t="s">
        <v>88</v>
      </c>
      <c r="B9" s="8" t="str">
        <f>Categories!A2</f>
        <v>Descriptions of total mercury source categories.</v>
      </c>
    </row>
    <row r="10" spans="1:2" x14ac:dyDescent="0.2">
      <c r="A10" s="2" t="s">
        <v>93</v>
      </c>
      <c r="B10" s="8" t="str">
        <f>'Allocation Optimize Final Basin'!A2</f>
        <v>Optimized percent reductions for entire basin. This sheet is linked to the "Allocation Optimize Final" sheet</v>
      </c>
    </row>
    <row r="11" spans="1:2" ht="28.5" x14ac:dyDescent="0.2">
      <c r="A11" s="2" t="s">
        <v>94</v>
      </c>
      <c r="B11" s="8" t="str">
        <f>'Allocation Optimize Final'!A2</f>
        <v>Optimized percent reductions for by HUC08. The "solver" tool in Excel is used to find the optimum percent reductions given the lower and upper limit constraints. This sheet uses data from the "Load Capacities" and "At-Source Loads" sheets as input.</v>
      </c>
    </row>
    <row r="12" spans="1:2" ht="42.75" x14ac:dyDescent="0.2">
      <c r="A12" s="2" t="s">
        <v>96</v>
      </c>
      <c r="B12" s="8" t="str">
        <f>'Allocation Loads'!A2</f>
        <v>At-source loads are defined as total mercury loads generated in the HUC. Loads from upstream HUCs are not included and instream processes (e.g., total mercury loads conversion to elemental mercury that escapes to the atmosphere) are not represented. This sheet uses data from the "Allocation Optimize Loads" and "At-Source Loads" sheets as input.</v>
      </c>
    </row>
    <row r="13" spans="1:2" ht="28.5" x14ac:dyDescent="0.2">
      <c r="A13" s="2" t="s">
        <v>89</v>
      </c>
      <c r="B13" s="8" t="str">
        <f>'Loading Capacities'!A2</f>
        <v>Load capacities for target surface water total mercury concentration (0.14 ng/L) to meet a fish tissue concentration of 0.40 mg/kg MeHg in the Northern Pikeminnow. This sheet uses data from the "At-Source Loads" and Delivered Loads" sheets as input.</v>
      </c>
    </row>
    <row r="14" spans="1:2" ht="28.5" x14ac:dyDescent="0.2">
      <c r="A14" s="2" t="s">
        <v>89</v>
      </c>
      <c r="B14" s="8" t="str">
        <f>'At-Source Loads'!A2</f>
        <v>At-source loads are defined as total mercury loads generated in the HUC. Loads from upstream HUCs are not included and instream processes (e.g., total mercury conversion to elemental mercury that escapes to the atmosphere) are not represented.</v>
      </c>
    </row>
    <row r="15" spans="1:2" ht="28.5" x14ac:dyDescent="0.2">
      <c r="A15" s="2" t="s">
        <v>90</v>
      </c>
      <c r="B15" s="8" t="str">
        <f>'Delivered Loads'!A2</f>
        <v>Delivered loads are defined as total mercury loads delivered to the specified HUC outlet. Loads from upstream HUCs are included and instream processes are represented.</v>
      </c>
    </row>
    <row r="16" spans="1:2" ht="28.5" x14ac:dyDescent="0.2">
      <c r="A16" s="2" t="s">
        <v>38</v>
      </c>
      <c r="B16" s="8" t="str">
        <f>'Delivery Ratios'!A2</f>
        <v>Delivery ratios to HUC outlets based on loading from all upstream HUCs. This sheet uses data from the "Delivered Loads" sheet as input.</v>
      </c>
    </row>
  </sheetData>
  <sheetProtection algorithmName="SHA-512" hashValue="JYJSRMnjjlvYjO/5wGhABeY/FdrSmaALWueM2PnGrksagHvZH9+LN2tuEkLRVLY9KwABz1hbq+sATjmuGBBkag==" saltValue="6jmVlKe3hF+jcGbXtlppVw==" spinCount="100000" sheet="1" objects="1" scenarios="1"/>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R15" sqref="R15"/>
    </sheetView>
  </sheetViews>
  <sheetFormatPr defaultColWidth="8.85546875" defaultRowHeight="14.25" x14ac:dyDescent="0.2"/>
  <cols>
    <col min="1" max="1" width="9.5703125" style="2" customWidth="1"/>
    <col min="2" max="2" width="36.7109375" style="2" customWidth="1"/>
    <col min="3" max="14" width="9.85546875" style="2" bestFit="1" customWidth="1"/>
    <col min="15" max="15" width="10.5703125" style="2" customWidth="1"/>
    <col min="16" max="17" width="9" style="2" bestFit="1" customWidth="1"/>
    <col min="18" max="16384" width="8.85546875" style="2"/>
  </cols>
  <sheetData>
    <row r="1" spans="1:17" s="4" customFormat="1" ht="18" x14ac:dyDescent="0.25">
      <c r="A1" s="3" t="s">
        <v>29</v>
      </c>
    </row>
    <row r="2" spans="1:17" x14ac:dyDescent="0.2">
      <c r="A2" s="25" t="s">
        <v>102</v>
      </c>
    </row>
    <row r="3" spans="1:17" x14ac:dyDescent="0.2">
      <c r="A3" s="25" t="s">
        <v>30</v>
      </c>
    </row>
    <row r="4" spans="1:17" x14ac:dyDescent="0.2">
      <c r="A4" s="25" t="s">
        <v>31</v>
      </c>
    </row>
    <row r="5" spans="1:17" x14ac:dyDescent="0.2">
      <c r="A5" s="144" t="s">
        <v>27</v>
      </c>
      <c r="B5" s="144"/>
      <c r="C5" s="144"/>
      <c r="D5" s="144"/>
      <c r="E5" s="144"/>
      <c r="F5" s="144"/>
      <c r="G5" s="144"/>
      <c r="H5" s="144"/>
      <c r="I5" s="144"/>
      <c r="J5" s="2" t="s">
        <v>25</v>
      </c>
    </row>
    <row r="7" spans="1:17" ht="15" x14ac:dyDescent="0.25">
      <c r="B7" s="26"/>
      <c r="C7" s="142" t="s">
        <v>26</v>
      </c>
      <c r="D7" s="142"/>
      <c r="E7" s="142"/>
      <c r="F7" s="142"/>
      <c r="G7" s="142"/>
      <c r="H7" s="142"/>
      <c r="I7" s="142"/>
      <c r="J7" s="142"/>
      <c r="K7" s="142"/>
      <c r="L7" s="142"/>
      <c r="M7" s="142"/>
      <c r="N7" s="142"/>
      <c r="O7" s="142"/>
      <c r="P7" s="142"/>
      <c r="Q7" s="83"/>
    </row>
    <row r="8" spans="1:17" x14ac:dyDescent="0.2">
      <c r="B8" s="27" t="s">
        <v>24</v>
      </c>
      <c r="C8" s="67">
        <v>17090001</v>
      </c>
      <c r="D8" s="67">
        <v>17090002</v>
      </c>
      <c r="E8" s="67">
        <v>17090003</v>
      </c>
      <c r="F8" s="67">
        <v>17090004</v>
      </c>
      <c r="G8" s="67">
        <v>17090005</v>
      </c>
      <c r="H8" s="67">
        <v>17090006</v>
      </c>
      <c r="I8" s="67">
        <v>17090007</v>
      </c>
      <c r="J8" s="67">
        <v>17090008</v>
      </c>
      <c r="K8" s="67">
        <v>17090009</v>
      </c>
      <c r="L8" s="67">
        <v>17090010</v>
      </c>
      <c r="M8" s="67">
        <v>17090011</v>
      </c>
      <c r="N8" s="67">
        <v>17090012</v>
      </c>
      <c r="O8" s="67" t="s">
        <v>23</v>
      </c>
      <c r="P8" s="67" t="s">
        <v>22</v>
      </c>
      <c r="Q8" s="68" t="s">
        <v>0</v>
      </c>
    </row>
    <row r="9" spans="1:17" x14ac:dyDescent="0.2">
      <c r="B9" s="28" t="s">
        <v>21</v>
      </c>
      <c r="C9" s="69">
        <v>6.4022874295009526E-3</v>
      </c>
      <c r="D9" s="69">
        <v>3.4446471494738409E-2</v>
      </c>
      <c r="E9" s="69">
        <v>0.61727853214546125</v>
      </c>
      <c r="F9" s="69">
        <v>1.2759952089489731E-2</v>
      </c>
      <c r="G9" s="69">
        <v>0.12240684857063282</v>
      </c>
      <c r="H9" s="69">
        <v>6.8407457967284022E-2</v>
      </c>
      <c r="I9" s="69">
        <v>1.4304945102925581</v>
      </c>
      <c r="J9" s="69">
        <v>0.23784535786975744</v>
      </c>
      <c r="K9" s="69">
        <v>0.14278712214319611</v>
      </c>
      <c r="L9" s="69">
        <v>0.15086897377933989</v>
      </c>
      <c r="M9" s="69">
        <v>3.2435037071855306E-2</v>
      </c>
      <c r="N9" s="69">
        <v>1.4215011191906535</v>
      </c>
      <c r="O9" s="69">
        <v>7.0975271487986366E-2</v>
      </c>
      <c r="P9" s="69">
        <v>7.7407465412258729E-4</v>
      </c>
      <c r="Q9" s="73">
        <f>SUM(N9:P9)</f>
        <v>1.4932504653327623</v>
      </c>
    </row>
    <row r="10" spans="1:17" x14ac:dyDescent="0.2">
      <c r="B10" s="28" t="s">
        <v>20</v>
      </c>
      <c r="C10" s="69">
        <v>0.59530519980740171</v>
      </c>
      <c r="D10" s="69">
        <v>1.2835847531083673</v>
      </c>
      <c r="E10" s="69">
        <v>4.6043172212100405</v>
      </c>
      <c r="F10" s="69">
        <v>2.2699712765930298</v>
      </c>
      <c r="G10" s="69">
        <v>3.9296526789157902</v>
      </c>
      <c r="H10" s="69">
        <v>2.2862684425978888</v>
      </c>
      <c r="I10" s="69">
        <v>9.1247998940954513</v>
      </c>
      <c r="J10" s="69">
        <v>0.31820973026452792</v>
      </c>
      <c r="K10" s="69">
        <v>1.0816998188814095</v>
      </c>
      <c r="L10" s="69">
        <v>0.20168146592010017</v>
      </c>
      <c r="M10" s="69">
        <v>1.7162535372431624</v>
      </c>
      <c r="N10" s="69">
        <v>10.53625877019147</v>
      </c>
      <c r="O10" s="69">
        <v>0.10916547014543874</v>
      </c>
      <c r="P10" s="69">
        <v>1.5383152736219867E-4</v>
      </c>
      <c r="Q10" s="73">
        <f t="shared" ref="Q10:Q29" si="0">SUM(N10:P10)</f>
        <v>10.64557807186427</v>
      </c>
    </row>
    <row r="11" spans="1:17" x14ac:dyDescent="0.2">
      <c r="B11" s="28" t="s">
        <v>19</v>
      </c>
      <c r="C11" s="69">
        <v>0.13665835532527823</v>
      </c>
      <c r="D11" s="69">
        <v>0.50729143711071412</v>
      </c>
      <c r="E11" s="69">
        <v>1.7644885231037621</v>
      </c>
      <c r="F11" s="69">
        <v>0.59612828964080677</v>
      </c>
      <c r="G11" s="69">
        <v>1.1594035154676141</v>
      </c>
      <c r="H11" s="69">
        <v>0.75702541509273114</v>
      </c>
      <c r="I11" s="69">
        <v>3.2422089676825596</v>
      </c>
      <c r="J11" s="69">
        <v>0.19499138810011737</v>
      </c>
      <c r="K11" s="69">
        <v>0.33562014614341029</v>
      </c>
      <c r="L11" s="69">
        <v>0.12742978285405254</v>
      </c>
      <c r="M11" s="69">
        <v>0.39837286020729401</v>
      </c>
      <c r="N11" s="69">
        <v>3.5320773440679236</v>
      </c>
      <c r="O11" s="69">
        <v>5.9339665550669586E-2</v>
      </c>
      <c r="P11" s="69">
        <v>1.1565175542482825E-4</v>
      </c>
      <c r="Q11" s="73">
        <f t="shared" si="0"/>
        <v>3.5915326613740182</v>
      </c>
    </row>
    <row r="12" spans="1:17" x14ac:dyDescent="0.2">
      <c r="B12" s="28" t="s">
        <v>18</v>
      </c>
      <c r="C12" s="69">
        <v>8.1680491261316115E-2</v>
      </c>
      <c r="D12" s="69">
        <v>0.15693098494554775</v>
      </c>
      <c r="E12" s="69">
        <v>1.7950638250111335</v>
      </c>
      <c r="F12" s="69">
        <v>0.12150383116940683</v>
      </c>
      <c r="G12" s="69">
        <v>0.32234470183226371</v>
      </c>
      <c r="H12" s="69">
        <v>0.16156071677516795</v>
      </c>
      <c r="I12" s="69">
        <v>4.3291441686415233</v>
      </c>
      <c r="J12" s="69">
        <v>0.3540625365166179</v>
      </c>
      <c r="K12" s="69">
        <v>0.35973102921584632</v>
      </c>
      <c r="L12" s="69">
        <v>0.69795313374067824</v>
      </c>
      <c r="M12" s="69">
        <v>0.28825248747372378</v>
      </c>
      <c r="N12" s="69">
        <v>5.598204173666554</v>
      </c>
      <c r="O12" s="69">
        <v>0.11735626766080183</v>
      </c>
      <c r="P12" s="69">
        <v>0.64416006059079889</v>
      </c>
      <c r="Q12" s="73">
        <f t="shared" si="0"/>
        <v>6.3597205019181544</v>
      </c>
    </row>
    <row r="13" spans="1:17" x14ac:dyDescent="0.2">
      <c r="B13" s="28" t="s">
        <v>17</v>
      </c>
      <c r="C13" s="69">
        <v>0.17636611124418661</v>
      </c>
      <c r="D13" s="69">
        <v>0.23053320685011328</v>
      </c>
      <c r="E13" s="69">
        <v>2.4863137961634973</v>
      </c>
      <c r="F13" s="69">
        <v>0.8895892656096327</v>
      </c>
      <c r="G13" s="69">
        <v>0.70686471359072789</v>
      </c>
      <c r="H13" s="69">
        <v>0.44902060053204457</v>
      </c>
      <c r="I13" s="69">
        <v>3.6941528355448225</v>
      </c>
      <c r="J13" s="69">
        <v>0.30062268073708187</v>
      </c>
      <c r="K13" s="69">
        <v>0.1938312003114829</v>
      </c>
      <c r="L13" s="69">
        <v>0.11146163174324961</v>
      </c>
      <c r="M13" s="69">
        <v>9.8161246702275148E-2</v>
      </c>
      <c r="N13" s="69">
        <v>3.7130909311305103</v>
      </c>
      <c r="O13" s="69">
        <v>9.8761705152897825E-2</v>
      </c>
      <c r="P13" s="69">
        <v>1.1966767708190893E-2</v>
      </c>
      <c r="Q13" s="73">
        <f t="shared" si="0"/>
        <v>3.8238194039915991</v>
      </c>
    </row>
    <row r="14" spans="1:17" x14ac:dyDescent="0.2">
      <c r="B14" s="28" t="s">
        <v>16</v>
      </c>
      <c r="C14" s="69">
        <v>7.5490868270483152E-2</v>
      </c>
      <c r="D14" s="69">
        <v>4.2035171869902202E-2</v>
      </c>
      <c r="E14" s="69">
        <v>0.55527874838455615</v>
      </c>
      <c r="F14" s="69">
        <v>8.9057625057941625E-2</v>
      </c>
      <c r="G14" s="69">
        <v>0.16545834227097986</v>
      </c>
      <c r="H14" s="69">
        <v>7.9192719450776466E-2</v>
      </c>
      <c r="I14" s="69">
        <v>1.3459643794335496</v>
      </c>
      <c r="J14" s="69">
        <v>5.6634443005079124E-2</v>
      </c>
      <c r="K14" s="69">
        <v>5.8078363063581176E-2</v>
      </c>
      <c r="L14" s="69">
        <v>6.6079780590709444E-2</v>
      </c>
      <c r="M14" s="69">
        <v>6.7898016526376392E-2</v>
      </c>
      <c r="N14" s="69">
        <v>1.5422161792251978</v>
      </c>
      <c r="O14" s="69">
        <v>1.6006349592240308E-2</v>
      </c>
      <c r="P14" s="69">
        <v>1.8128960974604324E-2</v>
      </c>
      <c r="Q14" s="73">
        <f t="shared" si="0"/>
        <v>1.5763514897920423</v>
      </c>
    </row>
    <row r="15" spans="1:17" x14ac:dyDescent="0.2">
      <c r="B15" s="28" t="s">
        <v>15</v>
      </c>
      <c r="C15" s="69">
        <v>5.5607819075116386E-3</v>
      </c>
      <c r="D15" s="69">
        <v>8.8634917042306072E-3</v>
      </c>
      <c r="E15" s="69">
        <v>0.31135446223021757</v>
      </c>
      <c r="F15" s="69">
        <v>2.8104059965141044E-2</v>
      </c>
      <c r="G15" s="69">
        <v>0.10350351912855199</v>
      </c>
      <c r="H15" s="69">
        <v>5.6154700587394406E-2</v>
      </c>
      <c r="I15" s="69">
        <v>0.99931524568466079</v>
      </c>
      <c r="J15" s="69">
        <v>0.20953035121849195</v>
      </c>
      <c r="K15" s="69">
        <v>0.17723976147527162</v>
      </c>
      <c r="L15" s="69">
        <v>0.10371409785976146</v>
      </c>
      <c r="M15" s="69">
        <v>4.0228448702785559E-2</v>
      </c>
      <c r="N15" s="69">
        <v>1.0115026246647016</v>
      </c>
      <c r="O15" s="69">
        <v>2.0387646955098083E-2</v>
      </c>
      <c r="P15" s="69">
        <v>2.3221293173904787E-4</v>
      </c>
      <c r="Q15" s="73">
        <f t="shared" si="0"/>
        <v>1.0321224845515389</v>
      </c>
    </row>
    <row r="16" spans="1:17" x14ac:dyDescent="0.2">
      <c r="B16" s="28" t="s">
        <v>14</v>
      </c>
      <c r="C16" s="69">
        <v>0.50727393371054019</v>
      </c>
      <c r="D16" s="69">
        <v>0.24053696497167087</v>
      </c>
      <c r="E16" s="69">
        <v>3.3488846729250512</v>
      </c>
      <c r="F16" s="69">
        <v>2.2886378366389204</v>
      </c>
      <c r="G16" s="69">
        <v>1.6874749239027129</v>
      </c>
      <c r="H16" s="69">
        <v>0.5714225992646369</v>
      </c>
      <c r="I16" s="69">
        <v>5.7709702301353962</v>
      </c>
      <c r="J16" s="69">
        <v>0.47358979195653722</v>
      </c>
      <c r="K16" s="69">
        <v>0.64236295272661281</v>
      </c>
      <c r="L16" s="69">
        <v>0.17311196508047549</v>
      </c>
      <c r="M16" s="69">
        <v>1.8800323669067409</v>
      </c>
      <c r="N16" s="69">
        <v>7.4435345695936421</v>
      </c>
      <c r="O16" s="69">
        <v>9.5447025474456659E-2</v>
      </c>
      <c r="P16" s="69">
        <v>4.6155335156066878E-4</v>
      </c>
      <c r="Q16" s="73">
        <f t="shared" si="0"/>
        <v>7.5394431484196591</v>
      </c>
    </row>
    <row r="17" spans="1:19" x14ac:dyDescent="0.2">
      <c r="B17" s="28" t="s">
        <v>13</v>
      </c>
      <c r="C17" s="69">
        <v>5.9438914924923293E-2</v>
      </c>
      <c r="D17" s="69">
        <v>7.3383396794741401E-2</v>
      </c>
      <c r="E17" s="69">
        <v>0.72711392226091542</v>
      </c>
      <c r="F17" s="69">
        <v>0.3757915205511565</v>
      </c>
      <c r="G17" s="69">
        <v>0.33376624352872797</v>
      </c>
      <c r="H17" s="69">
        <v>0.16357900099176914</v>
      </c>
      <c r="I17" s="69">
        <v>1.3942592238031075</v>
      </c>
      <c r="J17" s="69">
        <v>0.1862513507219036</v>
      </c>
      <c r="K17" s="69">
        <v>0.17985641385577661</v>
      </c>
      <c r="L17" s="69">
        <v>8.0003655046468725E-2</v>
      </c>
      <c r="M17" s="69">
        <v>0.24348557177629965</v>
      </c>
      <c r="N17" s="69">
        <v>1.5889758361181949</v>
      </c>
      <c r="O17" s="69">
        <v>4.1673297952589353E-2</v>
      </c>
      <c r="P17" s="69">
        <v>1.5837316302208537E-4</v>
      </c>
      <c r="Q17" s="73">
        <f t="shared" si="0"/>
        <v>1.6308075072338064</v>
      </c>
    </row>
    <row r="18" spans="1:19" x14ac:dyDescent="0.2">
      <c r="B18" s="28" t="s">
        <v>12</v>
      </c>
      <c r="C18" s="69">
        <v>3.9202382334006065E-3</v>
      </c>
      <c r="D18" s="69">
        <v>8.49944944394114E-3</v>
      </c>
      <c r="E18" s="69">
        <v>0.11993318430498699</v>
      </c>
      <c r="F18" s="69">
        <v>1.6657055983395688E-2</v>
      </c>
      <c r="G18" s="69">
        <v>1.8870998811667136E-2</v>
      </c>
      <c r="H18" s="69">
        <v>9.0446059454339141E-3</v>
      </c>
      <c r="I18" s="69">
        <v>0.29888844702833361</v>
      </c>
      <c r="J18" s="69">
        <v>3.6486639111377013E-2</v>
      </c>
      <c r="K18" s="69">
        <v>3.461821365952876E-2</v>
      </c>
      <c r="L18" s="69">
        <v>5.5916453059447271E-2</v>
      </c>
      <c r="M18" s="69">
        <v>2.1606472616281538E-2</v>
      </c>
      <c r="N18" s="69">
        <v>0.34262640758498142</v>
      </c>
      <c r="O18" s="69">
        <v>1.706399612130079E-2</v>
      </c>
      <c r="P18" s="69">
        <v>1.5459475349947818E-2</v>
      </c>
      <c r="Q18" s="73">
        <f t="shared" si="0"/>
        <v>0.37514987905622998</v>
      </c>
    </row>
    <row r="19" spans="1:19" x14ac:dyDescent="0.2">
      <c r="B19" s="28" t="s">
        <v>11</v>
      </c>
      <c r="C19" s="69">
        <v>4.1745726938630517E-2</v>
      </c>
      <c r="D19" s="69">
        <v>7.2121252231812719E-2</v>
      </c>
      <c r="E19" s="69">
        <v>1.1781298614220999</v>
      </c>
      <c r="F19" s="69">
        <v>0.23185770394832703</v>
      </c>
      <c r="G19" s="69">
        <v>0.41565681604386329</v>
      </c>
      <c r="H19" s="69">
        <v>0.25818133543242622</v>
      </c>
      <c r="I19" s="69">
        <v>2.4747387022010674</v>
      </c>
      <c r="J19" s="69">
        <v>0.32015149844880375</v>
      </c>
      <c r="K19" s="69">
        <v>0.40035364098685655</v>
      </c>
      <c r="L19" s="69">
        <v>0.10657092788205283</v>
      </c>
      <c r="M19" s="69">
        <v>0.13458201069005818</v>
      </c>
      <c r="N19" s="69">
        <v>2.5444933740271773</v>
      </c>
      <c r="O19" s="69">
        <v>7.3456984632122024E-2</v>
      </c>
      <c r="P19" s="69">
        <v>5.001595785401697E-3</v>
      </c>
      <c r="Q19" s="73">
        <f t="shared" si="0"/>
        <v>2.6229519544447006</v>
      </c>
    </row>
    <row r="20" spans="1:19" x14ac:dyDescent="0.2">
      <c r="B20" s="28" t="s">
        <v>10</v>
      </c>
      <c r="C20" s="69">
        <v>1.0268599037916023E-2</v>
      </c>
      <c r="D20" s="69">
        <v>0.12215490073301871</v>
      </c>
      <c r="E20" s="69">
        <v>2.2333651414646543</v>
      </c>
      <c r="F20" s="69">
        <v>2.8767751885800951E-2</v>
      </c>
      <c r="G20" s="69">
        <v>0.33875672338390755</v>
      </c>
      <c r="H20" s="69">
        <v>0.21062442124829589</v>
      </c>
      <c r="I20" s="69">
        <v>4.7833270965929966</v>
      </c>
      <c r="J20" s="69">
        <v>1.1057297188302768</v>
      </c>
      <c r="K20" s="69">
        <v>0.46559425283358935</v>
      </c>
      <c r="L20" s="69">
        <v>0.45084360750850494</v>
      </c>
      <c r="M20" s="69">
        <v>0.10426935014879989</v>
      </c>
      <c r="N20" s="69">
        <v>4.7448536301471602</v>
      </c>
      <c r="O20" s="69">
        <v>0.24074304829499263</v>
      </c>
      <c r="P20" s="69">
        <v>1.8106115643011195E-3</v>
      </c>
      <c r="Q20" s="73">
        <f t="shared" si="0"/>
        <v>4.9874072900064546</v>
      </c>
    </row>
    <row r="21" spans="1:19" x14ac:dyDescent="0.2">
      <c r="B21" s="28" t="s">
        <v>9</v>
      </c>
      <c r="C21" s="69">
        <v>0.28808697318058868</v>
      </c>
      <c r="D21" s="69">
        <v>0.55138704056689902</v>
      </c>
      <c r="E21" s="69">
        <v>6.0633379690998925</v>
      </c>
      <c r="F21" s="69">
        <v>1.1250722072518105</v>
      </c>
      <c r="G21" s="69">
        <v>3.14889719214528</v>
      </c>
      <c r="H21" s="69">
        <v>2.1024448686466863</v>
      </c>
      <c r="I21" s="69">
        <v>15.979726291871124</v>
      </c>
      <c r="J21" s="69">
        <v>3.1756011046412405</v>
      </c>
      <c r="K21" s="69">
        <v>3.0617847204101953</v>
      </c>
      <c r="L21" s="69">
        <v>1.3907171003481489</v>
      </c>
      <c r="M21" s="69">
        <v>1.1962373639023764</v>
      </c>
      <c r="N21" s="69">
        <v>16.788830843207609</v>
      </c>
      <c r="O21" s="69">
        <v>0.76607351982299809</v>
      </c>
      <c r="P21" s="69">
        <v>9.1499211328686903E-4</v>
      </c>
      <c r="Q21" s="73">
        <f t="shared" si="0"/>
        <v>17.555819355143896</v>
      </c>
    </row>
    <row r="22" spans="1:19" x14ac:dyDescent="0.2">
      <c r="B22" s="28" t="s">
        <v>8</v>
      </c>
      <c r="C22" s="69">
        <v>0.13586642598854576</v>
      </c>
      <c r="D22" s="69">
        <v>0.39992760658123488</v>
      </c>
      <c r="E22" s="69">
        <v>4.9966076685736436</v>
      </c>
      <c r="F22" s="69">
        <v>0.9696027382084591</v>
      </c>
      <c r="G22" s="69">
        <v>1.9792452965548912</v>
      </c>
      <c r="H22" s="69">
        <v>1.567726231613402</v>
      </c>
      <c r="I22" s="69">
        <v>11.643141043979764</v>
      </c>
      <c r="J22" s="69">
        <v>2.5941200160799904</v>
      </c>
      <c r="K22" s="69">
        <v>1.6022673128366081</v>
      </c>
      <c r="L22" s="69">
        <v>1.2014501113638796</v>
      </c>
      <c r="M22" s="69">
        <v>0.60225860522871444</v>
      </c>
      <c r="N22" s="69">
        <v>11.884597590985862</v>
      </c>
      <c r="O22" s="69">
        <v>0.57102359604522757</v>
      </c>
      <c r="P22" s="69">
        <v>6.9391650774168424E-4</v>
      </c>
      <c r="Q22" s="73">
        <f t="shared" si="0"/>
        <v>12.456315103538831</v>
      </c>
    </row>
    <row r="23" spans="1:19" x14ac:dyDescent="0.2">
      <c r="B23" s="28" t="s">
        <v>7</v>
      </c>
      <c r="C23" s="69">
        <v>1.4958060762094025E-2</v>
      </c>
      <c r="D23" s="69">
        <v>5.6625941803930553E-2</v>
      </c>
      <c r="E23" s="69">
        <v>0.69989165085678695</v>
      </c>
      <c r="F23" s="69">
        <v>3.5289755540222172E-2</v>
      </c>
      <c r="G23" s="69">
        <v>0.10645608120728056</v>
      </c>
      <c r="H23" s="69">
        <v>6.3712203891334987E-2</v>
      </c>
      <c r="I23" s="69">
        <v>1.5903859961973792</v>
      </c>
      <c r="J23" s="69">
        <v>0.28010239886293153</v>
      </c>
      <c r="K23" s="69">
        <v>0.2266602890695302</v>
      </c>
      <c r="L23" s="69">
        <v>0.16624137486240004</v>
      </c>
      <c r="M23" s="69">
        <v>0.13003711019155101</v>
      </c>
      <c r="N23" s="69">
        <v>1.8191351869532015</v>
      </c>
      <c r="O23" s="69">
        <v>8.6006229406080853E-2</v>
      </c>
      <c r="P23" s="69">
        <v>8.5394792002376971E-2</v>
      </c>
      <c r="Q23" s="73">
        <f t="shared" si="0"/>
        <v>1.9905362083616593</v>
      </c>
    </row>
    <row r="24" spans="1:19" x14ac:dyDescent="0.2">
      <c r="B24" s="28" t="s">
        <v>6</v>
      </c>
      <c r="C24" s="69">
        <v>5.5196236138877294E-2</v>
      </c>
      <c r="D24" s="69">
        <v>0.13960357250528935</v>
      </c>
      <c r="E24" s="69">
        <v>1.8046255283508472</v>
      </c>
      <c r="F24" s="69">
        <v>0.12283228840374291</v>
      </c>
      <c r="G24" s="69">
        <v>0.44484532090350515</v>
      </c>
      <c r="H24" s="69">
        <v>0.35984638520216206</v>
      </c>
      <c r="I24" s="69">
        <v>3.5230708233958001</v>
      </c>
      <c r="J24" s="69">
        <v>0.64683521723574078</v>
      </c>
      <c r="K24" s="69">
        <v>0.49548695596387243</v>
      </c>
      <c r="L24" s="69">
        <v>0.19127581540243432</v>
      </c>
      <c r="M24" s="69">
        <v>0.10396798711685164</v>
      </c>
      <c r="N24" s="69">
        <v>3.526268055793615</v>
      </c>
      <c r="O24" s="69">
        <v>0.12988839455642984</v>
      </c>
      <c r="P24" s="69">
        <v>1.0204056316926087E-2</v>
      </c>
      <c r="Q24" s="73">
        <f t="shared" si="0"/>
        <v>3.6663605066669711</v>
      </c>
    </row>
    <row r="25" spans="1:19" x14ac:dyDescent="0.2">
      <c r="B25" s="28" t="s">
        <v>5</v>
      </c>
      <c r="C25" s="69">
        <v>2.2438911098068288E-2</v>
      </c>
      <c r="D25" s="69">
        <v>5.7788778268540758E-2</v>
      </c>
      <c r="E25" s="69">
        <v>1.1949645932761128</v>
      </c>
      <c r="F25" s="69">
        <v>9.7165063316742795E-2</v>
      </c>
      <c r="G25" s="69">
        <v>2.9927432162570562E-2</v>
      </c>
      <c r="H25" s="69">
        <v>2.142183082447021E-2</v>
      </c>
      <c r="I25" s="69">
        <v>2.6190415361247714</v>
      </c>
      <c r="J25" s="69">
        <v>1.5327192624396462E-2</v>
      </c>
      <c r="K25" s="69">
        <v>0.10766060672223184</v>
      </c>
      <c r="L25" s="69">
        <v>0.82722961902281789</v>
      </c>
      <c r="M25" s="69">
        <v>0.17078875694017209</v>
      </c>
      <c r="N25" s="69">
        <v>3.1484394124184218</v>
      </c>
      <c r="O25" s="69">
        <v>4.6050809523860399E-3</v>
      </c>
      <c r="P25" s="69">
        <v>0.16441897745465461</v>
      </c>
      <c r="Q25" s="73">
        <f t="shared" si="0"/>
        <v>3.3174634708254622</v>
      </c>
    </row>
    <row r="26" spans="1:19" x14ac:dyDescent="0.2">
      <c r="B26" s="28" t="s">
        <v>4</v>
      </c>
      <c r="C26" s="69">
        <v>1.3945235508924583E-3</v>
      </c>
      <c r="D26" s="69">
        <v>1.4312938831644167E-3</v>
      </c>
      <c r="E26" s="69">
        <v>8.2613883340540539E-2</v>
      </c>
      <c r="F26" s="69">
        <v>0</v>
      </c>
      <c r="G26" s="69">
        <v>8.1605567510329005E-2</v>
      </c>
      <c r="H26" s="69">
        <v>4.5814725154147869E-2</v>
      </c>
      <c r="I26" s="69">
        <v>0.68101721085916678</v>
      </c>
      <c r="J26" s="69">
        <v>0.1747597112682239</v>
      </c>
      <c r="K26" s="69">
        <v>0.16451467465188457</v>
      </c>
      <c r="L26" s="69">
        <v>1.2668131835065211E-3</v>
      </c>
      <c r="M26" s="69">
        <v>2.5891669340040668E-2</v>
      </c>
      <c r="N26" s="69">
        <v>0.68554919669617709</v>
      </c>
      <c r="O26" s="69">
        <v>6.767159339400193E-2</v>
      </c>
      <c r="P26" s="69">
        <v>1.6011528478659942E-3</v>
      </c>
      <c r="Q26" s="73">
        <f t="shared" si="0"/>
        <v>0.75482194293804505</v>
      </c>
    </row>
    <row r="27" spans="1:19" x14ac:dyDescent="0.2">
      <c r="B27" s="28" t="s">
        <v>3</v>
      </c>
      <c r="C27" s="69">
        <v>0</v>
      </c>
      <c r="D27" s="69">
        <v>0.82425805105441807</v>
      </c>
      <c r="E27" s="69">
        <v>0.71622682858308495</v>
      </c>
      <c r="F27" s="69">
        <v>0</v>
      </c>
      <c r="G27" s="69">
        <v>0</v>
      </c>
      <c r="H27" s="69">
        <v>0</v>
      </c>
      <c r="I27" s="69">
        <v>0.62621885278254641</v>
      </c>
      <c r="J27" s="69">
        <v>0</v>
      </c>
      <c r="K27" s="69">
        <v>0</v>
      </c>
      <c r="L27" s="69">
        <v>0</v>
      </c>
      <c r="M27" s="69">
        <v>0</v>
      </c>
      <c r="N27" s="69">
        <v>0.60729726773286341</v>
      </c>
      <c r="O27" s="69">
        <v>0</v>
      </c>
      <c r="P27" s="69">
        <v>0</v>
      </c>
      <c r="Q27" s="73">
        <f t="shared" si="0"/>
        <v>0.60729726773286341</v>
      </c>
    </row>
    <row r="28" spans="1:19" x14ac:dyDescent="0.2">
      <c r="B28" s="28" t="s">
        <v>2</v>
      </c>
      <c r="C28" s="69">
        <v>7.2889369486249314E-3</v>
      </c>
      <c r="D28" s="69">
        <v>3.3211206475520895E-3</v>
      </c>
      <c r="E28" s="69">
        <v>0.21738606422526544</v>
      </c>
      <c r="F28" s="69">
        <v>0</v>
      </c>
      <c r="G28" s="69">
        <v>5.7416578432868667E-2</v>
      </c>
      <c r="H28" s="69">
        <v>3.2333122639645467E-2</v>
      </c>
      <c r="I28" s="69">
        <v>0.68404590337644067</v>
      </c>
      <c r="J28" s="69">
        <v>2.1879535868243771E-2</v>
      </c>
      <c r="K28" s="69">
        <v>3.7799142072499396E-2</v>
      </c>
      <c r="L28" s="69">
        <v>0.20546431586768521</v>
      </c>
      <c r="M28" s="69">
        <v>8.3306578360691469E-2</v>
      </c>
      <c r="N28" s="69">
        <v>0.97594492695250956</v>
      </c>
      <c r="O28" s="69">
        <v>5.0363278125066645E-3</v>
      </c>
      <c r="P28" s="69">
        <v>0</v>
      </c>
      <c r="Q28" s="73">
        <f t="shared" si="0"/>
        <v>0.98098125476501619</v>
      </c>
    </row>
    <row r="29" spans="1:19" x14ac:dyDescent="0.2">
      <c r="B29" s="28" t="s">
        <v>1</v>
      </c>
      <c r="C29" s="69">
        <v>0</v>
      </c>
      <c r="D29" s="69">
        <v>1.7222717150439999E-2</v>
      </c>
      <c r="E29" s="69">
        <v>0.27578994707995019</v>
      </c>
      <c r="F29" s="69">
        <v>8.7109594425966136E-2</v>
      </c>
      <c r="G29" s="69">
        <v>5.5244860930356654E-3</v>
      </c>
      <c r="H29" s="69">
        <v>2.4383694024212744E-4</v>
      </c>
      <c r="I29" s="69">
        <v>0.35387880476935707</v>
      </c>
      <c r="J29" s="69">
        <v>2.1755039934084736E-3</v>
      </c>
      <c r="K29" s="69">
        <v>8.2826804826329429E-3</v>
      </c>
      <c r="L29" s="69">
        <v>1.6208868759460438E-3</v>
      </c>
      <c r="M29" s="69">
        <v>0</v>
      </c>
      <c r="N29" s="69">
        <v>0.34960593039892274</v>
      </c>
      <c r="O29" s="69">
        <v>0</v>
      </c>
      <c r="P29" s="69">
        <v>0</v>
      </c>
      <c r="Q29" s="73">
        <f t="shared" si="0"/>
        <v>0.34960593039892274</v>
      </c>
    </row>
    <row r="30" spans="1:19" x14ac:dyDescent="0.2">
      <c r="A30" s="2" t="s">
        <v>25</v>
      </c>
      <c r="B30" s="86" t="s">
        <v>0</v>
      </c>
      <c r="C30" s="87">
        <f t="shared" ref="C30:P30" si="1">SUBTOTAL(109,C$9:C$29)</f>
        <v>2.2253415757587804</v>
      </c>
      <c r="D30" s="87">
        <f t="shared" si="1"/>
        <v>4.831947603720268</v>
      </c>
      <c r="E30" s="87">
        <f t="shared" si="1"/>
        <v>35.7929660240125</v>
      </c>
      <c r="F30" s="87">
        <f t="shared" si="1"/>
        <v>9.3858978162799929</v>
      </c>
      <c r="G30" s="87">
        <f t="shared" si="1"/>
        <v>15.158077980457204</v>
      </c>
      <c r="H30" s="87">
        <f t="shared" si="1"/>
        <v>9.2640252207979419</v>
      </c>
      <c r="I30" s="87">
        <f t="shared" si="1"/>
        <v>76.588790164492366</v>
      </c>
      <c r="J30" s="87">
        <f t="shared" si="1"/>
        <v>10.704906167354748</v>
      </c>
      <c r="K30" s="87">
        <f t="shared" si="1"/>
        <v>9.776229297506017</v>
      </c>
      <c r="L30" s="87">
        <f t="shared" si="1"/>
        <v>6.3109015119916592</v>
      </c>
      <c r="M30" s="87">
        <f t="shared" si="1"/>
        <v>7.3380654771460501</v>
      </c>
      <c r="N30" s="87">
        <f t="shared" si="1"/>
        <v>83.805003370747343</v>
      </c>
      <c r="O30" s="87">
        <f t="shared" si="1"/>
        <v>2.5906814710102251</v>
      </c>
      <c r="P30" s="87">
        <f t="shared" si="1"/>
        <v>0.96165105659932837</v>
      </c>
      <c r="Q30" s="88">
        <f>SUM(N30:P30)</f>
        <v>87.357335898356894</v>
      </c>
      <c r="S30" s="2" t="s">
        <v>25</v>
      </c>
    </row>
  </sheetData>
  <sheetProtection algorithmName="SHA-512" hashValue="H4gAK71U4h3UrsWHvUIBYj+Lpw7W32gdFrRHyQFhdJwcA34U+xh/Lpf0W3/1rRXpGHbLhaNPoXoIhUpRgzk6hw==" saltValue="TyxjTKB2iAU/+ko58nPo5A==" spinCount="100000" sheet="1" objects="1" scenarios="1"/>
  <autoFilter ref="B8:Q29"/>
  <mergeCells count="2">
    <mergeCell ref="A5:I5"/>
    <mergeCell ref="C7:P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workbookViewId="0">
      <selection activeCell="R6" sqref="R6"/>
    </sheetView>
  </sheetViews>
  <sheetFormatPr defaultColWidth="8.85546875" defaultRowHeight="14.25" x14ac:dyDescent="0.2"/>
  <cols>
    <col min="1" max="1" width="8.85546875" style="2"/>
    <col min="2" max="2" width="43" style="2" bestFit="1" customWidth="1"/>
    <col min="3" max="14" width="7.85546875" style="2" bestFit="1" customWidth="1"/>
    <col min="15" max="15" width="9.42578125" style="2" bestFit="1" customWidth="1"/>
    <col min="16" max="16" width="8.140625" style="2" bestFit="1" customWidth="1"/>
    <col min="17" max="16384" width="8.85546875" style="2"/>
  </cols>
  <sheetData>
    <row r="1" spans="1:22" s="4" customFormat="1" ht="18" x14ac:dyDescent="0.25">
      <c r="A1" s="3" t="s">
        <v>32</v>
      </c>
    </row>
    <row r="2" spans="1:22" x14ac:dyDescent="0.2">
      <c r="A2" s="5" t="s">
        <v>67</v>
      </c>
      <c r="B2" s="5"/>
    </row>
    <row r="3" spans="1:22" x14ac:dyDescent="0.2">
      <c r="B3" s="121"/>
    </row>
    <row r="6" spans="1:22" x14ac:dyDescent="0.2">
      <c r="B6" s="9"/>
    </row>
    <row r="7" spans="1:22" ht="15" x14ac:dyDescent="0.25">
      <c r="B7" s="122" t="s">
        <v>33</v>
      </c>
      <c r="C7" s="142" t="s">
        <v>26</v>
      </c>
      <c r="D7" s="142"/>
      <c r="E7" s="142"/>
      <c r="F7" s="142"/>
      <c r="G7" s="142"/>
      <c r="H7" s="142"/>
      <c r="I7" s="142"/>
      <c r="J7" s="142"/>
      <c r="K7" s="142"/>
      <c r="L7" s="142"/>
      <c r="M7" s="142"/>
      <c r="N7" s="142"/>
      <c r="O7" s="142"/>
      <c r="P7" s="145"/>
    </row>
    <row r="8" spans="1:22" x14ac:dyDescent="0.2">
      <c r="B8" s="27" t="s">
        <v>24</v>
      </c>
      <c r="C8" s="67">
        <v>17090001</v>
      </c>
      <c r="D8" s="67">
        <v>17090002</v>
      </c>
      <c r="E8" s="67">
        <v>17090003</v>
      </c>
      <c r="F8" s="67">
        <v>17090004</v>
      </c>
      <c r="G8" s="67">
        <v>17090005</v>
      </c>
      <c r="H8" s="67">
        <v>17090006</v>
      </c>
      <c r="I8" s="67">
        <v>17090007</v>
      </c>
      <c r="J8" s="67">
        <v>17090008</v>
      </c>
      <c r="K8" s="67">
        <v>17090009</v>
      </c>
      <c r="L8" s="67">
        <v>17090010</v>
      </c>
      <c r="M8" s="67">
        <v>17090011</v>
      </c>
      <c r="N8" s="67">
        <v>17090012</v>
      </c>
      <c r="O8" s="67" t="s">
        <v>23</v>
      </c>
      <c r="P8" s="68" t="s">
        <v>22</v>
      </c>
    </row>
    <row r="9" spans="1:22" x14ac:dyDescent="0.2">
      <c r="B9" s="28" t="s">
        <v>34</v>
      </c>
      <c r="C9" s="123">
        <f>'At-Source Loads'!C28+'At-Source Loads'!C29</f>
        <v>1.9179000000000002E-2</v>
      </c>
      <c r="D9" s="123">
        <f>'At-Source Loads'!D28+'At-Source Loads'!D29</f>
        <v>3.3651208044E-2</v>
      </c>
      <c r="E9" s="123">
        <f>'At-Source Loads'!E28+'At-Source Loads'!E29+C9+D9+F9</f>
        <v>0.57599362274542609</v>
      </c>
      <c r="F9" s="123">
        <f>'At-Source Loads'!F28+'At-Source Loads'!F29</f>
        <v>9.1168091945555571E-2</v>
      </c>
      <c r="G9" s="123">
        <f>'At-Source Loads'!G28+'At-Source Loads'!G29+H9</f>
        <v>6.7603664144457606E-2</v>
      </c>
      <c r="H9" s="123">
        <f>'At-Source Loads'!H28+'At-Source Loads'!H29</f>
        <v>3.4654379515479151E-2</v>
      </c>
      <c r="I9" s="123">
        <f>'At-Source Loads'!I28+'At-Source Loads'!I29+SUM(C9:H9,J9:L9)</f>
        <v>1.4588744245224525</v>
      </c>
      <c r="J9" s="123">
        <f>'At-Source Loads'!J28+'At-Source Loads'!J29</f>
        <v>2.894266987705435E-2</v>
      </c>
      <c r="K9" s="123">
        <f>'At-Source Loads'!K28+'At-Source Loads'!K29</f>
        <v>5.5414659348399994E-2</v>
      </c>
      <c r="L9" s="123">
        <f>'At-Source Loads'!L28+'At-Source Loads'!L29</f>
        <v>0.26019201233507999</v>
      </c>
      <c r="M9" s="123">
        <f>'At-Source Loads'!M28+'At-Source Loads'!M29</f>
        <v>8.6108000000000004E-2</v>
      </c>
      <c r="N9" s="123">
        <f>'At-Source Loads'!N28+'At-Source Loads'!N29+SUM(C9:M9)</f>
        <v>2.9574015439425514</v>
      </c>
      <c r="O9" s="123">
        <f>'At-Source Loads'!O28+'At-Source Loads'!O29</f>
        <v>5.45E-3</v>
      </c>
      <c r="P9" s="124">
        <f>'At-Source Loads'!P28+'At-Source Loads'!P29</f>
        <v>0</v>
      </c>
      <c r="Q9" s="16"/>
      <c r="R9" s="16"/>
      <c r="S9" s="16"/>
      <c r="T9" s="16"/>
      <c r="U9" s="16"/>
      <c r="V9" s="16"/>
    </row>
    <row r="10" spans="1:22" x14ac:dyDescent="0.2">
      <c r="B10" s="28" t="s">
        <v>35</v>
      </c>
      <c r="C10" s="123">
        <f>'At-Source Loads'!C25</f>
        <v>3.1649626771175943E-2</v>
      </c>
      <c r="D10" s="123">
        <f>'At-Source Loads'!D25</f>
        <v>7.4169656994408015E-2</v>
      </c>
      <c r="E10" s="123">
        <f>'At-Source Loads'!E25+C10+D10+F10</f>
        <v>1.4046920109340633</v>
      </c>
      <c r="F10" s="123">
        <f>'At-Source Loads'!F25</f>
        <v>0.10201330868303728</v>
      </c>
      <c r="G10" s="123">
        <f>'At-Source Loads'!G25+H10</f>
        <v>3.3265818242390763E-2</v>
      </c>
      <c r="H10" s="123">
        <f>'At-Source Loads'!H25</f>
        <v>2.2845562169581397E-2</v>
      </c>
      <c r="I10" s="123">
        <f>'At-Source Loads'!I25+SUM(C10:H10,J10:L10)</f>
        <v>3.5085312860524476</v>
      </c>
      <c r="J10" s="123">
        <f>'At-Source Loads'!J25</f>
        <v>1.8569357209988435E-2</v>
      </c>
      <c r="K10" s="123">
        <f>'At-Source Loads'!K25</f>
        <v>0.12491261209369753</v>
      </c>
      <c r="L10" s="123">
        <f>'At-Source Loads'!L25</f>
        <v>1.0441927313547834</v>
      </c>
      <c r="M10" s="123">
        <f>'At-Source Loads'!M25</f>
        <v>0.21256113124540077</v>
      </c>
      <c r="N10" s="123">
        <f>'At-Source Loads'!N25+SUM(C10:M10)</f>
        <v>7.0341082727106894</v>
      </c>
      <c r="O10" s="123">
        <f>'At-Source Loads'!O25</f>
        <v>4.983331531394573E-3</v>
      </c>
      <c r="P10" s="124">
        <f>'At-Source Loads'!P25</f>
        <v>0.17612842005663032</v>
      </c>
      <c r="Q10" s="125"/>
      <c r="R10" s="125"/>
      <c r="S10" s="125"/>
      <c r="T10" s="125"/>
      <c r="U10" s="16"/>
      <c r="V10" s="16"/>
    </row>
    <row r="11" spans="1:22" x14ac:dyDescent="0.2">
      <c r="B11" s="30" t="s">
        <v>36</v>
      </c>
      <c r="C11" s="126">
        <f>SUM('At-Source Loads'!C9:C24,'At-Source Loads'!C26,'At-Source Loads'!C27)</f>
        <v>8.5199967375374523</v>
      </c>
      <c r="D11" s="126">
        <f>SUM('At-Source Loads'!D9:D24,'At-Source Loads'!D26,'At-Source Loads'!D27)</f>
        <v>8.8023244310723037</v>
      </c>
      <c r="E11" s="127">
        <f>SUM('At-Source Loads'!E9:E24,'At-Source Loads'!E26,'At-Source Loads'!E27)+C11+D11+F11</f>
        <v>54.366959781716886</v>
      </c>
      <c r="F11" s="126">
        <f>SUM('At-Source Loads'!F9:F24,'At-Source Loads'!F26,'At-Source Loads'!F27)</f>
        <v>12.509389298105331</v>
      </c>
      <c r="G11" s="126">
        <f>SUM('At-Source Loads'!G9:G24,'At-Source Loads'!G26,'At-Source Loads'!G27)+H11</f>
        <v>21.743853110236923</v>
      </c>
      <c r="H11" s="126">
        <f>SUM('At-Source Loads'!H9:H24,'At-Source Loads'!H26,'At-Source Loads'!H27)</f>
        <v>13.908717203900322</v>
      </c>
      <c r="I11" s="126">
        <f>SUM('At-Source Loads'!I9:I24,'At-Source Loads'!I26,'At-Source Loads'!I27)+SUM(C11:H11,J11:L11)</f>
        <v>156.25719366245983</v>
      </c>
      <c r="J11" s="126">
        <f>SUM('At-Source Loads'!J9:J24,'At-Source Loads'!J26,'At-Source Loads'!J27)</f>
        <v>12.919728303525993</v>
      </c>
      <c r="K11" s="126">
        <f>SUM('At-Source Loads'!K9:K24,'At-Source Loads'!K26,'At-Source Loads'!K27)</f>
        <v>11.041108489978267</v>
      </c>
      <c r="L11" s="126">
        <f>SUM('At-Source Loads'!L9:L24,'At-Source Loads'!L26,'At-Source Loads'!L27)</f>
        <v>7.070858839801784</v>
      </c>
      <c r="M11" s="126">
        <f>SUM('At-Source Loads'!M9:M24,'At-Source Loads'!M26,'At-Source Loads'!M27)</f>
        <v>8.3323398251072192</v>
      </c>
      <c r="N11" s="126">
        <f>SUM('At-Source Loads'!N9:N24,'At-Source Loads'!N26,'At-Source Loads'!N27)+SUM(C11:M11)</f>
        <v>317.25940824296151</v>
      </c>
      <c r="O11" s="126">
        <f>SUM('At-Source Loads'!O9:O24,'At-Source Loads'!O26,'At-Source Loads'!O27)</f>
        <v>2.7930406563896493</v>
      </c>
      <c r="P11" s="128">
        <f>SUM('At-Source Loads'!P9:P24,'At-Source Loads'!P26,'At-Source Loads'!P27)</f>
        <v>0.85400863508556513</v>
      </c>
      <c r="Q11" s="16"/>
      <c r="R11" s="16"/>
      <c r="S11" s="16"/>
      <c r="T11" s="16"/>
      <c r="U11" s="16"/>
      <c r="V11" s="16"/>
    </row>
    <row r="12" spans="1:22" x14ac:dyDescent="0.2">
      <c r="G12" s="129"/>
      <c r="Q12" s="16"/>
      <c r="R12" s="16"/>
      <c r="S12" s="16"/>
      <c r="T12" s="16"/>
      <c r="U12" s="16"/>
      <c r="V12" s="16"/>
    </row>
    <row r="13" spans="1:22" ht="15" x14ac:dyDescent="0.25">
      <c r="B13" s="130" t="s">
        <v>37</v>
      </c>
      <c r="C13" s="142" t="s">
        <v>26</v>
      </c>
      <c r="D13" s="142"/>
      <c r="E13" s="142"/>
      <c r="F13" s="142"/>
      <c r="G13" s="142"/>
      <c r="H13" s="142"/>
      <c r="I13" s="142"/>
      <c r="J13" s="142"/>
      <c r="K13" s="142"/>
      <c r="L13" s="142"/>
      <c r="M13" s="142"/>
      <c r="N13" s="142"/>
      <c r="O13" s="142"/>
      <c r="P13" s="145"/>
      <c r="Q13" s="16"/>
      <c r="R13" s="16"/>
      <c r="S13" s="16"/>
      <c r="T13" s="16"/>
      <c r="U13" s="16"/>
      <c r="V13" s="16"/>
    </row>
    <row r="14" spans="1:22" x14ac:dyDescent="0.2">
      <c r="B14" s="27" t="s">
        <v>24</v>
      </c>
      <c r="C14" s="67">
        <v>17090001</v>
      </c>
      <c r="D14" s="67">
        <v>17090002</v>
      </c>
      <c r="E14" s="67">
        <v>17090003</v>
      </c>
      <c r="F14" s="67">
        <v>17090004</v>
      </c>
      <c r="G14" s="67">
        <v>17090005</v>
      </c>
      <c r="H14" s="67">
        <v>17090006</v>
      </c>
      <c r="I14" s="67">
        <v>17090007</v>
      </c>
      <c r="J14" s="67">
        <v>17090008</v>
      </c>
      <c r="K14" s="67">
        <v>17090009</v>
      </c>
      <c r="L14" s="67">
        <v>17090010</v>
      </c>
      <c r="M14" s="67">
        <v>17090011</v>
      </c>
      <c r="N14" s="67">
        <v>17090012</v>
      </c>
      <c r="O14" s="67" t="s">
        <v>23</v>
      </c>
      <c r="P14" s="68" t="s">
        <v>22</v>
      </c>
      <c r="Q14" s="16"/>
      <c r="R14" s="16"/>
      <c r="S14" s="16"/>
      <c r="T14" s="16"/>
      <c r="U14" s="16"/>
      <c r="V14" s="16"/>
    </row>
    <row r="15" spans="1:22" x14ac:dyDescent="0.2">
      <c r="B15" s="28" t="s">
        <v>34</v>
      </c>
      <c r="C15" s="123">
        <f>'Delivered Loads'!C28+'Delivered Loads'!C29</f>
        <v>7.2889369486249314E-3</v>
      </c>
      <c r="D15" s="123">
        <f>'Delivered Loads'!D28+'Delivered Loads'!D29</f>
        <v>2.0543837797992088E-2</v>
      </c>
      <c r="E15" s="123">
        <f>'Delivered Loads'!E28+'Delivered Loads'!E29</f>
        <v>0.4931760113052156</v>
      </c>
      <c r="F15" s="123">
        <f>'Delivered Loads'!F28+'Delivered Loads'!F29</f>
        <v>8.7109594425966136E-2</v>
      </c>
      <c r="G15" s="123">
        <f>'Delivered Loads'!G28+'Delivered Loads'!G29</f>
        <v>6.2941064525904339E-2</v>
      </c>
      <c r="H15" s="123">
        <f>'Delivered Loads'!H28+'Delivered Loads'!H29</f>
        <v>3.2576959579887592E-2</v>
      </c>
      <c r="I15" s="123">
        <f>'Delivered Loads'!I28+'Delivered Loads'!I29</f>
        <v>1.0379247081457978</v>
      </c>
      <c r="J15" s="123">
        <f>'Delivered Loads'!J28+'Delivered Loads'!J29</f>
        <v>2.4055039861652243E-2</v>
      </c>
      <c r="K15" s="123">
        <f>'Delivered Loads'!K28+'Delivered Loads'!K29</f>
        <v>4.6081822555132337E-2</v>
      </c>
      <c r="L15" s="123">
        <f>'Delivered Loads'!L28+'Delivered Loads'!L29</f>
        <v>0.20708520274363126</v>
      </c>
      <c r="M15" s="123">
        <f>'Delivered Loads'!M28+'Delivered Loads'!M29</f>
        <v>8.3306578360691469E-2</v>
      </c>
      <c r="N15" s="123">
        <f>'Delivered Loads'!N28+'Delivered Loads'!N29</f>
        <v>1.3255508573514323</v>
      </c>
      <c r="O15" s="123">
        <f>'Delivered Loads'!O28+'Delivered Loads'!O29</f>
        <v>5.0363278125066645E-3</v>
      </c>
      <c r="P15" s="124">
        <f>'Delivered Loads'!P28+'Delivered Loads'!P29</f>
        <v>0</v>
      </c>
      <c r="Q15" s="16"/>
      <c r="R15" s="16"/>
      <c r="S15" s="16"/>
      <c r="T15" s="16"/>
      <c r="U15" s="16"/>
      <c r="V15" s="16"/>
    </row>
    <row r="16" spans="1:22" x14ac:dyDescent="0.2">
      <c r="B16" s="28" t="s">
        <v>35</v>
      </c>
      <c r="C16" s="123">
        <f>'Delivered Loads'!C25</f>
        <v>2.2438911098068288E-2</v>
      </c>
      <c r="D16" s="123">
        <f>'Delivered Loads'!D25</f>
        <v>5.7788778268540758E-2</v>
      </c>
      <c r="E16" s="123">
        <f>'Delivered Loads'!E25</f>
        <v>1.1949645932761128</v>
      </c>
      <c r="F16" s="123">
        <f>'Delivered Loads'!F25</f>
        <v>9.7165063316742795E-2</v>
      </c>
      <c r="G16" s="123">
        <f>'Delivered Loads'!G25</f>
        <v>2.9927432162570562E-2</v>
      </c>
      <c r="H16" s="123">
        <f>'Delivered Loads'!H25</f>
        <v>2.142183082447021E-2</v>
      </c>
      <c r="I16" s="123">
        <f>'Delivered Loads'!I25</f>
        <v>2.6190415361247714</v>
      </c>
      <c r="J16" s="123">
        <f>'Delivered Loads'!J25</f>
        <v>1.5327192624396462E-2</v>
      </c>
      <c r="K16" s="123">
        <f>'Delivered Loads'!K25</f>
        <v>0.10766060672223184</v>
      </c>
      <c r="L16" s="123">
        <f>'Delivered Loads'!L25</f>
        <v>0.82722961902281789</v>
      </c>
      <c r="M16" s="123">
        <f>'Delivered Loads'!M25</f>
        <v>0.17078875694017209</v>
      </c>
      <c r="N16" s="123">
        <f>'Delivered Loads'!N25</f>
        <v>3.1484394124184218</v>
      </c>
      <c r="O16" s="123">
        <f>'Delivered Loads'!O25</f>
        <v>4.6050809523860399E-3</v>
      </c>
      <c r="P16" s="124">
        <f>'Delivered Loads'!P25</f>
        <v>0.16441897745465461</v>
      </c>
      <c r="Q16" s="16"/>
      <c r="R16" s="16"/>
      <c r="S16" s="16"/>
      <c r="T16" s="16"/>
      <c r="U16" s="16"/>
      <c r="V16" s="16"/>
    </row>
    <row r="17" spans="2:22" x14ac:dyDescent="0.2">
      <c r="B17" s="30" t="s">
        <v>36</v>
      </c>
      <c r="C17" s="126">
        <f>SUM('Delivered Loads'!C9:C24,'Delivered Loads'!C26,'Delivered Loads'!C27)</f>
        <v>2.1956137277120873</v>
      </c>
      <c r="D17" s="126">
        <f>SUM('Delivered Loads'!D9:D24,'Delivered Loads'!D26,'Delivered Loads'!D27)</f>
        <v>4.7536149876537355</v>
      </c>
      <c r="E17" s="126">
        <f>SUM('Delivered Loads'!E9:E24,'Delivered Loads'!E26,'Delivered Loads'!E27)</f>
        <v>34.104825419431172</v>
      </c>
      <c r="F17" s="126">
        <f>SUM('Delivered Loads'!F9:F24,'Delivered Loads'!F26,'Delivered Loads'!F27)</f>
        <v>9.2016231585372843</v>
      </c>
      <c r="G17" s="126">
        <f>SUM('Delivered Loads'!G9:G24,'Delivered Loads'!G26,'Delivered Loads'!G27)</f>
        <v>15.065209483768728</v>
      </c>
      <c r="H17" s="126">
        <f>SUM('Delivered Loads'!H9:H24,'Delivered Loads'!H26,'Delivered Loads'!H27)</f>
        <v>9.210026430393583</v>
      </c>
      <c r="I17" s="126">
        <f>SUM('Delivered Loads'!I9:I24,'Delivered Loads'!I26,'Delivered Loads'!I27)</f>
        <v>72.931823920221802</v>
      </c>
      <c r="J17" s="126">
        <f>SUM('Delivered Loads'!J9:J24,'Delivered Loads'!J26,'Delivered Loads'!J27)</f>
        <v>10.6655239348687</v>
      </c>
      <c r="K17" s="126">
        <f>SUM('Delivered Loads'!K9:K24,'Delivered Loads'!K26,'Delivered Loads'!K27)</f>
        <v>9.622486868228652</v>
      </c>
      <c r="L17" s="126">
        <f>SUM('Delivered Loads'!L9:L24,'Delivered Loads'!L26,'Delivered Loads'!L27)</f>
        <v>5.2765866902252103</v>
      </c>
      <c r="M17" s="126">
        <f>SUM('Delivered Loads'!M9:M24,'Delivered Loads'!M26,'Delivered Loads'!M27)</f>
        <v>7.083970141845187</v>
      </c>
      <c r="N17" s="126">
        <f>SUM('Delivered Loads'!N9:N24,'Delivered Loads'!N26,'Delivered Loads'!N27)</f>
        <v>79.331013100977486</v>
      </c>
      <c r="O17" s="126">
        <f>SUM('Delivered Loads'!O9:O24,'Delivered Loads'!O26,'Delivered Loads'!O27)</f>
        <v>2.5810400622453327</v>
      </c>
      <c r="P17" s="128">
        <f>SUM('Delivered Loads'!P9:P24,'Delivered Loads'!P26,'Delivered Loads'!P27)</f>
        <v>0.79723207914467376</v>
      </c>
      <c r="Q17" s="16"/>
      <c r="R17" s="16"/>
      <c r="S17" s="16"/>
      <c r="T17" s="16"/>
      <c r="U17" s="16"/>
      <c r="V17" s="16"/>
    </row>
    <row r="18" spans="2:22" x14ac:dyDescent="0.2">
      <c r="Q18" s="16"/>
      <c r="R18" s="16"/>
      <c r="S18" s="16"/>
      <c r="T18" s="16"/>
      <c r="U18" s="16"/>
      <c r="V18" s="16"/>
    </row>
    <row r="19" spans="2:22" ht="15" x14ac:dyDescent="0.25">
      <c r="B19" s="122" t="s">
        <v>38</v>
      </c>
      <c r="C19" s="142" t="s">
        <v>26</v>
      </c>
      <c r="D19" s="142"/>
      <c r="E19" s="142"/>
      <c r="F19" s="142"/>
      <c r="G19" s="142"/>
      <c r="H19" s="142"/>
      <c r="I19" s="142"/>
      <c r="J19" s="142"/>
      <c r="K19" s="142"/>
      <c r="L19" s="142"/>
      <c r="M19" s="142"/>
      <c r="N19" s="142"/>
      <c r="O19" s="142"/>
      <c r="P19" s="145"/>
    </row>
    <row r="20" spans="2:22" x14ac:dyDescent="0.2">
      <c r="B20" s="27" t="s">
        <v>39</v>
      </c>
      <c r="C20" s="67">
        <v>17090001</v>
      </c>
      <c r="D20" s="67">
        <v>17090002</v>
      </c>
      <c r="E20" s="67">
        <v>17090003</v>
      </c>
      <c r="F20" s="67">
        <v>17090004</v>
      </c>
      <c r="G20" s="67">
        <v>17090005</v>
      </c>
      <c r="H20" s="67">
        <v>17090006</v>
      </c>
      <c r="I20" s="67">
        <v>17090007</v>
      </c>
      <c r="J20" s="67">
        <v>17090008</v>
      </c>
      <c r="K20" s="67">
        <v>17090009</v>
      </c>
      <c r="L20" s="67">
        <v>17090010</v>
      </c>
      <c r="M20" s="67">
        <v>17090011</v>
      </c>
      <c r="N20" s="67">
        <v>17090012</v>
      </c>
      <c r="O20" s="67" t="s">
        <v>23</v>
      </c>
      <c r="P20" s="68" t="s">
        <v>22</v>
      </c>
    </row>
    <row r="21" spans="2:22" x14ac:dyDescent="0.2">
      <c r="B21" s="30" t="s">
        <v>40</v>
      </c>
      <c r="C21" s="131">
        <f>SUM(C15:C17)/SUM(C9:C11)</f>
        <v>0.25964145588892057</v>
      </c>
      <c r="D21" s="131">
        <f t="shared" ref="D21:O21" si="0">SUM(D15:D17)/SUM(D9:D11)</f>
        <v>0.54229728507675612</v>
      </c>
      <c r="E21" s="131">
        <f t="shared" si="0"/>
        <v>0.63521671154394788</v>
      </c>
      <c r="F21" s="131">
        <f t="shared" si="0"/>
        <v>0.73889750656656394</v>
      </c>
      <c r="G21" s="131">
        <f t="shared" si="0"/>
        <v>0.6939011432251182</v>
      </c>
      <c r="H21" s="131">
        <f t="shared" si="0"/>
        <v>0.66331671090523103</v>
      </c>
      <c r="I21" s="131">
        <f t="shared" si="0"/>
        <v>0.47504407182482389</v>
      </c>
      <c r="J21" s="131">
        <f t="shared" si="0"/>
        <v>0.82553464688108125</v>
      </c>
      <c r="K21" s="131">
        <f t="shared" si="0"/>
        <v>0.87121020031295715</v>
      </c>
      <c r="L21" s="131">
        <f t="shared" si="0"/>
        <v>0.75351856326077604</v>
      </c>
      <c r="M21" s="131">
        <f t="shared" si="0"/>
        <v>0.85019787538802949</v>
      </c>
      <c r="N21" s="131">
        <f t="shared" si="0"/>
        <v>0.25608790914218527</v>
      </c>
      <c r="O21" s="131">
        <f t="shared" si="0"/>
        <v>0.92409684633149825</v>
      </c>
      <c r="P21" s="132">
        <f>SUM(P15:P17)/SUM(P9:P11)</f>
        <v>0.93351758564454934</v>
      </c>
    </row>
  </sheetData>
  <sheetProtection algorithmName="SHA-512" hashValue="cl4lAjJOFGGBpHMfzJ6OwsBy8m+wXJPNVhdCxfQWVKkpMfTdku2dX1i281JhBhqRqrBmsnpGFl1RvM6gWz+EcQ==" saltValue="nS88FOEKFSVRdBmgrHSjCQ==" spinCount="100000" sheet="1" objects="1" scenarios="1"/>
  <mergeCells count="3">
    <mergeCell ref="C7:P7"/>
    <mergeCell ref="C13:P13"/>
    <mergeCell ref="C19:P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zoomScale="85" zoomScaleNormal="85" workbookViewId="0">
      <selection activeCell="N18" sqref="N18"/>
    </sheetView>
  </sheetViews>
  <sheetFormatPr defaultColWidth="8.85546875" defaultRowHeight="14.25" x14ac:dyDescent="0.2"/>
  <cols>
    <col min="1" max="1" width="11" style="2" customWidth="1"/>
    <col min="2" max="2" width="27.5703125" style="2" customWidth="1"/>
    <col min="3" max="16384" width="8.85546875" style="2"/>
  </cols>
  <sheetData>
    <row r="1" spans="1:2" s="4" customFormat="1" ht="18" x14ac:dyDescent="0.25">
      <c r="A1" s="3" t="s">
        <v>103</v>
      </c>
      <c r="B1" s="3"/>
    </row>
    <row r="2" spans="1:2" x14ac:dyDescent="0.2">
      <c r="A2" s="5" t="s">
        <v>104</v>
      </c>
      <c r="B2" s="5"/>
    </row>
  </sheetData>
  <sheetProtection algorithmName="SHA-512" hashValue="Frt58oc0CimkuXfWBE8Yis63xoGXAEYdotZZzRbABZ4TKZATCOEq3ibaculLeoThpK7tw61JwgaQaP9olefB5Q==" saltValue="Fxbv5C7hRxcij1FclKWTs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sqref="A1:XFD1048576"/>
    </sheetView>
  </sheetViews>
  <sheetFormatPr defaultColWidth="8.85546875" defaultRowHeight="14.25" x14ac:dyDescent="0.2"/>
  <cols>
    <col min="1" max="1" width="35.85546875" style="2" customWidth="1"/>
    <col min="2" max="2" width="73.140625" style="2" customWidth="1"/>
    <col min="3" max="16384" width="8.85546875" style="2"/>
  </cols>
  <sheetData>
    <row r="1" spans="1:2" ht="18" x14ac:dyDescent="0.25">
      <c r="A1" s="3" t="s">
        <v>92</v>
      </c>
      <c r="B1" s="4"/>
    </row>
    <row r="2" spans="1:2" x14ac:dyDescent="0.2">
      <c r="A2" s="5" t="s">
        <v>99</v>
      </c>
    </row>
  </sheetData>
  <sheetProtection algorithmName="SHA-512" hashValue="sBEpiZhv2actTE5fgkvP2rdOm49tXmIpBiJ4ECkdBLBbmsQtDJ+I912j/LvD7BRm6Qi3wIwvTssKwESZFpnw5A==" saltValue="7anQlHQUMSaHG04VE5IG2Q=="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1" sqref="E11"/>
    </sheetView>
  </sheetViews>
  <sheetFormatPr defaultColWidth="8.85546875" defaultRowHeight="14.25" x14ac:dyDescent="0.2"/>
  <cols>
    <col min="1" max="1" width="33.7109375" style="2" customWidth="1"/>
    <col min="2" max="2" width="8" style="2" customWidth="1"/>
    <col min="3" max="3" width="92.140625" style="2" customWidth="1"/>
    <col min="4" max="4" width="3.7109375" style="2" customWidth="1"/>
    <col min="5" max="5" width="18.5703125" style="2" customWidth="1"/>
    <col min="6" max="6" width="83.140625" style="2" customWidth="1"/>
    <col min="7" max="16384" width="8.85546875" style="2"/>
  </cols>
  <sheetData>
    <row r="1" spans="1:6" s="4" customFormat="1" ht="18" x14ac:dyDescent="0.25">
      <c r="A1" s="3" t="s">
        <v>68</v>
      </c>
      <c r="B1" s="3"/>
    </row>
    <row r="2" spans="1:6" x14ac:dyDescent="0.2">
      <c r="A2" s="5" t="s">
        <v>95</v>
      </c>
      <c r="B2" s="5"/>
    </row>
    <row r="4" spans="1:6" x14ac:dyDescent="0.2">
      <c r="A4" s="9"/>
      <c r="B4" s="9"/>
    </row>
    <row r="5" spans="1:6" x14ac:dyDescent="0.2">
      <c r="A5" s="10" t="s">
        <v>61</v>
      </c>
      <c r="B5" s="11" t="s">
        <v>69</v>
      </c>
      <c r="C5" s="12" t="s">
        <v>70</v>
      </c>
    </row>
    <row r="6" spans="1:6" ht="28.5" x14ac:dyDescent="0.2">
      <c r="A6" s="13" t="s">
        <v>71</v>
      </c>
      <c r="B6" s="14" t="s">
        <v>36</v>
      </c>
      <c r="C6" s="15" t="s">
        <v>105</v>
      </c>
    </row>
    <row r="7" spans="1:6" x14ac:dyDescent="0.2">
      <c r="A7" s="13" t="s">
        <v>16</v>
      </c>
      <c r="B7" s="14" t="s">
        <v>36</v>
      </c>
      <c r="C7" s="15" t="s">
        <v>106</v>
      </c>
    </row>
    <row r="8" spans="1:6" ht="28.5" x14ac:dyDescent="0.2">
      <c r="A8" s="13" t="s">
        <v>72</v>
      </c>
      <c r="B8" s="14" t="s">
        <v>36</v>
      </c>
      <c r="C8" s="15" t="s">
        <v>107</v>
      </c>
    </row>
    <row r="9" spans="1:6" x14ac:dyDescent="0.2">
      <c r="A9" s="13" t="s">
        <v>73</v>
      </c>
      <c r="B9" s="14" t="s">
        <v>36</v>
      </c>
      <c r="C9" s="15" t="s">
        <v>108</v>
      </c>
    </row>
    <row r="10" spans="1:6" ht="57" x14ac:dyDescent="0.2">
      <c r="A10" s="13" t="s">
        <v>5</v>
      </c>
      <c r="B10" s="14" t="s">
        <v>5</v>
      </c>
      <c r="C10" s="15" t="s">
        <v>109</v>
      </c>
    </row>
    <row r="11" spans="1:6" ht="57" x14ac:dyDescent="0.2">
      <c r="A11" s="13" t="s">
        <v>4</v>
      </c>
      <c r="B11" s="14" t="s">
        <v>36</v>
      </c>
      <c r="C11" s="15" t="s">
        <v>110</v>
      </c>
      <c r="E11" s="9"/>
      <c r="F11" s="9"/>
    </row>
    <row r="12" spans="1:6" ht="28.5" x14ac:dyDescent="0.2">
      <c r="A12" s="13" t="s">
        <v>3</v>
      </c>
      <c r="B12" s="14" t="s">
        <v>36</v>
      </c>
      <c r="C12" s="15" t="s">
        <v>111</v>
      </c>
      <c r="E12" s="9"/>
      <c r="F12" s="16"/>
    </row>
    <row r="13" spans="1:6" ht="28.5" x14ac:dyDescent="0.2">
      <c r="A13" s="13" t="s">
        <v>2</v>
      </c>
      <c r="B13" s="14" t="s">
        <v>34</v>
      </c>
      <c r="C13" s="15" t="s">
        <v>112</v>
      </c>
      <c r="E13" s="9"/>
      <c r="F13" s="9"/>
    </row>
    <row r="14" spans="1:6" x14ac:dyDescent="0.2">
      <c r="A14" s="17" t="s">
        <v>1</v>
      </c>
      <c r="B14" s="18" t="s">
        <v>34</v>
      </c>
      <c r="C14" s="19" t="s">
        <v>113</v>
      </c>
      <c r="E14" s="9"/>
      <c r="F14" s="9"/>
    </row>
    <row r="15" spans="1:6" x14ac:dyDescent="0.2">
      <c r="A15" s="20"/>
      <c r="B15" s="14"/>
    </row>
    <row r="16" spans="1:6" x14ac:dyDescent="0.2">
      <c r="A16" s="21"/>
      <c r="B16" s="14"/>
    </row>
    <row r="17" spans="1:3" x14ac:dyDescent="0.2">
      <c r="A17" s="22" t="s">
        <v>74</v>
      </c>
      <c r="B17" s="136" t="s">
        <v>75</v>
      </c>
      <c r="C17" s="137"/>
    </row>
    <row r="18" spans="1:3" x14ac:dyDescent="0.2">
      <c r="A18" s="23" t="s">
        <v>76</v>
      </c>
      <c r="B18" s="138" t="s">
        <v>77</v>
      </c>
      <c r="C18" s="139"/>
    </row>
    <row r="19" spans="1:3" x14ac:dyDescent="0.2">
      <c r="A19" s="23" t="s">
        <v>78</v>
      </c>
      <c r="B19" s="138" t="s">
        <v>79</v>
      </c>
      <c r="C19" s="139"/>
    </row>
    <row r="20" spans="1:3" x14ac:dyDescent="0.2">
      <c r="A20" s="23" t="s">
        <v>80</v>
      </c>
      <c r="B20" s="138" t="s">
        <v>81</v>
      </c>
      <c r="C20" s="139"/>
    </row>
    <row r="21" spans="1:3" x14ac:dyDescent="0.2">
      <c r="A21" s="23" t="s">
        <v>82</v>
      </c>
      <c r="B21" s="138" t="s">
        <v>83</v>
      </c>
      <c r="C21" s="139"/>
    </row>
    <row r="22" spans="1:3" ht="14.45" customHeight="1" x14ac:dyDescent="0.2">
      <c r="A22" s="24" t="s">
        <v>84</v>
      </c>
      <c r="B22" s="134" t="s">
        <v>85</v>
      </c>
      <c r="C22" s="135"/>
    </row>
  </sheetData>
  <sheetProtection algorithmName="SHA-512" hashValue="KGoXswu4AwyqC5plzaGG2K8cKnMnjhi+eYAGpLD4JE8RzRo8fiOhUBFYfcFJ5eVxgQPah0No8CN70ohJlUA/eg==" saltValue="cSTOCoLM5NM4QMOLB8jPzg==" spinCount="100000" sheet="1" objects="1" scenarios="1"/>
  <mergeCells count="6">
    <mergeCell ref="B22:C22"/>
    <mergeCell ref="B17:C17"/>
    <mergeCell ref="B18:C18"/>
    <mergeCell ref="B19:C19"/>
    <mergeCell ref="B20:C20"/>
    <mergeCell ref="B21:C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85" zoomScaleNormal="85" workbookViewId="0">
      <selection activeCell="D23" sqref="D23"/>
    </sheetView>
  </sheetViews>
  <sheetFormatPr defaultColWidth="9.140625" defaultRowHeight="14.25" x14ac:dyDescent="0.2"/>
  <cols>
    <col min="1" max="1" width="40" style="2" customWidth="1"/>
    <col min="2" max="2" width="11.28515625" style="2" customWidth="1"/>
    <col min="3" max="3" width="10.85546875" style="2" customWidth="1"/>
    <col min="4" max="16384" width="9.140625" style="2"/>
  </cols>
  <sheetData>
    <row r="1" spans="1:5" s="4" customFormat="1" ht="18" x14ac:dyDescent="0.25">
      <c r="A1" s="3" t="s">
        <v>115</v>
      </c>
    </row>
    <row r="2" spans="1:5" x14ac:dyDescent="0.2">
      <c r="A2" s="5" t="s">
        <v>65</v>
      </c>
    </row>
    <row r="3" spans="1:5" x14ac:dyDescent="0.2">
      <c r="A3" s="5"/>
    </row>
    <row r="6" spans="1:5" x14ac:dyDescent="0.2">
      <c r="A6" s="26"/>
    </row>
    <row r="7" spans="1:5" ht="15" x14ac:dyDescent="0.25">
      <c r="A7" s="62"/>
      <c r="B7" s="2" t="s">
        <v>0</v>
      </c>
    </row>
    <row r="8" spans="1:5" x14ac:dyDescent="0.2">
      <c r="A8" s="63" t="s">
        <v>59</v>
      </c>
      <c r="B8" s="29">
        <f>'Allocation Optimize Final'!P8*(1000/365.25)</f>
        <v>41.750356384162082</v>
      </c>
    </row>
    <row r="9" spans="1:5" x14ac:dyDescent="0.2">
      <c r="A9" s="63" t="s">
        <v>60</v>
      </c>
      <c r="B9" s="29">
        <f>'Allocation Optimize Final'!P9*(1000/365.25)</f>
        <v>41.750356384167745</v>
      </c>
    </row>
    <row r="10" spans="1:5" x14ac:dyDescent="0.2">
      <c r="A10" s="64" t="s">
        <v>54</v>
      </c>
      <c r="B10" s="65" t="str">
        <f>IF(P9&gt;P8,"Not met","Met")</f>
        <v>Met</v>
      </c>
      <c r="C10" s="31">
        <f>B9-B8</f>
        <v>5.6630256040079985E-12</v>
      </c>
    </row>
    <row r="11" spans="1:5" x14ac:dyDescent="0.2">
      <c r="A11" s="9"/>
    </row>
    <row r="12" spans="1:5" ht="7.15" customHeight="1" x14ac:dyDescent="0.2"/>
    <row r="13" spans="1:5" ht="15" hidden="1" customHeight="1" x14ac:dyDescent="0.2">
      <c r="A13" s="26"/>
    </row>
    <row r="14" spans="1:5" ht="52.9" customHeight="1" x14ac:dyDescent="0.2">
      <c r="A14" s="32" t="s">
        <v>24</v>
      </c>
      <c r="B14" s="33" t="s">
        <v>56</v>
      </c>
      <c r="C14" s="34" t="s">
        <v>114</v>
      </c>
      <c r="D14" s="34" t="s">
        <v>57</v>
      </c>
      <c r="E14" s="34" t="s">
        <v>58</v>
      </c>
    </row>
    <row r="15" spans="1:5" ht="15.75" x14ac:dyDescent="0.2">
      <c r="A15" s="35" t="s">
        <v>21</v>
      </c>
      <c r="B15" s="36">
        <f>'Allocation Optimize Final'!P14</f>
        <v>0.88</v>
      </c>
      <c r="C15" s="37">
        <f>'Allocation Optimize Final'!Q14</f>
        <v>0.99</v>
      </c>
      <c r="D15" s="37">
        <f>'Allocation Optimize Final'!R14</f>
        <v>0</v>
      </c>
      <c r="E15" s="37">
        <f>'Allocation Optimize Final'!S14</f>
        <v>0.88</v>
      </c>
    </row>
    <row r="16" spans="1:5" ht="15.75" x14ac:dyDescent="0.2">
      <c r="A16" s="35" t="s">
        <v>20</v>
      </c>
      <c r="B16" s="36">
        <f>'Allocation Optimize Final'!P15</f>
        <v>0.88</v>
      </c>
      <c r="C16" s="37">
        <f>'Allocation Optimize Final'!Q15</f>
        <v>0.99</v>
      </c>
      <c r="D16" s="37">
        <f>'Allocation Optimize Final'!R15</f>
        <v>0</v>
      </c>
      <c r="E16" s="37">
        <f>'Allocation Optimize Final'!S15</f>
        <v>0.88</v>
      </c>
    </row>
    <row r="17" spans="1:5" ht="15.75" x14ac:dyDescent="0.2">
      <c r="A17" s="35" t="s">
        <v>19</v>
      </c>
      <c r="B17" s="36">
        <f>'Allocation Optimize Final'!P16</f>
        <v>0.88</v>
      </c>
      <c r="C17" s="37">
        <f>'Allocation Optimize Final'!Q16</f>
        <v>0.99</v>
      </c>
      <c r="D17" s="37">
        <f>'Allocation Optimize Final'!R16</f>
        <v>0</v>
      </c>
      <c r="E17" s="37">
        <f>'Allocation Optimize Final'!S16</f>
        <v>0.88</v>
      </c>
    </row>
    <row r="18" spans="1:5" ht="15.75" x14ac:dyDescent="0.2">
      <c r="A18" s="35" t="s">
        <v>18</v>
      </c>
      <c r="B18" s="36">
        <f>'Allocation Optimize Final'!P17</f>
        <v>0.88</v>
      </c>
      <c r="C18" s="37">
        <f>'Allocation Optimize Final'!Q17</f>
        <v>0.99</v>
      </c>
      <c r="D18" s="37">
        <f>'Allocation Optimize Final'!R17</f>
        <v>0</v>
      </c>
      <c r="E18" s="37">
        <f>'Allocation Optimize Final'!S17</f>
        <v>0.88</v>
      </c>
    </row>
    <row r="19" spans="1:5" ht="15.75" x14ac:dyDescent="0.2">
      <c r="A19" s="35" t="s">
        <v>17</v>
      </c>
      <c r="B19" s="36">
        <f>'Allocation Optimize Final'!P18</f>
        <v>0.88</v>
      </c>
      <c r="C19" s="37">
        <f>'Allocation Optimize Final'!Q18</f>
        <v>0.99</v>
      </c>
      <c r="D19" s="37">
        <f>'Allocation Optimize Final'!R18</f>
        <v>0</v>
      </c>
      <c r="E19" s="37">
        <f>'Allocation Optimize Final'!S18</f>
        <v>0.88</v>
      </c>
    </row>
    <row r="20" spans="1:5" ht="15.75" x14ac:dyDescent="0.2">
      <c r="A20" s="38" t="s">
        <v>16</v>
      </c>
      <c r="B20" s="39">
        <f>'Allocation Optimize Final'!P19</f>
        <v>0.11</v>
      </c>
      <c r="C20" s="40"/>
      <c r="D20" s="41">
        <f>'Allocation Optimize Final'!R19</f>
        <v>0</v>
      </c>
      <c r="E20" s="41">
        <f>'Allocation Optimize Final'!S19</f>
        <v>0.11</v>
      </c>
    </row>
    <row r="21" spans="1:5" ht="15.75" x14ac:dyDescent="0.2">
      <c r="A21" s="42" t="s">
        <v>15</v>
      </c>
      <c r="B21" s="43">
        <f>'Allocation Optimize Final'!P20</f>
        <v>0.60242882206696746</v>
      </c>
      <c r="C21" s="44"/>
      <c r="D21" s="45">
        <f>'Allocation Optimize Final'!R20</f>
        <v>0</v>
      </c>
      <c r="E21" s="45">
        <f>'Allocation Optimize Final'!S20</f>
        <v>0.88</v>
      </c>
    </row>
    <row r="22" spans="1:5" ht="15.75" x14ac:dyDescent="0.2">
      <c r="A22" s="42" t="s">
        <v>14</v>
      </c>
      <c r="B22" s="43">
        <f>'Allocation Optimize Final'!P21</f>
        <v>0.88</v>
      </c>
      <c r="C22" s="44"/>
      <c r="D22" s="45">
        <f>'Allocation Optimize Final'!R21</f>
        <v>0</v>
      </c>
      <c r="E22" s="45">
        <f>'Allocation Optimize Final'!S21</f>
        <v>0.88</v>
      </c>
    </row>
    <row r="23" spans="1:5" ht="15.75" x14ac:dyDescent="0.2">
      <c r="A23" s="42" t="s">
        <v>13</v>
      </c>
      <c r="B23" s="43">
        <f>'Allocation Optimize Final'!P22</f>
        <v>0.88</v>
      </c>
      <c r="C23" s="44"/>
      <c r="D23" s="45">
        <f>'Allocation Optimize Final'!R22</f>
        <v>0</v>
      </c>
      <c r="E23" s="45">
        <f>'Allocation Optimize Final'!S22</f>
        <v>0.88</v>
      </c>
    </row>
    <row r="24" spans="1:5" ht="15.75" x14ac:dyDescent="0.2">
      <c r="A24" s="42" t="s">
        <v>12</v>
      </c>
      <c r="B24" s="43">
        <f>'Allocation Optimize Final'!P23</f>
        <v>0.22037056963015247</v>
      </c>
      <c r="C24" s="44"/>
      <c r="D24" s="45">
        <f>'Allocation Optimize Final'!R23</f>
        <v>0</v>
      </c>
      <c r="E24" s="45">
        <f>'Allocation Optimize Final'!S23</f>
        <v>0.88</v>
      </c>
    </row>
    <row r="25" spans="1:5" ht="15.75" x14ac:dyDescent="0.2">
      <c r="A25" s="42" t="s">
        <v>11</v>
      </c>
      <c r="B25" s="43">
        <f>'Allocation Optimize Final'!P24</f>
        <v>0.88</v>
      </c>
      <c r="C25" s="44"/>
      <c r="D25" s="45">
        <f>'Allocation Optimize Final'!R24</f>
        <v>0</v>
      </c>
      <c r="E25" s="45">
        <f>'Allocation Optimize Final'!S24</f>
        <v>0.88</v>
      </c>
    </row>
    <row r="26" spans="1:5" ht="15.75" x14ac:dyDescent="0.2">
      <c r="A26" s="46" t="s">
        <v>10</v>
      </c>
      <c r="B26" s="47">
        <f>'Allocation Optimize Final'!P25</f>
        <v>0.88</v>
      </c>
      <c r="C26" s="48"/>
      <c r="D26" s="49">
        <f>'Allocation Optimize Final'!R25</f>
        <v>0</v>
      </c>
      <c r="E26" s="49">
        <f>'Allocation Optimize Final'!S25</f>
        <v>0.88</v>
      </c>
    </row>
    <row r="27" spans="1:5" ht="15.75" x14ac:dyDescent="0.2">
      <c r="A27" s="46" t="s">
        <v>9</v>
      </c>
      <c r="B27" s="47">
        <f>'Allocation Optimize Final'!P26</f>
        <v>0.88</v>
      </c>
      <c r="C27" s="48"/>
      <c r="D27" s="49">
        <f>'Allocation Optimize Final'!R26</f>
        <v>0</v>
      </c>
      <c r="E27" s="49">
        <f>'Allocation Optimize Final'!S26</f>
        <v>0.88</v>
      </c>
    </row>
    <row r="28" spans="1:5" ht="15.75" x14ac:dyDescent="0.2">
      <c r="A28" s="46" t="s">
        <v>8</v>
      </c>
      <c r="B28" s="47">
        <f>'Allocation Optimize Final'!P27</f>
        <v>0.88</v>
      </c>
      <c r="C28" s="48"/>
      <c r="D28" s="49">
        <f>'Allocation Optimize Final'!R27</f>
        <v>0</v>
      </c>
      <c r="E28" s="49">
        <f>'Allocation Optimize Final'!S27</f>
        <v>0.88</v>
      </c>
    </row>
    <row r="29" spans="1:5" ht="15.75" x14ac:dyDescent="0.2">
      <c r="A29" s="46" t="s">
        <v>7</v>
      </c>
      <c r="B29" s="47">
        <f>'Allocation Optimize Final'!P28</f>
        <v>0.88</v>
      </c>
      <c r="C29" s="48"/>
      <c r="D29" s="49">
        <f>'Allocation Optimize Final'!R28</f>
        <v>0</v>
      </c>
      <c r="E29" s="49">
        <f>'Allocation Optimize Final'!S28</f>
        <v>0.88</v>
      </c>
    </row>
    <row r="30" spans="1:5" ht="15.75" x14ac:dyDescent="0.2">
      <c r="A30" s="46" t="s">
        <v>6</v>
      </c>
      <c r="B30" s="47">
        <f>'Allocation Optimize Final'!P29</f>
        <v>0.88</v>
      </c>
      <c r="C30" s="48"/>
      <c r="D30" s="49">
        <f>'Allocation Optimize Final'!R29</f>
        <v>0</v>
      </c>
      <c r="E30" s="49">
        <f>'Allocation Optimize Final'!S29</f>
        <v>0.88</v>
      </c>
    </row>
    <row r="31" spans="1:5" ht="15.75" x14ac:dyDescent="0.2">
      <c r="A31" s="50" t="s">
        <v>5</v>
      </c>
      <c r="B31" s="51">
        <f>'Allocation Optimize Final'!P30</f>
        <v>0.75</v>
      </c>
      <c r="C31" s="52"/>
      <c r="D31" s="53">
        <f>'Allocation Optimize Final'!R30</f>
        <v>0</v>
      </c>
      <c r="E31" s="53">
        <f>'Allocation Optimize Final'!S30</f>
        <v>0.75</v>
      </c>
    </row>
    <row r="32" spans="1:5" ht="15.75" x14ac:dyDescent="0.2">
      <c r="A32" s="54" t="s">
        <v>4</v>
      </c>
      <c r="B32" s="55">
        <f>'Allocation Optimize Final'!P31</f>
        <v>0.75</v>
      </c>
      <c r="C32" s="56"/>
      <c r="D32" s="57">
        <f>'Allocation Optimize Final'!R31</f>
        <v>0</v>
      </c>
      <c r="E32" s="57">
        <f>'Allocation Optimize Final'!S31</f>
        <v>0.75</v>
      </c>
    </row>
    <row r="33" spans="1:5" ht="15.75" x14ac:dyDescent="0.2">
      <c r="A33" s="58" t="s">
        <v>3</v>
      </c>
      <c r="B33" s="59">
        <f>'Allocation Optimize Final'!P32</f>
        <v>0.95</v>
      </c>
      <c r="C33" s="60"/>
      <c r="D33" s="61">
        <f>'Allocation Optimize Final'!R32</f>
        <v>0.9</v>
      </c>
      <c r="E33" s="61">
        <f>'Allocation Optimize Final'!S32</f>
        <v>0.95</v>
      </c>
    </row>
    <row r="34" spans="1:5" ht="15.75" x14ac:dyDescent="0.2">
      <c r="A34" s="50" t="s">
        <v>2</v>
      </c>
      <c r="B34" s="51">
        <f>'Allocation Optimize Final'!P33</f>
        <v>0.1</v>
      </c>
      <c r="C34" s="52"/>
      <c r="D34" s="53">
        <f>'Allocation Optimize Final'!R33</f>
        <v>0</v>
      </c>
      <c r="E34" s="53">
        <f>'Allocation Optimize Final'!S33</f>
        <v>0.1</v>
      </c>
    </row>
    <row r="35" spans="1:5" ht="15.75" x14ac:dyDescent="0.2">
      <c r="A35" s="50" t="s">
        <v>1</v>
      </c>
      <c r="B35" s="51">
        <f>'Allocation Optimize Final'!P34</f>
        <v>0.1</v>
      </c>
      <c r="C35" s="52"/>
      <c r="D35" s="53">
        <f>'Allocation Optimize Final'!R34</f>
        <v>0</v>
      </c>
      <c r="E35" s="53">
        <f>'Allocation Optimize Final'!S34</f>
        <v>0.1</v>
      </c>
    </row>
  </sheetData>
  <sheetProtection algorithmName="SHA-512" hashValue="9LGXPLHu3DAvX8tMApQPpIQYK9ebFkEf7+Iwt2QQ88y1z4aFhtgp4MEp5YdrUWgsUpIz3jB9l5wD49q3UJukQQ==" saltValue="pUSyq4laqWUz4mVvfm+eGw==" spinCount="100000" sheet="1" objects="1" scenarios="1"/>
  <conditionalFormatting sqref="B10">
    <cfRule type="beginsWith" dxfId="0" priority="1" operator="beginsWith" text="Not met">
      <formula>LEFT(B10,LEN("Not met"))="Not met"</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5" zoomScaleNormal="85" workbookViewId="0">
      <selection activeCell="K9" sqref="K9"/>
    </sheetView>
  </sheetViews>
  <sheetFormatPr defaultColWidth="9.140625" defaultRowHeight="14.25" x14ac:dyDescent="0.2"/>
  <cols>
    <col min="1" max="1" width="40" style="2" customWidth="1"/>
    <col min="2" max="13" width="9.140625" style="2"/>
    <col min="14" max="14" width="10.5703125" style="2" customWidth="1"/>
    <col min="15" max="15" width="9.140625" style="2"/>
    <col min="16" max="16" width="11.28515625" style="2" customWidth="1"/>
    <col min="17" max="17" width="10.85546875" style="2" customWidth="1"/>
    <col min="18" max="16384" width="9.140625" style="2"/>
  </cols>
  <sheetData>
    <row r="1" spans="1:22" s="4" customFormat="1" ht="18" x14ac:dyDescent="0.25">
      <c r="A1" s="3" t="s">
        <v>116</v>
      </c>
    </row>
    <row r="2" spans="1:22" x14ac:dyDescent="0.2">
      <c r="A2" s="25" t="s">
        <v>117</v>
      </c>
    </row>
    <row r="3" spans="1:22" x14ac:dyDescent="0.2">
      <c r="A3" s="5" t="s">
        <v>66</v>
      </c>
      <c r="C3" s="66" t="s">
        <v>118</v>
      </c>
    </row>
    <row r="5" spans="1:22" x14ac:dyDescent="0.2">
      <c r="V5" s="31"/>
    </row>
    <row r="6" spans="1:22" ht="15" x14ac:dyDescent="0.25">
      <c r="A6" s="26"/>
      <c r="B6" s="140" t="s">
        <v>26</v>
      </c>
      <c r="C6" s="140"/>
      <c r="D6" s="140"/>
      <c r="E6" s="140"/>
      <c r="F6" s="140"/>
      <c r="G6" s="140"/>
      <c r="H6" s="140"/>
      <c r="I6" s="140"/>
      <c r="J6" s="140"/>
      <c r="K6" s="140"/>
      <c r="L6" s="140"/>
      <c r="M6" s="140"/>
      <c r="N6" s="140"/>
      <c r="O6" s="141"/>
      <c r="V6" s="31"/>
    </row>
    <row r="7" spans="1:22" x14ac:dyDescent="0.2">
      <c r="A7" s="27"/>
      <c r="B7" s="67">
        <v>17090001</v>
      </c>
      <c r="C7" s="67">
        <v>17090002</v>
      </c>
      <c r="D7" s="67">
        <v>17090003</v>
      </c>
      <c r="E7" s="67">
        <v>17090004</v>
      </c>
      <c r="F7" s="67">
        <v>17090005</v>
      </c>
      <c r="G7" s="67">
        <v>17090006</v>
      </c>
      <c r="H7" s="67">
        <v>17090007</v>
      </c>
      <c r="I7" s="67">
        <v>17090008</v>
      </c>
      <c r="J7" s="67">
        <v>17090009</v>
      </c>
      <c r="K7" s="67">
        <v>17090010</v>
      </c>
      <c r="L7" s="67">
        <v>17090011</v>
      </c>
      <c r="M7" s="67">
        <v>17090012</v>
      </c>
      <c r="N7" s="67" t="s">
        <v>23</v>
      </c>
      <c r="O7" s="68" t="s">
        <v>22</v>
      </c>
      <c r="P7" s="68" t="s">
        <v>0</v>
      </c>
      <c r="Q7" s="68" t="s">
        <v>63</v>
      </c>
    </row>
    <row r="8" spans="1:22" x14ac:dyDescent="0.2">
      <c r="A8" s="28" t="s">
        <v>52</v>
      </c>
      <c r="B8" s="69">
        <f>'Loading Capacities'!C17</f>
        <v>0.98993032957764571</v>
      </c>
      <c r="C8" s="69">
        <f>'Loading Capacities'!D17</f>
        <v>1.0291217817007867</v>
      </c>
      <c r="D8" s="69">
        <f>'Loading Capacities'!E17</f>
        <v>3.0219540184960771</v>
      </c>
      <c r="E8" s="69">
        <f>'Loading Capacities'!F17</f>
        <v>1.4671469157037671</v>
      </c>
      <c r="F8" s="69">
        <f>'Loading Capacities'!G17</f>
        <v>0.90996737913293346</v>
      </c>
      <c r="G8" s="69">
        <f>'Loading Capacities'!H17</f>
        <v>1.6130980803151107</v>
      </c>
      <c r="H8" s="69">
        <f>'Loading Capacities'!I17</f>
        <v>0.72979289283872606</v>
      </c>
      <c r="I8" s="69">
        <f>'Loading Capacities'!J17</f>
        <v>1.4977162581858046</v>
      </c>
      <c r="J8" s="69">
        <f>'Loading Capacities'!K17</f>
        <v>1.2960758304440514</v>
      </c>
      <c r="K8" s="69">
        <f>'Loading Capacities'!L17</f>
        <v>0.9673406338932844</v>
      </c>
      <c r="L8" s="69">
        <f>'Loading Capacities'!M17</f>
        <v>0.99688153445872696</v>
      </c>
      <c r="M8" s="69">
        <f>'Loading Capacities'!N17</f>
        <v>0.28750993909448402</v>
      </c>
      <c r="N8" s="69">
        <f>'Loading Capacities'!O17</f>
        <v>0.32380124560488038</v>
      </c>
      <c r="O8" s="69">
        <f>'Loading Capacities'!P17</f>
        <v>0.11898082986892349</v>
      </c>
      <c r="P8" s="70">
        <f>SUM(B8:O8)</f>
        <v>15.2493176693152</v>
      </c>
      <c r="Q8" s="71" t="s">
        <v>64</v>
      </c>
      <c r="R8" s="72"/>
    </row>
    <row r="9" spans="1:22" x14ac:dyDescent="0.2">
      <c r="A9" s="28" t="s">
        <v>53</v>
      </c>
      <c r="B9" s="69">
        <f>'At-Source Loads'!C30-SUMPRODUCT('At-Source Loads'!C$9:C$29,'Allocation Optimize Final'!B$14:B$34)</f>
        <v>0.81386440721647269</v>
      </c>
      <c r="C9" s="69">
        <f>'At-Source Loads'!D30-SUMPRODUCT('At-Source Loads'!D$9:D$29,'Allocation Optimize Final'!C$14:C$34)</f>
        <v>0.58756831291810663</v>
      </c>
      <c r="D9" s="69">
        <f>'At-Source Loads'!E30-SUMPRODUCT('At-Source Loads'!E$9:E$29,'Allocation Optimize Final'!D$14:D$34)</f>
        <v>3.4516447764602702</v>
      </c>
      <c r="E9" s="69">
        <f>'At-Source Loads'!F30-SUMPRODUCT('At-Source Loads'!F$9:F$29,'Allocation Optimize Final'!E$14:E$34)</f>
        <v>1.1085022030595475</v>
      </c>
      <c r="F9" s="69">
        <f>'At-Source Loads'!G30-SUMPRODUCT('At-Source Loads'!G$9:G$29,'Allocation Optimize Final'!F$14:F$34)</f>
        <v>0.68231406956638807</v>
      </c>
      <c r="G9" s="69">
        <f>'At-Source Loads'!H30-SUMPRODUCT('At-Source Loads'!H$9:H$29,'Allocation Optimize Final'!G$14:G$34)</f>
        <v>1.1139396967138548</v>
      </c>
      <c r="H9" s="69">
        <f>'At-Source Loads'!I30-SUMPRODUCT('At-Source Loads'!I$9:I$29,'Allocation Optimize Final'!H$14:H$34)</f>
        <v>1.4199830585823525</v>
      </c>
      <c r="I9" s="69">
        <f>'At-Source Loads'!J30-SUMPRODUCT('At-Source Loads'!J$9:J$29,'Allocation Optimize Final'!I$14:I$34)</f>
        <v>1.5721210449724694</v>
      </c>
      <c r="J9" s="69">
        <f>'At-Source Loads'!K30-SUMPRODUCT('At-Source Loads'!K$9:K$29,'Allocation Optimize Final'!J$14:J$34)</f>
        <v>1.3098582936885652</v>
      </c>
      <c r="K9" s="69">
        <f>'At-Source Loads'!L30-SUMPRODUCT('At-Source Loads'!L$9:L$29,'Allocation Optimize Final'!K$14:K$34)</f>
        <v>1.3091794196025086</v>
      </c>
      <c r="L9" s="69">
        <f>'At-Source Loads'!M30-SUMPRODUCT('At-Source Loads'!M$9:M$29,'Allocation Optimize Final'!L$14:L$34)</f>
        <v>0.88290357913566897</v>
      </c>
      <c r="M9" s="69">
        <f>'At-Source Loads'!N30-SUMPRODUCT('At-Source Loads'!N$9:N$29,'Allocation Optimize Final'!M$14:M$34)</f>
        <v>0.57394847148216765</v>
      </c>
      <c r="N9" s="69">
        <f>'At-Source Loads'!O30-SUMPRODUCT('At-Source Loads'!O$9:O$29,'Allocation Optimize Final'!N$14:N$34)</f>
        <v>0.32824490819591468</v>
      </c>
      <c r="O9" s="73">
        <f>'At-Source Loads'!P30-SUMPRODUCT('At-Source Loads'!P$9:P$29,'Allocation Optimize Final'!O$14:O$34)</f>
        <v>9.5245427722981835E-2</v>
      </c>
      <c r="P9" s="70">
        <f>SUM(B9:O9)</f>
        <v>15.24931766931727</v>
      </c>
      <c r="Q9" s="70">
        <f>P8-P9</f>
        <v>-2.0694557179012918E-12</v>
      </c>
    </row>
    <row r="10" spans="1:22" x14ac:dyDescent="0.2">
      <c r="A10" s="9"/>
      <c r="F10" s="2" t="s">
        <v>25</v>
      </c>
      <c r="I10" s="2" t="s">
        <v>25</v>
      </c>
    </row>
    <row r="11" spans="1:22" ht="26.25" customHeight="1" x14ac:dyDescent="0.2"/>
    <row r="12" spans="1:22" ht="18.95" customHeight="1" x14ac:dyDescent="0.25">
      <c r="A12" s="26"/>
      <c r="B12" s="142" t="s">
        <v>55</v>
      </c>
      <c r="C12" s="142"/>
      <c r="D12" s="142"/>
      <c r="E12" s="142"/>
      <c r="F12" s="142"/>
      <c r="G12" s="142"/>
      <c r="H12" s="142"/>
      <c r="I12" s="142"/>
      <c r="J12" s="142"/>
      <c r="K12" s="142"/>
      <c r="L12" s="142"/>
      <c r="M12" s="142"/>
      <c r="N12" s="142"/>
      <c r="O12" s="142"/>
    </row>
    <row r="13" spans="1:22" ht="52.9" customHeight="1" x14ac:dyDescent="0.2">
      <c r="A13" s="32" t="s">
        <v>24</v>
      </c>
      <c r="B13" s="74">
        <v>17090001</v>
      </c>
      <c r="C13" s="74">
        <v>17090002</v>
      </c>
      <c r="D13" s="74">
        <v>17090003</v>
      </c>
      <c r="E13" s="74">
        <v>17090004</v>
      </c>
      <c r="F13" s="74">
        <v>17090005</v>
      </c>
      <c r="G13" s="74">
        <v>17090006</v>
      </c>
      <c r="H13" s="74">
        <v>17090007</v>
      </c>
      <c r="I13" s="74">
        <v>17090008</v>
      </c>
      <c r="J13" s="74">
        <v>17090009</v>
      </c>
      <c r="K13" s="74">
        <v>17090010</v>
      </c>
      <c r="L13" s="74">
        <v>17090011</v>
      </c>
      <c r="M13" s="74">
        <v>17090012</v>
      </c>
      <c r="N13" s="74" t="s">
        <v>23</v>
      </c>
      <c r="O13" s="74" t="s">
        <v>22</v>
      </c>
      <c r="P13" s="33" t="s">
        <v>56</v>
      </c>
      <c r="Q13" s="34" t="s">
        <v>114</v>
      </c>
      <c r="R13" s="34" t="s">
        <v>57</v>
      </c>
      <c r="S13" s="34" t="s">
        <v>58</v>
      </c>
    </row>
    <row r="14" spans="1:22" ht="15.75" x14ac:dyDescent="0.2">
      <c r="A14" s="35" t="s">
        <v>21</v>
      </c>
      <c r="B14" s="75">
        <f>$Q14</f>
        <v>0.99</v>
      </c>
      <c r="C14" s="75">
        <f t="shared" ref="C14:O14" si="0">$Q14</f>
        <v>0.99</v>
      </c>
      <c r="D14" s="75">
        <f t="shared" si="0"/>
        <v>0.99</v>
      </c>
      <c r="E14" s="75">
        <f t="shared" si="0"/>
        <v>0.99</v>
      </c>
      <c r="F14" s="75">
        <f t="shared" si="0"/>
        <v>0.99</v>
      </c>
      <c r="G14" s="75">
        <f t="shared" si="0"/>
        <v>0.99</v>
      </c>
      <c r="H14" s="75">
        <f t="shared" si="0"/>
        <v>0.99</v>
      </c>
      <c r="I14" s="75">
        <f t="shared" si="0"/>
        <v>0.99</v>
      </c>
      <c r="J14" s="75">
        <f t="shared" si="0"/>
        <v>0.99</v>
      </c>
      <c r="K14" s="75">
        <f t="shared" si="0"/>
        <v>0.99</v>
      </c>
      <c r="L14" s="75">
        <f t="shared" si="0"/>
        <v>0.99</v>
      </c>
      <c r="M14" s="75">
        <f t="shared" si="0"/>
        <v>0.99</v>
      </c>
      <c r="N14" s="75">
        <f t="shared" si="0"/>
        <v>0.99</v>
      </c>
      <c r="O14" s="75">
        <f t="shared" si="0"/>
        <v>0.99</v>
      </c>
      <c r="P14" s="36">
        <v>0.88</v>
      </c>
      <c r="Q14" s="37">
        <f>P14+P$19</f>
        <v>0.99</v>
      </c>
      <c r="R14" s="37">
        <v>0</v>
      </c>
      <c r="S14" s="37">
        <v>0.88</v>
      </c>
    </row>
    <row r="15" spans="1:22" ht="15.75" x14ac:dyDescent="0.2">
      <c r="A15" s="35" t="s">
        <v>20</v>
      </c>
      <c r="B15" s="75">
        <f t="shared" ref="B15:O18" si="1">$Q15</f>
        <v>0.99</v>
      </c>
      <c r="C15" s="75">
        <f t="shared" si="1"/>
        <v>0.99</v>
      </c>
      <c r="D15" s="75">
        <f t="shared" si="1"/>
        <v>0.99</v>
      </c>
      <c r="E15" s="75">
        <f t="shared" si="1"/>
        <v>0.99</v>
      </c>
      <c r="F15" s="75">
        <f t="shared" si="1"/>
        <v>0.99</v>
      </c>
      <c r="G15" s="75">
        <f t="shared" si="1"/>
        <v>0.99</v>
      </c>
      <c r="H15" s="75">
        <f t="shared" si="1"/>
        <v>0.99</v>
      </c>
      <c r="I15" s="75">
        <f t="shared" si="1"/>
        <v>0.99</v>
      </c>
      <c r="J15" s="75">
        <f t="shared" si="1"/>
        <v>0.99</v>
      </c>
      <c r="K15" s="75">
        <f t="shared" si="1"/>
        <v>0.99</v>
      </c>
      <c r="L15" s="75">
        <f t="shared" si="1"/>
        <v>0.99</v>
      </c>
      <c r="M15" s="75">
        <f t="shared" si="1"/>
        <v>0.99</v>
      </c>
      <c r="N15" s="75">
        <f t="shared" si="1"/>
        <v>0.99</v>
      </c>
      <c r="O15" s="75">
        <f t="shared" si="1"/>
        <v>0.99</v>
      </c>
      <c r="P15" s="36">
        <v>0.88</v>
      </c>
      <c r="Q15" s="37">
        <f t="shared" ref="Q15:Q18" si="2">P15+P$19</f>
        <v>0.99</v>
      </c>
      <c r="R15" s="37">
        <v>0</v>
      </c>
      <c r="S15" s="37">
        <v>0.88</v>
      </c>
    </row>
    <row r="16" spans="1:22" ht="15.75" x14ac:dyDescent="0.2">
      <c r="A16" s="35" t="s">
        <v>19</v>
      </c>
      <c r="B16" s="75">
        <f t="shared" si="1"/>
        <v>0.99</v>
      </c>
      <c r="C16" s="75">
        <f t="shared" si="1"/>
        <v>0.99</v>
      </c>
      <c r="D16" s="75">
        <f t="shared" si="1"/>
        <v>0.99</v>
      </c>
      <c r="E16" s="75">
        <f t="shared" si="1"/>
        <v>0.99</v>
      </c>
      <c r="F16" s="75">
        <f t="shared" si="1"/>
        <v>0.99</v>
      </c>
      <c r="G16" s="75">
        <f t="shared" si="1"/>
        <v>0.99</v>
      </c>
      <c r="H16" s="75">
        <f t="shared" si="1"/>
        <v>0.99</v>
      </c>
      <c r="I16" s="75">
        <f t="shared" si="1"/>
        <v>0.99</v>
      </c>
      <c r="J16" s="75">
        <f t="shared" si="1"/>
        <v>0.99</v>
      </c>
      <c r="K16" s="75">
        <f t="shared" si="1"/>
        <v>0.99</v>
      </c>
      <c r="L16" s="75">
        <f t="shared" si="1"/>
        <v>0.99</v>
      </c>
      <c r="M16" s="75">
        <f t="shared" si="1"/>
        <v>0.99</v>
      </c>
      <c r="N16" s="75">
        <f t="shared" si="1"/>
        <v>0.99</v>
      </c>
      <c r="O16" s="75">
        <f t="shared" si="1"/>
        <v>0.99</v>
      </c>
      <c r="P16" s="36">
        <v>0.88</v>
      </c>
      <c r="Q16" s="37">
        <f t="shared" si="2"/>
        <v>0.99</v>
      </c>
      <c r="R16" s="37">
        <v>0</v>
      </c>
      <c r="S16" s="37">
        <v>0.88</v>
      </c>
    </row>
    <row r="17" spans="1:19" ht="15.75" x14ac:dyDescent="0.2">
      <c r="A17" s="35" t="s">
        <v>18</v>
      </c>
      <c r="B17" s="75">
        <f t="shared" si="1"/>
        <v>0.99</v>
      </c>
      <c r="C17" s="75">
        <f t="shared" si="1"/>
        <v>0.99</v>
      </c>
      <c r="D17" s="75">
        <f t="shared" si="1"/>
        <v>0.99</v>
      </c>
      <c r="E17" s="75">
        <f t="shared" si="1"/>
        <v>0.99</v>
      </c>
      <c r="F17" s="75">
        <f t="shared" si="1"/>
        <v>0.99</v>
      </c>
      <c r="G17" s="75">
        <f t="shared" si="1"/>
        <v>0.99</v>
      </c>
      <c r="H17" s="75">
        <f t="shared" si="1"/>
        <v>0.99</v>
      </c>
      <c r="I17" s="75">
        <f t="shared" si="1"/>
        <v>0.99</v>
      </c>
      <c r="J17" s="75">
        <f t="shared" si="1"/>
        <v>0.99</v>
      </c>
      <c r="K17" s="75">
        <f t="shared" si="1"/>
        <v>0.99</v>
      </c>
      <c r="L17" s="75">
        <f t="shared" si="1"/>
        <v>0.99</v>
      </c>
      <c r="M17" s="75">
        <f t="shared" si="1"/>
        <v>0.99</v>
      </c>
      <c r="N17" s="75">
        <f t="shared" si="1"/>
        <v>0.99</v>
      </c>
      <c r="O17" s="75">
        <f t="shared" si="1"/>
        <v>0.99</v>
      </c>
      <c r="P17" s="36">
        <v>0.88</v>
      </c>
      <c r="Q17" s="37">
        <f t="shared" si="2"/>
        <v>0.99</v>
      </c>
      <c r="R17" s="37">
        <v>0</v>
      </c>
      <c r="S17" s="37">
        <v>0.88</v>
      </c>
    </row>
    <row r="18" spans="1:19" ht="15.75" x14ac:dyDescent="0.2">
      <c r="A18" s="35" t="s">
        <v>17</v>
      </c>
      <c r="B18" s="75">
        <f t="shared" si="1"/>
        <v>0.99</v>
      </c>
      <c r="C18" s="75">
        <f t="shared" si="1"/>
        <v>0.99</v>
      </c>
      <c r="D18" s="75">
        <f t="shared" si="1"/>
        <v>0.99</v>
      </c>
      <c r="E18" s="75">
        <f t="shared" si="1"/>
        <v>0.99</v>
      </c>
      <c r="F18" s="75">
        <f t="shared" si="1"/>
        <v>0.99</v>
      </c>
      <c r="G18" s="75">
        <f t="shared" si="1"/>
        <v>0.99</v>
      </c>
      <c r="H18" s="75">
        <f t="shared" si="1"/>
        <v>0.99</v>
      </c>
      <c r="I18" s="75">
        <f t="shared" si="1"/>
        <v>0.99</v>
      </c>
      <c r="J18" s="75">
        <f t="shared" si="1"/>
        <v>0.99</v>
      </c>
      <c r="K18" s="75">
        <f t="shared" si="1"/>
        <v>0.99</v>
      </c>
      <c r="L18" s="75">
        <f t="shared" si="1"/>
        <v>0.99</v>
      </c>
      <c r="M18" s="75">
        <f t="shared" si="1"/>
        <v>0.99</v>
      </c>
      <c r="N18" s="75">
        <f t="shared" si="1"/>
        <v>0.99</v>
      </c>
      <c r="O18" s="75">
        <f t="shared" si="1"/>
        <v>0.99</v>
      </c>
      <c r="P18" s="36">
        <v>0.88</v>
      </c>
      <c r="Q18" s="37">
        <f t="shared" si="2"/>
        <v>0.99</v>
      </c>
      <c r="R18" s="37">
        <v>0</v>
      </c>
      <c r="S18" s="37">
        <v>0.88</v>
      </c>
    </row>
    <row r="19" spans="1:19" ht="15.75" x14ac:dyDescent="0.2">
      <c r="A19" s="38" t="s">
        <v>16</v>
      </c>
      <c r="B19" s="76">
        <f>$P19</f>
        <v>0.11</v>
      </c>
      <c r="C19" s="76">
        <f t="shared" ref="C19:O20" si="3">$P19</f>
        <v>0.11</v>
      </c>
      <c r="D19" s="76">
        <f t="shared" si="3"/>
        <v>0.11</v>
      </c>
      <c r="E19" s="76">
        <f t="shared" si="3"/>
        <v>0.11</v>
      </c>
      <c r="F19" s="76">
        <f t="shared" si="3"/>
        <v>0.11</v>
      </c>
      <c r="G19" s="76">
        <f t="shared" si="3"/>
        <v>0.11</v>
      </c>
      <c r="H19" s="76">
        <f t="shared" si="3"/>
        <v>0.11</v>
      </c>
      <c r="I19" s="76">
        <f t="shared" si="3"/>
        <v>0.11</v>
      </c>
      <c r="J19" s="76">
        <f t="shared" si="3"/>
        <v>0.11</v>
      </c>
      <c r="K19" s="76">
        <f t="shared" si="3"/>
        <v>0.11</v>
      </c>
      <c r="L19" s="76">
        <f t="shared" si="3"/>
        <v>0.11</v>
      </c>
      <c r="M19" s="76">
        <f t="shared" si="3"/>
        <v>0.11</v>
      </c>
      <c r="N19" s="76">
        <f t="shared" si="3"/>
        <v>0.11</v>
      </c>
      <c r="O19" s="76">
        <f t="shared" si="3"/>
        <v>0.11</v>
      </c>
      <c r="P19" s="39">
        <v>0.11</v>
      </c>
      <c r="Q19" s="40"/>
      <c r="R19" s="41">
        <v>0</v>
      </c>
      <c r="S19" s="41">
        <v>0.11</v>
      </c>
    </row>
    <row r="20" spans="1:19" ht="15.75" x14ac:dyDescent="0.2">
      <c r="A20" s="42" t="s">
        <v>15</v>
      </c>
      <c r="B20" s="77">
        <f>$P20</f>
        <v>0.60242882206696746</v>
      </c>
      <c r="C20" s="77">
        <f t="shared" si="3"/>
        <v>0.60242882206696746</v>
      </c>
      <c r="D20" s="77">
        <f t="shared" si="3"/>
        <v>0.60242882206696746</v>
      </c>
      <c r="E20" s="77">
        <f t="shared" si="3"/>
        <v>0.60242882206696746</v>
      </c>
      <c r="F20" s="77">
        <f t="shared" si="3"/>
        <v>0.60242882206696746</v>
      </c>
      <c r="G20" s="77">
        <f t="shared" si="3"/>
        <v>0.60242882206696746</v>
      </c>
      <c r="H20" s="77">
        <f t="shared" si="3"/>
        <v>0.60242882206696746</v>
      </c>
      <c r="I20" s="77">
        <f t="shared" si="3"/>
        <v>0.60242882206696746</v>
      </c>
      <c r="J20" s="77">
        <f t="shared" si="3"/>
        <v>0.60242882206696746</v>
      </c>
      <c r="K20" s="77">
        <f t="shared" si="3"/>
        <v>0.60242882206696746</v>
      </c>
      <c r="L20" s="77">
        <f t="shared" si="3"/>
        <v>0.60242882206696746</v>
      </c>
      <c r="M20" s="77">
        <f t="shared" si="3"/>
        <v>0.60242882206696746</v>
      </c>
      <c r="N20" s="77">
        <f t="shared" si="3"/>
        <v>0.60242882206696746</v>
      </c>
      <c r="O20" s="77">
        <f t="shared" si="3"/>
        <v>0.60242882206696746</v>
      </c>
      <c r="P20" s="43">
        <v>0.60242882206696746</v>
      </c>
      <c r="Q20" s="44"/>
      <c r="R20" s="45">
        <v>0</v>
      </c>
      <c r="S20" s="45">
        <v>0.88</v>
      </c>
    </row>
    <row r="21" spans="1:19" ht="15.75" x14ac:dyDescent="0.2">
      <c r="A21" s="42" t="s">
        <v>14</v>
      </c>
      <c r="B21" s="77">
        <f t="shared" ref="B21:O25" si="4">$P21</f>
        <v>0.88</v>
      </c>
      <c r="C21" s="77">
        <f t="shared" si="4"/>
        <v>0.88</v>
      </c>
      <c r="D21" s="77">
        <f t="shared" si="4"/>
        <v>0.88</v>
      </c>
      <c r="E21" s="77">
        <f t="shared" si="4"/>
        <v>0.88</v>
      </c>
      <c r="F21" s="77">
        <f t="shared" si="4"/>
        <v>0.88</v>
      </c>
      <c r="G21" s="77">
        <f t="shared" si="4"/>
        <v>0.88</v>
      </c>
      <c r="H21" s="77">
        <f t="shared" si="4"/>
        <v>0.88</v>
      </c>
      <c r="I21" s="77">
        <f t="shared" si="4"/>
        <v>0.88</v>
      </c>
      <c r="J21" s="77">
        <f t="shared" si="4"/>
        <v>0.88</v>
      </c>
      <c r="K21" s="77">
        <f t="shared" si="4"/>
        <v>0.88</v>
      </c>
      <c r="L21" s="77">
        <f t="shared" si="4"/>
        <v>0.88</v>
      </c>
      <c r="M21" s="77">
        <f t="shared" si="4"/>
        <v>0.88</v>
      </c>
      <c r="N21" s="77">
        <f t="shared" si="4"/>
        <v>0.88</v>
      </c>
      <c r="O21" s="77">
        <f t="shared" si="4"/>
        <v>0.88</v>
      </c>
      <c r="P21" s="43">
        <v>0.88</v>
      </c>
      <c r="Q21" s="44"/>
      <c r="R21" s="45">
        <v>0</v>
      </c>
      <c r="S21" s="45">
        <v>0.88</v>
      </c>
    </row>
    <row r="22" spans="1:19" ht="15.75" x14ac:dyDescent="0.2">
      <c r="A22" s="42" t="s">
        <v>13</v>
      </c>
      <c r="B22" s="77">
        <f t="shared" si="4"/>
        <v>0.88</v>
      </c>
      <c r="C22" s="77">
        <f t="shared" si="4"/>
        <v>0.88</v>
      </c>
      <c r="D22" s="77">
        <f t="shared" si="4"/>
        <v>0.88</v>
      </c>
      <c r="E22" s="77">
        <f t="shared" si="4"/>
        <v>0.88</v>
      </c>
      <c r="F22" s="77">
        <f t="shared" si="4"/>
        <v>0.88</v>
      </c>
      <c r="G22" s="77">
        <f t="shared" si="4"/>
        <v>0.88</v>
      </c>
      <c r="H22" s="77">
        <f t="shared" si="4"/>
        <v>0.88</v>
      </c>
      <c r="I22" s="77">
        <f t="shared" si="4"/>
        <v>0.88</v>
      </c>
      <c r="J22" s="77">
        <f t="shared" si="4"/>
        <v>0.88</v>
      </c>
      <c r="K22" s="77">
        <f t="shared" si="4"/>
        <v>0.88</v>
      </c>
      <c r="L22" s="77">
        <f t="shared" si="4"/>
        <v>0.88</v>
      </c>
      <c r="M22" s="77">
        <f t="shared" si="4"/>
        <v>0.88</v>
      </c>
      <c r="N22" s="77">
        <f t="shared" si="4"/>
        <v>0.88</v>
      </c>
      <c r="O22" s="77">
        <f t="shared" si="4"/>
        <v>0.88</v>
      </c>
      <c r="P22" s="43">
        <v>0.88</v>
      </c>
      <c r="Q22" s="44"/>
      <c r="R22" s="45">
        <v>0</v>
      </c>
      <c r="S22" s="45">
        <v>0.88</v>
      </c>
    </row>
    <row r="23" spans="1:19" ht="15.75" x14ac:dyDescent="0.2">
      <c r="A23" s="42" t="s">
        <v>12</v>
      </c>
      <c r="B23" s="77">
        <f t="shared" si="4"/>
        <v>0.22037056963015247</v>
      </c>
      <c r="C23" s="77">
        <f t="shared" si="4"/>
        <v>0.22037056963015247</v>
      </c>
      <c r="D23" s="77">
        <f t="shared" si="4"/>
        <v>0.22037056963015247</v>
      </c>
      <c r="E23" s="77">
        <f t="shared" si="4"/>
        <v>0.22037056963015247</v>
      </c>
      <c r="F23" s="77">
        <f t="shared" si="4"/>
        <v>0.22037056963015247</v>
      </c>
      <c r="G23" s="77">
        <f t="shared" si="4"/>
        <v>0.22037056963015247</v>
      </c>
      <c r="H23" s="77">
        <f t="shared" si="4"/>
        <v>0.22037056963015247</v>
      </c>
      <c r="I23" s="77">
        <f t="shared" si="4"/>
        <v>0.22037056963015247</v>
      </c>
      <c r="J23" s="77">
        <f t="shared" si="4"/>
        <v>0.22037056963015247</v>
      </c>
      <c r="K23" s="77">
        <f t="shared" si="4"/>
        <v>0.22037056963015247</v>
      </c>
      <c r="L23" s="77">
        <f t="shared" si="4"/>
        <v>0.22037056963015247</v>
      </c>
      <c r="M23" s="77">
        <f t="shared" si="4"/>
        <v>0.22037056963015247</v>
      </c>
      <c r="N23" s="77">
        <f t="shared" si="4"/>
        <v>0.22037056963015247</v>
      </c>
      <c r="O23" s="77">
        <f t="shared" si="4"/>
        <v>0.22037056963015247</v>
      </c>
      <c r="P23" s="43">
        <v>0.22037056963015247</v>
      </c>
      <c r="Q23" s="44"/>
      <c r="R23" s="45">
        <v>0</v>
      </c>
      <c r="S23" s="45">
        <v>0.88</v>
      </c>
    </row>
    <row r="24" spans="1:19" ht="15.75" x14ac:dyDescent="0.2">
      <c r="A24" s="42" t="s">
        <v>11</v>
      </c>
      <c r="B24" s="77">
        <f t="shared" si="4"/>
        <v>0.88</v>
      </c>
      <c r="C24" s="77">
        <f t="shared" si="4"/>
        <v>0.88</v>
      </c>
      <c r="D24" s="77">
        <f t="shared" si="4"/>
        <v>0.88</v>
      </c>
      <c r="E24" s="77">
        <f t="shared" si="4"/>
        <v>0.88</v>
      </c>
      <c r="F24" s="77">
        <f t="shared" si="4"/>
        <v>0.88</v>
      </c>
      <c r="G24" s="77">
        <f t="shared" si="4"/>
        <v>0.88</v>
      </c>
      <c r="H24" s="77">
        <f t="shared" si="4"/>
        <v>0.88</v>
      </c>
      <c r="I24" s="77">
        <f t="shared" si="4"/>
        <v>0.88</v>
      </c>
      <c r="J24" s="77">
        <f t="shared" si="4"/>
        <v>0.88</v>
      </c>
      <c r="K24" s="77">
        <f t="shared" si="4"/>
        <v>0.88</v>
      </c>
      <c r="L24" s="77">
        <f t="shared" si="4"/>
        <v>0.88</v>
      </c>
      <c r="M24" s="77">
        <f t="shared" si="4"/>
        <v>0.88</v>
      </c>
      <c r="N24" s="77">
        <f t="shared" si="4"/>
        <v>0.88</v>
      </c>
      <c r="O24" s="77">
        <f t="shared" si="4"/>
        <v>0.88</v>
      </c>
      <c r="P24" s="43">
        <v>0.88</v>
      </c>
      <c r="Q24" s="44"/>
      <c r="R24" s="45">
        <v>0</v>
      </c>
      <c r="S24" s="45">
        <v>0.88</v>
      </c>
    </row>
    <row r="25" spans="1:19" ht="15.75" x14ac:dyDescent="0.2">
      <c r="A25" s="46" t="s">
        <v>10</v>
      </c>
      <c r="B25" s="78">
        <f>$P25</f>
        <v>0.88</v>
      </c>
      <c r="C25" s="78">
        <f t="shared" si="4"/>
        <v>0.88</v>
      </c>
      <c r="D25" s="78">
        <f t="shared" si="4"/>
        <v>0.88</v>
      </c>
      <c r="E25" s="78">
        <f t="shared" si="4"/>
        <v>0.88</v>
      </c>
      <c r="F25" s="78">
        <f t="shared" si="4"/>
        <v>0.88</v>
      </c>
      <c r="G25" s="78">
        <f t="shared" si="4"/>
        <v>0.88</v>
      </c>
      <c r="H25" s="78">
        <f t="shared" si="4"/>
        <v>0.88</v>
      </c>
      <c r="I25" s="78">
        <f t="shared" si="4"/>
        <v>0.88</v>
      </c>
      <c r="J25" s="78">
        <f t="shared" si="4"/>
        <v>0.88</v>
      </c>
      <c r="K25" s="78">
        <f t="shared" si="4"/>
        <v>0.88</v>
      </c>
      <c r="L25" s="78">
        <f t="shared" si="4"/>
        <v>0.88</v>
      </c>
      <c r="M25" s="78">
        <f t="shared" si="4"/>
        <v>0.88</v>
      </c>
      <c r="N25" s="78">
        <f t="shared" si="4"/>
        <v>0.88</v>
      </c>
      <c r="O25" s="78">
        <f t="shared" si="4"/>
        <v>0.88</v>
      </c>
      <c r="P25" s="47">
        <v>0.88</v>
      </c>
      <c r="Q25" s="48"/>
      <c r="R25" s="49">
        <v>0</v>
      </c>
      <c r="S25" s="49">
        <v>0.88</v>
      </c>
    </row>
    <row r="26" spans="1:19" ht="15.75" x14ac:dyDescent="0.2">
      <c r="A26" s="46" t="s">
        <v>9</v>
      </c>
      <c r="B26" s="78">
        <f t="shared" ref="B26:O34" si="5">$P26</f>
        <v>0.88</v>
      </c>
      <c r="C26" s="78">
        <f t="shared" si="5"/>
        <v>0.88</v>
      </c>
      <c r="D26" s="78">
        <f t="shared" si="5"/>
        <v>0.88</v>
      </c>
      <c r="E26" s="78">
        <f t="shared" si="5"/>
        <v>0.88</v>
      </c>
      <c r="F26" s="78">
        <f t="shared" si="5"/>
        <v>0.88</v>
      </c>
      <c r="G26" s="78">
        <f t="shared" si="5"/>
        <v>0.88</v>
      </c>
      <c r="H26" s="78">
        <f t="shared" si="5"/>
        <v>0.88</v>
      </c>
      <c r="I26" s="78">
        <f t="shared" si="5"/>
        <v>0.88</v>
      </c>
      <c r="J26" s="78">
        <f t="shared" si="5"/>
        <v>0.88</v>
      </c>
      <c r="K26" s="78">
        <f t="shared" si="5"/>
        <v>0.88</v>
      </c>
      <c r="L26" s="78">
        <f t="shared" si="5"/>
        <v>0.88</v>
      </c>
      <c r="M26" s="78">
        <f t="shared" si="5"/>
        <v>0.88</v>
      </c>
      <c r="N26" s="78">
        <f t="shared" si="5"/>
        <v>0.88</v>
      </c>
      <c r="O26" s="78">
        <f t="shared" si="5"/>
        <v>0.88</v>
      </c>
      <c r="P26" s="47">
        <v>0.88</v>
      </c>
      <c r="Q26" s="48"/>
      <c r="R26" s="49">
        <v>0</v>
      </c>
      <c r="S26" s="49">
        <v>0.88</v>
      </c>
    </row>
    <row r="27" spans="1:19" ht="15.75" x14ac:dyDescent="0.2">
      <c r="A27" s="46" t="s">
        <v>8</v>
      </c>
      <c r="B27" s="78">
        <f t="shared" si="5"/>
        <v>0.88</v>
      </c>
      <c r="C27" s="78">
        <f t="shared" si="5"/>
        <v>0.88</v>
      </c>
      <c r="D27" s="78">
        <f t="shared" si="5"/>
        <v>0.88</v>
      </c>
      <c r="E27" s="78">
        <f t="shared" si="5"/>
        <v>0.88</v>
      </c>
      <c r="F27" s="78">
        <f t="shared" si="5"/>
        <v>0.88</v>
      </c>
      <c r="G27" s="78">
        <f t="shared" si="5"/>
        <v>0.88</v>
      </c>
      <c r="H27" s="78">
        <f t="shared" si="5"/>
        <v>0.88</v>
      </c>
      <c r="I27" s="78">
        <f t="shared" si="5"/>
        <v>0.88</v>
      </c>
      <c r="J27" s="78">
        <f t="shared" si="5"/>
        <v>0.88</v>
      </c>
      <c r="K27" s="78">
        <f t="shared" si="5"/>
        <v>0.88</v>
      </c>
      <c r="L27" s="78">
        <f t="shared" si="5"/>
        <v>0.88</v>
      </c>
      <c r="M27" s="78">
        <f t="shared" si="5"/>
        <v>0.88</v>
      </c>
      <c r="N27" s="78">
        <f t="shared" si="5"/>
        <v>0.88</v>
      </c>
      <c r="O27" s="78">
        <f t="shared" si="5"/>
        <v>0.88</v>
      </c>
      <c r="P27" s="47">
        <v>0.88</v>
      </c>
      <c r="Q27" s="48"/>
      <c r="R27" s="49">
        <v>0</v>
      </c>
      <c r="S27" s="49">
        <v>0.88</v>
      </c>
    </row>
    <row r="28" spans="1:19" ht="15.75" x14ac:dyDescent="0.2">
      <c r="A28" s="46" t="s">
        <v>7</v>
      </c>
      <c r="B28" s="78">
        <f t="shared" si="5"/>
        <v>0.88</v>
      </c>
      <c r="C28" s="78">
        <f t="shared" si="5"/>
        <v>0.88</v>
      </c>
      <c r="D28" s="78">
        <f t="shared" si="5"/>
        <v>0.88</v>
      </c>
      <c r="E28" s="78">
        <f t="shared" si="5"/>
        <v>0.88</v>
      </c>
      <c r="F28" s="78">
        <f t="shared" si="5"/>
        <v>0.88</v>
      </c>
      <c r="G28" s="78">
        <f t="shared" si="5"/>
        <v>0.88</v>
      </c>
      <c r="H28" s="78">
        <f t="shared" si="5"/>
        <v>0.88</v>
      </c>
      <c r="I28" s="78">
        <f t="shared" si="5"/>
        <v>0.88</v>
      </c>
      <c r="J28" s="78">
        <f t="shared" si="5"/>
        <v>0.88</v>
      </c>
      <c r="K28" s="78">
        <f t="shared" si="5"/>
        <v>0.88</v>
      </c>
      <c r="L28" s="78">
        <f t="shared" si="5"/>
        <v>0.88</v>
      </c>
      <c r="M28" s="78">
        <f t="shared" si="5"/>
        <v>0.88</v>
      </c>
      <c r="N28" s="78">
        <f t="shared" si="5"/>
        <v>0.88</v>
      </c>
      <c r="O28" s="78">
        <f t="shared" si="5"/>
        <v>0.88</v>
      </c>
      <c r="P28" s="47">
        <v>0.88</v>
      </c>
      <c r="Q28" s="48"/>
      <c r="R28" s="49">
        <v>0</v>
      </c>
      <c r="S28" s="49">
        <v>0.88</v>
      </c>
    </row>
    <row r="29" spans="1:19" ht="15.75" x14ac:dyDescent="0.2">
      <c r="A29" s="46" t="s">
        <v>6</v>
      </c>
      <c r="B29" s="78">
        <f t="shared" si="5"/>
        <v>0.88</v>
      </c>
      <c r="C29" s="78">
        <f t="shared" si="5"/>
        <v>0.88</v>
      </c>
      <c r="D29" s="78">
        <f t="shared" si="5"/>
        <v>0.88</v>
      </c>
      <c r="E29" s="78">
        <f t="shared" si="5"/>
        <v>0.88</v>
      </c>
      <c r="F29" s="78">
        <f t="shared" si="5"/>
        <v>0.88</v>
      </c>
      <c r="G29" s="78">
        <f t="shared" si="5"/>
        <v>0.88</v>
      </c>
      <c r="H29" s="78">
        <f t="shared" si="5"/>
        <v>0.88</v>
      </c>
      <c r="I29" s="78">
        <f t="shared" si="5"/>
        <v>0.88</v>
      </c>
      <c r="J29" s="78">
        <f t="shared" si="5"/>
        <v>0.88</v>
      </c>
      <c r="K29" s="78">
        <f t="shared" si="5"/>
        <v>0.88</v>
      </c>
      <c r="L29" s="78">
        <f t="shared" si="5"/>
        <v>0.88</v>
      </c>
      <c r="M29" s="78">
        <f t="shared" si="5"/>
        <v>0.88</v>
      </c>
      <c r="N29" s="78">
        <f t="shared" si="5"/>
        <v>0.88</v>
      </c>
      <c r="O29" s="78">
        <f t="shared" si="5"/>
        <v>0.88</v>
      </c>
      <c r="P29" s="47">
        <v>0.88</v>
      </c>
      <c r="Q29" s="48"/>
      <c r="R29" s="49">
        <v>0</v>
      </c>
      <c r="S29" s="49">
        <v>0.88</v>
      </c>
    </row>
    <row r="30" spans="1:19" ht="15.75" x14ac:dyDescent="0.2">
      <c r="A30" s="50" t="s">
        <v>5</v>
      </c>
      <c r="B30" s="79">
        <f t="shared" si="5"/>
        <v>0.75</v>
      </c>
      <c r="C30" s="79">
        <f t="shared" si="5"/>
        <v>0.75</v>
      </c>
      <c r="D30" s="79">
        <f t="shared" si="5"/>
        <v>0.75</v>
      </c>
      <c r="E30" s="79">
        <f t="shared" si="5"/>
        <v>0.75</v>
      </c>
      <c r="F30" s="79">
        <f t="shared" si="5"/>
        <v>0.75</v>
      </c>
      <c r="G30" s="79">
        <f t="shared" si="5"/>
        <v>0.75</v>
      </c>
      <c r="H30" s="79">
        <f t="shared" si="5"/>
        <v>0.75</v>
      </c>
      <c r="I30" s="79">
        <f t="shared" si="5"/>
        <v>0.75</v>
      </c>
      <c r="J30" s="79">
        <f t="shared" si="5"/>
        <v>0.75</v>
      </c>
      <c r="K30" s="79">
        <f t="shared" si="5"/>
        <v>0.75</v>
      </c>
      <c r="L30" s="79">
        <f t="shared" si="5"/>
        <v>0.75</v>
      </c>
      <c r="M30" s="79">
        <f t="shared" si="5"/>
        <v>0.75</v>
      </c>
      <c r="N30" s="79">
        <f t="shared" si="5"/>
        <v>0.75</v>
      </c>
      <c r="O30" s="79">
        <f t="shared" si="5"/>
        <v>0.75</v>
      </c>
      <c r="P30" s="51">
        <v>0.75</v>
      </c>
      <c r="Q30" s="52"/>
      <c r="R30" s="53">
        <v>0</v>
      </c>
      <c r="S30" s="53">
        <v>0.75</v>
      </c>
    </row>
    <row r="31" spans="1:19" ht="15.75" x14ac:dyDescent="0.2">
      <c r="A31" s="54" t="s">
        <v>4</v>
      </c>
      <c r="B31" s="80">
        <f t="shared" si="5"/>
        <v>0.75</v>
      </c>
      <c r="C31" s="80">
        <f t="shared" si="5"/>
        <v>0.75</v>
      </c>
      <c r="D31" s="80">
        <f t="shared" si="5"/>
        <v>0.75</v>
      </c>
      <c r="E31" s="80">
        <f t="shared" si="5"/>
        <v>0.75</v>
      </c>
      <c r="F31" s="80">
        <f t="shared" si="5"/>
        <v>0.75</v>
      </c>
      <c r="G31" s="80">
        <f t="shared" si="5"/>
        <v>0.75</v>
      </c>
      <c r="H31" s="80">
        <f t="shared" si="5"/>
        <v>0.75</v>
      </c>
      <c r="I31" s="80">
        <f t="shared" si="5"/>
        <v>0.75</v>
      </c>
      <c r="J31" s="80">
        <f t="shared" si="5"/>
        <v>0.75</v>
      </c>
      <c r="K31" s="80">
        <f t="shared" si="5"/>
        <v>0.75</v>
      </c>
      <c r="L31" s="80">
        <f t="shared" si="5"/>
        <v>0.75</v>
      </c>
      <c r="M31" s="80">
        <f t="shared" si="5"/>
        <v>0.75</v>
      </c>
      <c r="N31" s="80">
        <f t="shared" si="5"/>
        <v>0.75</v>
      </c>
      <c r="O31" s="80">
        <f t="shared" si="5"/>
        <v>0.75</v>
      </c>
      <c r="P31" s="55">
        <f>P30</f>
        <v>0.75</v>
      </c>
      <c r="Q31" s="56"/>
      <c r="R31" s="57">
        <f>R30</f>
        <v>0</v>
      </c>
      <c r="S31" s="57">
        <f>S30</f>
        <v>0.75</v>
      </c>
    </row>
    <row r="32" spans="1:19" ht="15.75" x14ac:dyDescent="0.2">
      <c r="A32" s="58" t="s">
        <v>3</v>
      </c>
      <c r="B32" s="81">
        <f t="shared" si="5"/>
        <v>0.95</v>
      </c>
      <c r="C32" s="81">
        <f t="shared" si="5"/>
        <v>0.95</v>
      </c>
      <c r="D32" s="81">
        <f t="shared" si="5"/>
        <v>0.95</v>
      </c>
      <c r="E32" s="81">
        <f t="shared" si="5"/>
        <v>0.95</v>
      </c>
      <c r="F32" s="81">
        <f t="shared" si="5"/>
        <v>0.95</v>
      </c>
      <c r="G32" s="81">
        <f t="shared" si="5"/>
        <v>0.95</v>
      </c>
      <c r="H32" s="81">
        <f t="shared" si="5"/>
        <v>0.95</v>
      </c>
      <c r="I32" s="81">
        <f t="shared" si="5"/>
        <v>0.95</v>
      </c>
      <c r="J32" s="81">
        <f t="shared" si="5"/>
        <v>0.95</v>
      </c>
      <c r="K32" s="81">
        <f t="shared" si="5"/>
        <v>0.95</v>
      </c>
      <c r="L32" s="81">
        <f t="shared" si="5"/>
        <v>0.95</v>
      </c>
      <c r="M32" s="81">
        <f t="shared" si="5"/>
        <v>0.95</v>
      </c>
      <c r="N32" s="81">
        <f t="shared" si="5"/>
        <v>0.95</v>
      </c>
      <c r="O32" s="81">
        <f t="shared" si="5"/>
        <v>0.95</v>
      </c>
      <c r="P32" s="59">
        <v>0.95</v>
      </c>
      <c r="Q32" s="60"/>
      <c r="R32" s="61">
        <v>0.9</v>
      </c>
      <c r="S32" s="61">
        <v>0.95</v>
      </c>
    </row>
    <row r="33" spans="1:19" ht="15.75" x14ac:dyDescent="0.2">
      <c r="A33" s="50" t="s">
        <v>2</v>
      </c>
      <c r="B33" s="79">
        <f t="shared" si="5"/>
        <v>0.1</v>
      </c>
      <c r="C33" s="79">
        <f t="shared" si="5"/>
        <v>0.1</v>
      </c>
      <c r="D33" s="79">
        <f t="shared" si="5"/>
        <v>0.1</v>
      </c>
      <c r="E33" s="79">
        <f t="shared" si="5"/>
        <v>0.1</v>
      </c>
      <c r="F33" s="79">
        <f t="shared" si="5"/>
        <v>0.1</v>
      </c>
      <c r="G33" s="79">
        <f t="shared" si="5"/>
        <v>0.1</v>
      </c>
      <c r="H33" s="79">
        <f t="shared" si="5"/>
        <v>0.1</v>
      </c>
      <c r="I33" s="79">
        <f t="shared" si="5"/>
        <v>0.1</v>
      </c>
      <c r="J33" s="79">
        <f t="shared" si="5"/>
        <v>0.1</v>
      </c>
      <c r="K33" s="79">
        <f t="shared" si="5"/>
        <v>0.1</v>
      </c>
      <c r="L33" s="79">
        <f t="shared" si="5"/>
        <v>0.1</v>
      </c>
      <c r="M33" s="79">
        <f t="shared" si="5"/>
        <v>0.1</v>
      </c>
      <c r="N33" s="79">
        <f t="shared" si="5"/>
        <v>0.1</v>
      </c>
      <c r="O33" s="79">
        <f t="shared" si="5"/>
        <v>0.1</v>
      </c>
      <c r="P33" s="51">
        <v>0.1</v>
      </c>
      <c r="Q33" s="52"/>
      <c r="R33" s="53">
        <v>0</v>
      </c>
      <c r="S33" s="53">
        <v>0.1</v>
      </c>
    </row>
    <row r="34" spans="1:19" ht="15.75" x14ac:dyDescent="0.2">
      <c r="A34" s="50" t="s">
        <v>1</v>
      </c>
      <c r="B34" s="79">
        <f t="shared" si="5"/>
        <v>0.1</v>
      </c>
      <c r="C34" s="79">
        <f t="shared" si="5"/>
        <v>0.1</v>
      </c>
      <c r="D34" s="79">
        <f t="shared" si="5"/>
        <v>0.1</v>
      </c>
      <c r="E34" s="79">
        <f t="shared" si="5"/>
        <v>0.1</v>
      </c>
      <c r="F34" s="79">
        <f t="shared" si="5"/>
        <v>0.1</v>
      </c>
      <c r="G34" s="79">
        <f t="shared" si="5"/>
        <v>0.1</v>
      </c>
      <c r="H34" s="79">
        <f t="shared" si="5"/>
        <v>0.1</v>
      </c>
      <c r="I34" s="79">
        <f t="shared" si="5"/>
        <v>0.1</v>
      </c>
      <c r="J34" s="79">
        <f t="shared" si="5"/>
        <v>0.1</v>
      </c>
      <c r="K34" s="79">
        <f t="shared" si="5"/>
        <v>0.1</v>
      </c>
      <c r="L34" s="79">
        <f t="shared" si="5"/>
        <v>0.1</v>
      </c>
      <c r="M34" s="79">
        <f t="shared" si="5"/>
        <v>0.1</v>
      </c>
      <c r="N34" s="79">
        <f t="shared" si="5"/>
        <v>0.1</v>
      </c>
      <c r="O34" s="79">
        <f t="shared" si="5"/>
        <v>0.1</v>
      </c>
      <c r="P34" s="51">
        <f>P33</f>
        <v>0.1</v>
      </c>
      <c r="Q34" s="52"/>
      <c r="R34" s="53">
        <f>R33</f>
        <v>0</v>
      </c>
      <c r="S34" s="53">
        <f>S33</f>
        <v>0.1</v>
      </c>
    </row>
  </sheetData>
  <sheetProtection algorithmName="SHA-512" hashValue="K1TLzhOctJO8VIcKCUaLi41TL9dA08IICdjeK9utYPSfq+lFuFeAtVsur54hUbCJlnQ8QoBGRlJMeWL4G9GrzA==" saltValue="cIjU2lznPY5OxUDPE5+rBw==" spinCount="100000" sheet="1" objects="1" scenarios="1"/>
  <mergeCells count="2">
    <mergeCell ref="B6:O6"/>
    <mergeCell ref="B12:O12"/>
  </mergeCells>
  <hyperlinks>
    <hyperlink ref="C3" r:id="rId1" display="Link to Microsolft Excel Solver information"/>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sqref="A1:XFD1048576"/>
    </sheetView>
  </sheetViews>
  <sheetFormatPr defaultColWidth="9.140625" defaultRowHeight="14.25" x14ac:dyDescent="0.2"/>
  <cols>
    <col min="1" max="1" width="9.5703125" style="2" customWidth="1"/>
    <col min="2" max="2" width="40" style="2" customWidth="1"/>
    <col min="3" max="14" width="9.140625" style="2"/>
    <col min="15" max="15" width="10.5703125" style="2" customWidth="1"/>
    <col min="16" max="16384" width="9.140625" style="2"/>
  </cols>
  <sheetData>
    <row r="1" spans="1:17" s="4" customFormat="1" ht="18" x14ac:dyDescent="0.25">
      <c r="A1" s="3" t="s">
        <v>28</v>
      </c>
    </row>
    <row r="2" spans="1:17" x14ac:dyDescent="0.2">
      <c r="A2" s="25" t="s">
        <v>98</v>
      </c>
    </row>
    <row r="3" spans="1:17" x14ac:dyDescent="0.2">
      <c r="A3" s="5" t="s">
        <v>97</v>
      </c>
    </row>
    <row r="4" spans="1:17" x14ac:dyDescent="0.2">
      <c r="A4" s="5"/>
    </row>
    <row r="5" spans="1:17" x14ac:dyDescent="0.2">
      <c r="B5" s="82"/>
      <c r="G5" s="2" t="s">
        <v>25</v>
      </c>
      <c r="J5" s="2" t="s">
        <v>25</v>
      </c>
    </row>
    <row r="7" spans="1:17" ht="15" x14ac:dyDescent="0.25">
      <c r="B7" s="26"/>
      <c r="C7" s="142" t="s">
        <v>26</v>
      </c>
      <c r="D7" s="142"/>
      <c r="E7" s="142"/>
      <c r="F7" s="142"/>
      <c r="G7" s="142"/>
      <c r="H7" s="142"/>
      <c r="I7" s="142"/>
      <c r="J7" s="142"/>
      <c r="K7" s="142"/>
      <c r="L7" s="142"/>
      <c r="M7" s="142"/>
      <c r="N7" s="142"/>
      <c r="O7" s="142"/>
      <c r="P7" s="142"/>
      <c r="Q7" s="83"/>
    </row>
    <row r="8" spans="1:17" x14ac:dyDescent="0.2">
      <c r="B8" s="27" t="s">
        <v>24</v>
      </c>
      <c r="C8" s="67">
        <v>17090001</v>
      </c>
      <c r="D8" s="67">
        <v>17090002</v>
      </c>
      <c r="E8" s="67">
        <v>17090003</v>
      </c>
      <c r="F8" s="67">
        <v>17090004</v>
      </c>
      <c r="G8" s="67">
        <v>17090005</v>
      </c>
      <c r="H8" s="67">
        <v>17090006</v>
      </c>
      <c r="I8" s="67">
        <v>17090007</v>
      </c>
      <c r="J8" s="67">
        <v>17090008</v>
      </c>
      <c r="K8" s="67">
        <v>17090009</v>
      </c>
      <c r="L8" s="67">
        <v>17090010</v>
      </c>
      <c r="M8" s="67">
        <v>17090011</v>
      </c>
      <c r="N8" s="67">
        <v>17090012</v>
      </c>
      <c r="O8" s="67" t="s">
        <v>23</v>
      </c>
      <c r="P8" s="67" t="s">
        <v>22</v>
      </c>
      <c r="Q8" s="68" t="s">
        <v>0</v>
      </c>
    </row>
    <row r="9" spans="1:17" x14ac:dyDescent="0.2">
      <c r="B9" s="28" t="s">
        <v>21</v>
      </c>
      <c r="C9" s="84">
        <f>(1 - 'Allocation Optimize Final'!$Q14)*'At-Source Loads'!C9</f>
        <v>1.1051474787500146E-4</v>
      </c>
      <c r="D9" s="84">
        <f>(1 - 'Allocation Optimize Final'!$Q14)*'At-Source Loads'!D9</f>
        <v>4.3498599460969125E-4</v>
      </c>
      <c r="E9" s="84">
        <f>(1 - 'Allocation Optimize Final'!$Q14)*'At-Source Loads'!E9</f>
        <v>6.7948309357004051E-3</v>
      </c>
      <c r="F9" s="84">
        <f>(1 - 'Allocation Optimize Final'!$Q14)*'At-Source Loads'!F9</f>
        <v>1.3402810594089458E-4</v>
      </c>
      <c r="G9" s="84">
        <f>(1 - 'Allocation Optimize Final'!$Q14)*'At-Source Loads'!G9</f>
        <v>5.7749077515026088E-4</v>
      </c>
      <c r="H9" s="84">
        <f>(1 - 'Allocation Optimize Final'!$Q14)*'At-Source Loads'!H9</f>
        <v>7.3436437591439829E-4</v>
      </c>
      <c r="I9" s="84">
        <f>(1 - 'Allocation Optimize Final'!$Q14)*'At-Source Loads'!I9</f>
        <v>2.8803570320578144E-3</v>
      </c>
      <c r="J9" s="84">
        <f>(1 - 'Allocation Optimize Final'!$Q14)*'At-Source Loads'!J9</f>
        <v>2.7938678389298117E-3</v>
      </c>
      <c r="K9" s="84">
        <f>(1 - 'Allocation Optimize Final'!$Q14)*'At-Source Loads'!K9</f>
        <v>1.6515935846044074E-3</v>
      </c>
      <c r="L9" s="84">
        <f>(1 - 'Allocation Optimize Final'!$Q14)*'At-Source Loads'!L9</f>
        <v>2.0280611846414014E-3</v>
      </c>
      <c r="M9" s="84">
        <f>(1 - 'Allocation Optimize Final'!$Q14)*'At-Source Loads'!M9</f>
        <v>3.3520350570984711E-4</v>
      </c>
      <c r="N9" s="84">
        <f>(1 - 'Allocation Optimize Final'!$Q14)*'At-Source Loads'!N9</f>
        <v>2.8613385584303814E-5</v>
      </c>
      <c r="O9" s="84">
        <f>(1 - 'Allocation Optimize Final'!$Q14)*'At-Source Loads'!O9</f>
        <v>7.6805014290164239E-4</v>
      </c>
      <c r="P9" s="84">
        <f>(1 - 'Allocation Optimize Final'!$Q14)*'At-Source Loads'!P9</f>
        <v>8.2920200543209506E-6</v>
      </c>
      <c r="Q9" s="85">
        <f>SUM(C9:P9)</f>
        <v>1.9280253629674199E-2</v>
      </c>
    </row>
    <row r="10" spans="1:17" x14ac:dyDescent="0.2">
      <c r="B10" s="28" t="s">
        <v>20</v>
      </c>
      <c r="C10" s="84">
        <f>(1 - 'Allocation Optimize Final'!$Q15)*'At-Source Loads'!C10</f>
        <v>2.5408282015836527E-2</v>
      </c>
      <c r="D10" s="84">
        <f>(1 - 'Allocation Optimize Final'!$Q15)*'At-Source Loads'!D10</f>
        <v>2.7473298731670599E-2</v>
      </c>
      <c r="E10" s="84">
        <f>(1 - 'Allocation Optimize Final'!$Q15)*'At-Source Loads'!E10</f>
        <v>1.2291480433731175E-2</v>
      </c>
      <c r="F10" s="84">
        <f>(1 - 'Allocation Optimize Final'!$Q15)*'At-Source Loads'!F10</f>
        <v>3.5393927651975868E-2</v>
      </c>
      <c r="G10" s="84">
        <f>(1 - 'Allocation Optimize Final'!$Q15)*'At-Source Loads'!G10</f>
        <v>2.3518438953129068E-2</v>
      </c>
      <c r="H10" s="84">
        <f>(1 - 'Allocation Optimize Final'!$Q15)*'At-Source Loads'!H10</f>
        <v>4.1459922289384069E-2</v>
      </c>
      <c r="I10" s="84">
        <f>(1 - 'Allocation Optimize Final'!$Q15)*'At-Source Loads'!I10</f>
        <v>9.6912152697066663E-4</v>
      </c>
      <c r="J10" s="84">
        <f>(1 - 'Allocation Optimize Final'!$Q15)*'At-Source Loads'!J10</f>
        <v>3.8565478864783301E-3</v>
      </c>
      <c r="K10" s="84">
        <f>(1 - 'Allocation Optimize Final'!$Q15)*'At-Source Loads'!K10</f>
        <v>1.1640065441702756E-2</v>
      </c>
      <c r="L10" s="84">
        <f>(1 - 'Allocation Optimize Final'!$Q15)*'At-Source Loads'!L10</f>
        <v>2.7274433370122228E-3</v>
      </c>
      <c r="M10" s="84">
        <f>(1 - 'Allocation Optimize Final'!$Q15)*'At-Source Loads'!M10</f>
        <v>2.1639501131974957E-2</v>
      </c>
      <c r="N10" s="84">
        <f>(1 - 'Allocation Optimize Final'!$Q15)*'At-Source Loads'!N10</f>
        <v>2.3483971111317467E-4</v>
      </c>
      <c r="O10" s="84">
        <f>(1 - 'Allocation Optimize Final'!$Q15)*'At-Source Loads'!O10</f>
        <v>1.1813206654562945E-3</v>
      </c>
      <c r="P10" s="84">
        <f>(1 - 'Allocation Optimize Final'!$Q15)*'At-Source Loads'!P10</f>
        <v>1.6478696248232477E-6</v>
      </c>
      <c r="Q10" s="85">
        <f t="shared" ref="Q10:Q29" si="0">SUM(C10:P10)</f>
        <v>0.20779583764606052</v>
      </c>
    </row>
    <row r="11" spans="1:17" x14ac:dyDescent="0.2">
      <c r="B11" s="28" t="s">
        <v>19</v>
      </c>
      <c r="C11" s="84">
        <f>(1 - 'Allocation Optimize Final'!$Q16)*'At-Source Loads'!C11</f>
        <v>6.6662162422678499E-3</v>
      </c>
      <c r="D11" s="84">
        <f>(1 - 'Allocation Optimize Final'!$Q16)*'At-Source Loads'!D11</f>
        <v>1.0018254862617865E-2</v>
      </c>
      <c r="E11" s="84">
        <f>(1 - 'Allocation Optimize Final'!$Q16)*'At-Source Loads'!E11</f>
        <v>8.5788214883861773E-3</v>
      </c>
      <c r="F11" s="84">
        <f>(1 - 'Allocation Optimize Final'!$Q16)*'At-Source Loads'!F11</f>
        <v>8.0751458543075749E-3</v>
      </c>
      <c r="G11" s="84">
        <f>(1 - 'Allocation Optimize Final'!$Q16)*'At-Source Loads'!G11</f>
        <v>5.5560088343704923E-3</v>
      </c>
      <c r="H11" s="84">
        <f>(1 - 'Allocation Optimize Final'!$Q16)*'At-Source Loads'!H11</f>
        <v>1.3285189431630016E-2</v>
      </c>
      <c r="I11" s="84">
        <f>(1 - 'Allocation Optimize Final'!$Q16)*'At-Source Loads'!I11</f>
        <v>4.4140927885679939E-4</v>
      </c>
      <c r="J11" s="84">
        <f>(1 - 'Allocation Optimize Final'!$Q16)*'At-Source Loads'!J11</f>
        <v>2.375423855964196E-3</v>
      </c>
      <c r="K11" s="84">
        <f>(1 - 'Allocation Optimize Final'!$Q16)*'At-Source Loads'!K11</f>
        <v>3.6397521434714279E-3</v>
      </c>
      <c r="L11" s="84">
        <f>(1 - 'Allocation Optimize Final'!$Q16)*'At-Source Loads'!L11</f>
        <v>1.7347788016855491E-3</v>
      </c>
      <c r="M11" s="84">
        <f>(1 - 'Allocation Optimize Final'!$Q16)*'At-Source Loads'!M11</f>
        <v>4.9014543556322567E-3</v>
      </c>
      <c r="N11" s="84">
        <f>(1 - 'Allocation Optimize Final'!$Q16)*'At-Source Loads'!N11</f>
        <v>1.5445900316961244E-5</v>
      </c>
      <c r="O11" s="84">
        <f>(1 - 'Allocation Optimize Final'!$Q16)*'At-Source Loads'!O11</f>
        <v>6.4213686894655758E-4</v>
      </c>
      <c r="P11" s="84">
        <f>(1 - 'Allocation Optimize Final'!$Q16)*'At-Source Loads'!P11</f>
        <v>1.2388813794544245E-6</v>
      </c>
      <c r="Q11" s="85">
        <f t="shared" si="0"/>
        <v>6.5931276799833183E-2</v>
      </c>
    </row>
    <row r="12" spans="1:17" x14ac:dyDescent="0.2">
      <c r="B12" s="28" t="s">
        <v>18</v>
      </c>
      <c r="C12" s="84">
        <f>(1 - 'Allocation Optimize Final'!$Q17)*'At-Source Loads'!C12</f>
        <v>1.5840245481530037E-3</v>
      </c>
      <c r="D12" s="84">
        <f>(1 - 'Allocation Optimize Final'!$Q17)*'At-Source Loads'!D12</f>
        <v>2.2024214362586195E-3</v>
      </c>
      <c r="E12" s="84">
        <f>(1 - 'Allocation Optimize Final'!$Q17)*'At-Source Loads'!E12</f>
        <v>1.7701554885194544E-2</v>
      </c>
      <c r="F12" s="84">
        <f>(1 - 'Allocation Optimize Final'!$Q17)*'At-Source Loads'!F12</f>
        <v>1.4710547358255269E-3</v>
      </c>
      <c r="G12" s="84">
        <f>(1 - 'Allocation Optimize Final'!$Q17)*'At-Source Loads'!G12</f>
        <v>2.0125590660028973E-3</v>
      </c>
      <c r="H12" s="84">
        <f>(1 - 'Allocation Optimize Final'!$Q17)*'At-Source Loads'!H12</f>
        <v>1.9122718252572366E-3</v>
      </c>
      <c r="I12" s="84">
        <f>(1 - 'Allocation Optimize Final'!$Q17)*'At-Source Loads'!I12</f>
        <v>1.1716786265753147E-2</v>
      </c>
      <c r="J12" s="84">
        <f>(1 - 'Allocation Optimize Final'!$Q17)*'At-Source Loads'!J12</f>
        <v>4.2447386897339068E-3</v>
      </c>
      <c r="K12" s="84">
        <f>(1 - 'Allocation Optimize Final'!$Q17)*'At-Source Loads'!K12</f>
        <v>4.1147877030019197E-3</v>
      </c>
      <c r="L12" s="84">
        <f>(1 - 'Allocation Optimize Final'!$Q17)*'At-Source Loads'!L12</f>
        <v>8.8912875836673882E-3</v>
      </c>
      <c r="M12" s="84">
        <f>(1 - 'Allocation Optimize Final'!$Q17)*'At-Source Loads'!M12</f>
        <v>2.7484162462580522E-3</v>
      </c>
      <c r="N12" s="84">
        <f>(1 - 'Allocation Optimize Final'!$Q17)*'At-Source Loads'!N12</f>
        <v>1.1552309869552834E-2</v>
      </c>
      <c r="O12" s="84">
        <f>(1 - 'Allocation Optimize Final'!$Q17)*'At-Source Loads'!O12</f>
        <v>1.269956370121656E-3</v>
      </c>
      <c r="P12" s="84">
        <f>(1 - 'Allocation Optimize Final'!$Q17)*'At-Source Loads'!P12</f>
        <v>6.9003527142559133E-3</v>
      </c>
      <c r="Q12" s="85">
        <f t="shared" si="0"/>
        <v>7.832252193903666E-2</v>
      </c>
    </row>
    <row r="13" spans="1:17" x14ac:dyDescent="0.2">
      <c r="B13" s="28" t="s">
        <v>17</v>
      </c>
      <c r="C13" s="84">
        <f>(1 - 'Allocation Optimize Final'!$Q18)*'At-Source Loads'!C13</f>
        <v>5.8048234907019675E-3</v>
      </c>
      <c r="D13" s="84">
        <f>(1 - 'Allocation Optimize Final'!$Q18)*'At-Source Loads'!D13</f>
        <v>3.4583033708439734E-3</v>
      </c>
      <c r="E13" s="84">
        <f>(1 - 'Allocation Optimize Final'!$Q18)*'At-Source Loads'!E13</f>
        <v>1.6499989169469043E-2</v>
      </c>
      <c r="F13" s="84">
        <f>(1 - 'Allocation Optimize Final'!$Q18)*'At-Source Loads'!F13</f>
        <v>1.0413435055131462E-2</v>
      </c>
      <c r="G13" s="84">
        <f>(1 - 'Allocation Optimize Final'!$Q18)*'At-Source Loads'!G13</f>
        <v>4.262844017358762E-3</v>
      </c>
      <c r="H13" s="84">
        <f>(1 - 'Allocation Optimize Final'!$Q18)*'At-Source Loads'!H13</f>
        <v>5.7994019179738827E-3</v>
      </c>
      <c r="I13" s="84">
        <f>(1 - 'Allocation Optimize Final'!$Q18)*'At-Source Loads'!I13</f>
        <v>3.4237542654683662E-3</v>
      </c>
      <c r="J13" s="84">
        <f>(1 - 'Allocation Optimize Final'!$Q18)*'At-Source Loads'!J13</f>
        <v>3.6089007734295339E-3</v>
      </c>
      <c r="K13" s="84">
        <f>(1 - 'Allocation Optimize Final'!$Q18)*'At-Source Loads'!K13</f>
        <v>2.2045278649473381E-3</v>
      </c>
      <c r="L13" s="84">
        <f>(1 - 'Allocation Optimize Final'!$Q18)*'At-Source Loads'!L13</f>
        <v>1.4935036923247207E-3</v>
      </c>
      <c r="M13" s="84">
        <f>(1 - 'Allocation Optimize Final'!$Q18)*'At-Source Loads'!M13</f>
        <v>1.1463041825810474E-3</v>
      </c>
      <c r="N13" s="84">
        <f>(1 - 'Allocation Optimize Final'!$Q18)*'At-Source Loads'!N13</f>
        <v>3.6465770246217594E-4</v>
      </c>
      <c r="O13" s="84">
        <f>(1 - 'Allocation Optimize Final'!$Q18)*'At-Source Loads'!O13</f>
        <v>1.0687376062905581E-3</v>
      </c>
      <c r="P13" s="84">
        <f>(1 - 'Allocation Optimize Final'!$Q18)*'At-Source Loads'!P13</f>
        <v>1.2819006189292533E-4</v>
      </c>
      <c r="Q13" s="85">
        <f t="shared" si="0"/>
        <v>5.9677373170875757E-2</v>
      </c>
    </row>
    <row r="14" spans="1:17" x14ac:dyDescent="0.2">
      <c r="B14" s="28" t="s">
        <v>16</v>
      </c>
      <c r="C14" s="84">
        <f>(1 - 'Allocation Optimize Final'!$P19)*'At-Source Loads'!C14</f>
        <v>0.22266572143449898</v>
      </c>
      <c r="D14" s="84">
        <f>(1 - 'Allocation Optimize Final'!$P19)*'At-Source Loads'!D14</f>
        <v>6.2188383420397737E-2</v>
      </c>
      <c r="E14" s="84">
        <f>(1 - 'Allocation Optimize Final'!$P19)*'At-Source Loads'!E14</f>
        <v>0.37476537496206852</v>
      </c>
      <c r="F14" s="84">
        <f>(1 - 'Allocation Optimize Final'!$P19)*'At-Source Loads'!F14</f>
        <v>0.10327787984861335</v>
      </c>
      <c r="G14" s="84">
        <f>(1 - 'Allocation Optimize Final'!$P19)*'At-Source Loads'!G14</f>
        <v>8.9726234838611724E-2</v>
      </c>
      <c r="H14" s="84">
        <f>(1 - 'Allocation Optimize Final'!$P19)*'At-Source Loads'!H14</f>
        <v>8.47263564623702E-2</v>
      </c>
      <c r="I14" s="84">
        <f>(1 - 'Allocation Optimize Final'!$P19)*'At-Source Loads'!I14</f>
        <v>0.51841996946079327</v>
      </c>
      <c r="J14" s="84">
        <f>(1 - 'Allocation Optimize Final'!$P19)*'At-Source Loads'!J14</f>
        <v>5.9005314868307755E-2</v>
      </c>
      <c r="K14" s="84">
        <f>(1 - 'Allocation Optimize Final'!$P19)*'At-Source Loads'!K14</f>
        <v>5.8210433256015333E-2</v>
      </c>
      <c r="L14" s="84">
        <f>(1 - 'Allocation Optimize Final'!$P19)*'At-Source Loads'!L14</f>
        <v>7.493754191433924E-2</v>
      </c>
      <c r="M14" s="84">
        <f>(1 - 'Allocation Optimize Final'!$P19)*'At-Source Loads'!M14</f>
        <v>6.9610422737016994E-2</v>
      </c>
      <c r="N14" s="84">
        <f>(1 - 'Allocation Optimize Final'!$P19)*'At-Source Loads'!N14</f>
        <v>0.15700015977921597</v>
      </c>
      <c r="O14" s="84">
        <f>(1 - 'Allocation Optimize Final'!$P19)*'At-Source Loads'!O14</f>
        <v>1.5415755603589173E-2</v>
      </c>
      <c r="P14" s="84">
        <f>(1 - 'Allocation Optimize Final'!$P19)*'At-Source Loads'!P14</f>
        <v>1.7283847155656475E-2</v>
      </c>
      <c r="Q14" s="85">
        <f t="shared" si="0"/>
        <v>1.9072333957414949</v>
      </c>
    </row>
    <row r="15" spans="1:17" x14ac:dyDescent="0.2">
      <c r="B15" s="28" t="s">
        <v>15</v>
      </c>
      <c r="C15" s="84">
        <f>(1 - 'Allocation Optimize Final'!$P20)*'At-Source Loads'!C15</f>
        <v>4.2047600231656041E-3</v>
      </c>
      <c r="D15" s="84">
        <f>(1 - 'Allocation Optimize Final'!$P20)*'At-Source Loads'!D15</f>
        <v>4.1034288629124577E-3</v>
      </c>
      <c r="E15" s="84">
        <f>(1 - 'Allocation Optimize Final'!$P20)*'At-Source Loads'!E15</f>
        <v>0.12661004063425024</v>
      </c>
      <c r="F15" s="84">
        <f>(1 - 'Allocation Optimize Final'!$P20)*'At-Source Loads'!F15</f>
        <v>1.1701116436296293E-2</v>
      </c>
      <c r="G15" s="84">
        <f>(1 - 'Allocation Optimize Final'!$P20)*'At-Source Loads'!G15</f>
        <v>2.02025030858488E-2</v>
      </c>
      <c r="H15" s="84">
        <f>(1 - 'Allocation Optimize Final'!$P20)*'At-Source Loads'!H15</f>
        <v>2.3581957661521821E-2</v>
      </c>
      <c r="I15" s="84">
        <f>(1 - 'Allocation Optimize Final'!$P20)*'At-Source Loads'!I15</f>
        <v>6.8288698496728861E-2</v>
      </c>
      <c r="J15" s="84">
        <f>(1 - 'Allocation Optimize Final'!$P20)*'At-Source Loads'!J15</f>
        <v>9.8818045352111833E-2</v>
      </c>
      <c r="K15" s="84">
        <f>(1 - 'Allocation Optimize Final'!$P20)*'At-Source Loads'!K15</f>
        <v>8.2445023928708699E-2</v>
      </c>
      <c r="L15" s="84">
        <f>(1 - 'Allocation Optimize Final'!$P20)*'At-Source Loads'!L15</f>
        <v>5.5209246974423455E-2</v>
      </c>
      <c r="M15" s="84">
        <f>(1 - 'Allocation Optimize Final'!$P20)*'At-Source Loads'!M15</f>
        <v>1.65308555458775E-2</v>
      </c>
      <c r="N15" s="84">
        <f>(1 - 'Allocation Optimize Final'!$P20)*'At-Source Loads'!N15</f>
        <v>1.3813044671827036E-3</v>
      </c>
      <c r="O15" s="84">
        <f>(1 - 'Allocation Optimize Final'!$P20)*'At-Source Loads'!O15</f>
        <v>8.7713109804440099E-3</v>
      </c>
      <c r="P15" s="84">
        <f>(1 - 'Allocation Optimize Final'!$P20)*'At-Source Loads'!P15</f>
        <v>9.8896014625190758E-5</v>
      </c>
      <c r="Q15" s="85">
        <f t="shared" si="0"/>
        <v>0.52194718846409738</v>
      </c>
    </row>
    <row r="16" spans="1:17" x14ac:dyDescent="0.2">
      <c r="B16" s="28" t="s">
        <v>14</v>
      </c>
      <c r="C16" s="84">
        <f>(1 - 'Allocation Optimize Final'!$P21)*'At-Source Loads'!C16</f>
        <v>0.26546396581403126</v>
      </c>
      <c r="D16" s="84">
        <f>(1 - 'Allocation Optimize Final'!$P21)*'At-Source Loads'!D16</f>
        <v>5.5588618254101073E-2</v>
      </c>
      <c r="E16" s="84">
        <f>(1 - 'Allocation Optimize Final'!$P21)*'At-Source Loads'!E16</f>
        <v>0.10083465437862664</v>
      </c>
      <c r="F16" s="84">
        <f>(1 - 'Allocation Optimize Final'!$P21)*'At-Source Loads'!F16</f>
        <v>0.43043497290835947</v>
      </c>
      <c r="G16" s="84">
        <f>(1 - 'Allocation Optimize Final'!$P21)*'At-Source Loads'!G16</f>
        <v>0.19743904192141515</v>
      </c>
      <c r="H16" s="84">
        <f>(1 - 'Allocation Optimize Final'!$P21)*'At-Source Loads'!H16</f>
        <v>0.13713522628059113</v>
      </c>
      <c r="I16" s="84">
        <f>(1 - 'Allocation Optimize Final'!$P21)*'At-Source Loads'!I16</f>
        <v>1.375979964990064E-2</v>
      </c>
      <c r="J16" s="84">
        <f>(1 - 'Allocation Optimize Final'!$P21)*'At-Source Loads'!J16</f>
        <v>6.9701451483551266E-2</v>
      </c>
      <c r="K16" s="84">
        <f>(1 - 'Allocation Optimize Final'!$P21)*'At-Source Loads'!K16</f>
        <v>8.4871369561720283E-2</v>
      </c>
      <c r="L16" s="84">
        <f>(1 - 'Allocation Optimize Final'!$P21)*'At-Source Loads'!L16</f>
        <v>2.8035324784231784E-2</v>
      </c>
      <c r="M16" s="84">
        <f>(1 - 'Allocation Optimize Final'!$P21)*'At-Source Loads'!M16</f>
        <v>0.28532788746026844</v>
      </c>
      <c r="N16" s="84">
        <f>(1 - 'Allocation Optimize Final'!$P21)*'At-Source Loads'!N16</f>
        <v>2.9340569120997551E-3</v>
      </c>
      <c r="O16" s="84">
        <f>(1 - 'Allocation Optimize Final'!$P21)*'At-Source Loads'!O16</f>
        <v>1.2394418509708963E-2</v>
      </c>
      <c r="P16" s="84">
        <f>(1 - 'Allocation Optimize Final'!$P21)*'At-Source Loads'!P16</f>
        <v>5.9330861077500287E-5</v>
      </c>
      <c r="Q16" s="85">
        <f t="shared" si="0"/>
        <v>1.6839801187796832</v>
      </c>
    </row>
    <row r="17" spans="1:19" x14ac:dyDescent="0.2">
      <c r="B17" s="28" t="s">
        <v>13</v>
      </c>
      <c r="C17" s="84">
        <f>(1 - 'Allocation Optimize Final'!$P22)*'At-Source Loads'!C17</f>
        <v>3.9824509393492913E-2</v>
      </c>
      <c r="D17" s="84">
        <f>(1 - 'Allocation Optimize Final'!$P22)*'At-Source Loads'!D17</f>
        <v>1.5241223319677749E-2</v>
      </c>
      <c r="E17" s="84">
        <f>(1 - 'Allocation Optimize Final'!$P22)*'At-Source Loads'!E17</f>
        <v>4.1832009691522662E-2</v>
      </c>
      <c r="F17" s="84">
        <f>(1 - 'Allocation Optimize Final'!$P22)*'At-Source Loads'!F17</f>
        <v>6.0012301071933928E-2</v>
      </c>
      <c r="G17" s="84">
        <f>(1 - 'Allocation Optimize Final'!$P22)*'At-Source Loads'!G17</f>
        <v>2.869467689566171E-2</v>
      </c>
      <c r="H17" s="84">
        <f>(1 - 'Allocation Optimize Final'!$P22)*'At-Source Loads'!H17</f>
        <v>3.3407432984617833E-2</v>
      </c>
      <c r="I17" s="84">
        <f>(1 - 'Allocation Optimize Final'!$P22)*'At-Source Loads'!I17</f>
        <v>4.0367164410589074E-3</v>
      </c>
      <c r="J17" s="84">
        <f>(1 - 'Allocation Optimize Final'!$P22)*'At-Source Loads'!J17</f>
        <v>2.750572002432719E-2</v>
      </c>
      <c r="K17" s="84">
        <f>(1 - 'Allocation Optimize Final'!$P22)*'At-Source Loads'!K17</f>
        <v>2.4461668780432721E-2</v>
      </c>
      <c r="L17" s="84">
        <f>(1 - 'Allocation Optimize Final'!$P22)*'At-Source Loads'!L17</f>
        <v>1.3054713159880793E-2</v>
      </c>
      <c r="M17" s="84">
        <f>(1 - 'Allocation Optimize Final'!$P22)*'At-Source Loads'!M17</f>
        <v>3.6306115164794865E-2</v>
      </c>
      <c r="N17" s="84">
        <f>(1 - 'Allocation Optimize Final'!$P22)*'At-Source Loads'!N17</f>
        <v>8.8658839986018964E-5</v>
      </c>
      <c r="O17" s="84">
        <f>(1 - 'Allocation Optimize Final'!$P22)*'At-Source Loads'!O17</f>
        <v>5.4115494216466619E-3</v>
      </c>
      <c r="P17" s="84">
        <f>(1 - 'Allocation Optimize Final'!$P22)*'At-Source Loads'!P17</f>
        <v>2.0358244831058371E-5</v>
      </c>
      <c r="Q17" s="85">
        <f t="shared" si="0"/>
        <v>0.32989765343386496</v>
      </c>
    </row>
    <row r="18" spans="1:19" x14ac:dyDescent="0.2">
      <c r="B18" s="28" t="s">
        <v>12</v>
      </c>
      <c r="C18" s="84">
        <f>(1 - 'Allocation Optimize Final'!$P23)*'At-Source Loads'!C18</f>
        <v>6.4904650128722137E-3</v>
      </c>
      <c r="D18" s="84">
        <f>(1 - 'Allocation Optimize Final'!$P23)*'At-Source Loads'!D18</f>
        <v>8.4677103833246132E-3</v>
      </c>
      <c r="E18" s="84">
        <f>(1 - 'Allocation Optimize Final'!$P23)*'At-Source Loads'!E18</f>
        <v>8.9421985937689644E-2</v>
      </c>
      <c r="F18" s="84">
        <f>(1 - 'Allocation Optimize Final'!$P23)*'At-Source Loads'!F18</f>
        <v>1.4965799000480612E-2</v>
      </c>
      <c r="G18" s="84">
        <f>(1 - 'Allocation Optimize Final'!$P23)*'At-Source Loads'!G18</f>
        <v>9.5513291739122846E-3</v>
      </c>
      <c r="H18" s="84">
        <f>(1 - 'Allocation Optimize Final'!$P23)*'At-Source Loads'!H18</f>
        <v>8.2646572791294764E-3</v>
      </c>
      <c r="I18" s="84">
        <f>(1 - 'Allocation Optimize Final'!$P23)*'At-Source Loads'!I18</f>
        <v>4.4414199710812549E-2</v>
      </c>
      <c r="J18" s="84">
        <f>(1 - 'Allocation Optimize Final'!$P23)*'At-Source Loads'!J18</f>
        <v>3.4778622384437796E-2</v>
      </c>
      <c r="K18" s="84">
        <f>(1 - 'Allocation Optimize Final'!$P23)*'At-Source Loads'!K18</f>
        <v>3.1468755811143619E-2</v>
      </c>
      <c r="L18" s="84">
        <f>(1 - 'Allocation Optimize Final'!$P23)*'At-Source Loads'!L18</f>
        <v>5.6113875589588288E-2</v>
      </c>
      <c r="M18" s="84">
        <f>(1 - 'Allocation Optimize Final'!$P23)*'At-Source Loads'!M18</f>
        <v>1.75884286038492E-2</v>
      </c>
      <c r="N18" s="84">
        <f>(1 - 'Allocation Optimize Final'!$P23)*'At-Source Loads'!N18</f>
        <v>2.5577078583671392E-2</v>
      </c>
      <c r="O18" s="84">
        <f>(1 - 'Allocation Optimize Final'!$P23)*'At-Source Loads'!O18</f>
        <v>1.4396319637596374E-2</v>
      </c>
      <c r="P18" s="84">
        <f>(1 - 'Allocation Optimize Final'!$P23)*'At-Source Loads'!P18</f>
        <v>1.2911017581500326E-2</v>
      </c>
      <c r="Q18" s="85">
        <f t="shared" si="0"/>
        <v>0.37441024469000833</v>
      </c>
    </row>
    <row r="19" spans="1:19" x14ac:dyDescent="0.2">
      <c r="B19" s="28" t="s">
        <v>11</v>
      </c>
      <c r="C19" s="84">
        <f>(1 - 'Allocation Optimize Final'!$P24)*'At-Source Loads'!C19</f>
        <v>1.6847862899281134E-2</v>
      </c>
      <c r="D19" s="84">
        <f>(1 - 'Allocation Optimize Final'!$P24)*'At-Source Loads'!D19</f>
        <v>1.1614451481327222E-2</v>
      </c>
      <c r="E19" s="84">
        <f>(1 - 'Allocation Optimize Final'!$P24)*'At-Source Loads'!E19</f>
        <v>0.12766459551703971</v>
      </c>
      <c r="F19" s="84">
        <f>(1 - 'Allocation Optimize Final'!$P24)*'At-Source Loads'!F19</f>
        <v>3.1150104045914451E-2</v>
      </c>
      <c r="G19" s="84">
        <f>(1 - 'Allocation Optimize Final'!$P24)*'At-Source Loads'!G19</f>
        <v>2.5201673574351421E-2</v>
      </c>
      <c r="H19" s="84">
        <f>(1 - 'Allocation Optimize Final'!$P24)*'At-Source Loads'!H19</f>
        <v>3.5241143590595825E-2</v>
      </c>
      <c r="I19" s="84">
        <f>(1 - 'Allocation Optimize Final'!$P24)*'At-Source Loads'!I19</f>
        <v>3.5745162440751058E-2</v>
      </c>
      <c r="J19" s="84">
        <f>(1 - 'Allocation Optimize Final'!$P24)*'At-Source Loads'!J19</f>
        <v>4.6383755539489015E-2</v>
      </c>
      <c r="K19" s="84">
        <f>(1 - 'Allocation Optimize Final'!$P24)*'At-Source Loads'!K19</f>
        <v>5.5573771563534741E-2</v>
      </c>
      <c r="L19" s="84">
        <f>(1 - 'Allocation Optimize Final'!$P24)*'At-Source Loads'!L19</f>
        <v>1.6950435964659904E-2</v>
      </c>
      <c r="M19" s="84">
        <f>(1 - 'Allocation Optimize Final'!$P24)*'At-Source Loads'!M19</f>
        <v>1.7311478472778623E-2</v>
      </c>
      <c r="N19" s="84">
        <f>(1 - 'Allocation Optimize Final'!$P24)*'At-Source Loads'!N19</f>
        <v>1.7341850493692627E-3</v>
      </c>
      <c r="O19" s="84">
        <f>(1 - 'Allocation Optimize Final'!$P24)*'At-Source Loads'!O19</f>
        <v>9.5388683457237194E-3</v>
      </c>
      <c r="P19" s="84">
        <f>(1 - 'Allocation Optimize Final'!$P24)*'At-Source Loads'!P19</f>
        <v>6.4293539133898571E-4</v>
      </c>
      <c r="Q19" s="85">
        <f t="shared" si="0"/>
        <v>0.43160042387615505</v>
      </c>
    </row>
    <row r="20" spans="1:19" x14ac:dyDescent="0.2">
      <c r="B20" s="28" t="s">
        <v>10</v>
      </c>
      <c r="C20" s="84">
        <f>(1 - 'Allocation Optimize Final'!$P25)*'At-Source Loads'!C20</f>
        <v>2.0834946565993482E-3</v>
      </c>
      <c r="D20" s="84">
        <f>(1 - 'Allocation Optimize Final'!$P25)*'At-Source Loads'!D20</f>
        <v>2.6703201497580823E-2</v>
      </c>
      <c r="E20" s="84">
        <f>(1 - 'Allocation Optimize Final'!$P25)*'At-Source Loads'!E20</f>
        <v>0.30016219458035154</v>
      </c>
      <c r="F20" s="84">
        <f>(1 - 'Allocation Optimize Final'!$P25)*'At-Source Loads'!F20</f>
        <v>3.6256307609149273E-3</v>
      </c>
      <c r="G20" s="84">
        <f>(1 - 'Allocation Optimize Final'!$P25)*'At-Source Loads'!G20</f>
        <v>1.660349426718026E-2</v>
      </c>
      <c r="H20" s="84">
        <f>(1 - 'Allocation Optimize Final'!$P25)*'At-Source Loads'!H20</f>
        <v>2.6960910059549318E-2</v>
      </c>
      <c r="I20" s="84">
        <f>(1 - 'Allocation Optimize Final'!$P25)*'At-Source Loads'!I20</f>
        <v>7.3850226515344744E-2</v>
      </c>
      <c r="J20" s="84">
        <f>(1 - 'Allocation Optimize Final'!$P25)*'At-Source Loads'!J20</f>
        <v>0.1572848365554865</v>
      </c>
      <c r="K20" s="84">
        <f>(1 - 'Allocation Optimize Final'!$P25)*'At-Source Loads'!K20</f>
        <v>6.5981212886658536E-2</v>
      </c>
      <c r="L20" s="84">
        <f>(1 - 'Allocation Optimize Final'!$P25)*'At-Source Loads'!L20</f>
        <v>7.3150012270525755E-2</v>
      </c>
      <c r="M20" s="84">
        <f>(1 - 'Allocation Optimize Final'!$P25)*'At-Source Loads'!M20</f>
        <v>1.292696656366007E-2</v>
      </c>
      <c r="N20" s="84">
        <f>(1 - 'Allocation Optimize Final'!$P25)*'At-Source Loads'!N20</f>
        <v>6.1113313081547773E-4</v>
      </c>
      <c r="O20" s="84">
        <f>(1 - 'Allocation Optimize Final'!$P25)*'At-Source Loads'!O20</f>
        <v>3.1262054307493875E-2</v>
      </c>
      <c r="P20" s="84">
        <f>(1 - 'Allocation Optimize Final'!$P25)*'At-Source Loads'!P20</f>
        <v>2.3274696808857367E-4</v>
      </c>
      <c r="Q20" s="85">
        <f t="shared" si="0"/>
        <v>0.79143811502024985</v>
      </c>
    </row>
    <row r="21" spans="1:19" x14ac:dyDescent="0.2">
      <c r="B21" s="28" t="s">
        <v>9</v>
      </c>
      <c r="C21" s="84">
        <f>(1 - 'Allocation Optimize Final'!$P26)*'At-Source Loads'!C21</f>
        <v>0.12601415904504484</v>
      </c>
      <c r="D21" s="84">
        <f>(1 - 'Allocation Optimize Final'!$P26)*'At-Source Loads'!D21</f>
        <v>0.12699120731932698</v>
      </c>
      <c r="E21" s="84">
        <f>(1 - 'Allocation Optimize Final'!$P26)*'At-Source Loads'!E21</f>
        <v>0.65421877027772934</v>
      </c>
      <c r="F21" s="84">
        <f>(1 - 'Allocation Optimize Final'!$P26)*'At-Source Loads'!F21</f>
        <v>0.14728396771281718</v>
      </c>
      <c r="G21" s="84">
        <f>(1 - 'Allocation Optimize Final'!$P26)*'At-Source Loads'!G21</f>
        <v>0.14166908613469409</v>
      </c>
      <c r="H21" s="84">
        <f>(1 - 'Allocation Optimize Final'!$P26)*'At-Source Loads'!H21</f>
        <v>0.35455160595621332</v>
      </c>
      <c r="I21" s="84">
        <f>(1 - 'Allocation Optimize Final'!$P26)*'At-Source Loads'!I21</f>
        <v>6.0705743399422467E-2</v>
      </c>
      <c r="J21" s="84">
        <f>(1 - 'Allocation Optimize Final'!$P26)*'At-Source Loads'!J21</f>
        <v>0.46282252795024625</v>
      </c>
      <c r="K21" s="84">
        <f>(1 - 'Allocation Optimize Final'!$P26)*'At-Source Loads'!K21</f>
        <v>0.42628284157286689</v>
      </c>
      <c r="L21" s="84">
        <f>(1 - 'Allocation Optimize Final'!$P26)*'At-Source Loads'!L21</f>
        <v>0.22589472618794618</v>
      </c>
      <c r="M21" s="84">
        <f>(1 - 'Allocation Optimize Final'!$P26)*'At-Source Loads'!M21</f>
        <v>0.15313404958000548</v>
      </c>
      <c r="N21" s="84">
        <f>(1 - 'Allocation Optimize Final'!$P26)*'At-Source Loads'!N21</f>
        <v>1.6314894681820069E-2</v>
      </c>
      <c r="O21" s="84">
        <f>(1 - 'Allocation Optimize Final'!$P26)*'At-Source Loads'!O21</f>
        <v>9.9479640844680958E-2</v>
      </c>
      <c r="P21" s="84">
        <f>(1 - 'Allocation Optimize Final'!$P26)*'At-Source Loads'!P21</f>
        <v>1.1761862366911197E-4</v>
      </c>
      <c r="Q21" s="85">
        <f t="shared" si="0"/>
        <v>2.9954808392864836</v>
      </c>
    </row>
    <row r="22" spans="1:19" x14ac:dyDescent="0.2">
      <c r="B22" s="28" t="s">
        <v>8</v>
      </c>
      <c r="C22" s="84">
        <f>(1 - 'Allocation Optimize Final'!$P27)*'At-Source Loads'!C22</f>
        <v>4.6161941140973176E-2</v>
      </c>
      <c r="D22" s="84">
        <f>(1 - 'Allocation Optimize Final'!$P27)*'At-Source Loads'!D22</f>
        <v>8.2095920702140238E-2</v>
      </c>
      <c r="E22" s="84">
        <f>(1 - 'Allocation Optimize Final'!$P27)*'At-Source Loads'!E22</f>
        <v>0.5502676259004583</v>
      </c>
      <c r="F22" s="84">
        <f>(1 - 'Allocation Optimize Final'!$P27)*'At-Source Loads'!F22</f>
        <v>0.12291626227482855</v>
      </c>
      <c r="G22" s="84">
        <f>(1 - 'Allocation Optimize Final'!$P27)*'At-Source Loads'!G22</f>
        <v>5.7553239073583284E-2</v>
      </c>
      <c r="H22" s="84">
        <f>(1 - 'Allocation Optimize Final'!$P27)*'At-Source Loads'!H22</f>
        <v>0.24159521061271855</v>
      </c>
      <c r="I22" s="84">
        <f>(1 - 'Allocation Optimize Final'!$P27)*'At-Source Loads'!I22</f>
        <v>3.6097382932939841E-2</v>
      </c>
      <c r="J22" s="84">
        <f>(1 - 'Allocation Optimize Final'!$P27)*'At-Source Loads'!J22</f>
        <v>0.38116387340990254</v>
      </c>
      <c r="K22" s="84">
        <f>(1 - 'Allocation Optimize Final'!$P27)*'At-Source Loads'!K22</f>
        <v>0.22478652911927549</v>
      </c>
      <c r="L22" s="84">
        <f>(1 - 'Allocation Optimize Final'!$P27)*'At-Source Loads'!L22</f>
        <v>0.19631176929453045</v>
      </c>
      <c r="M22" s="84">
        <f>(1 - 'Allocation Optimize Final'!$P27)*'At-Source Loads'!M22</f>
        <v>7.6670725763544292E-2</v>
      </c>
      <c r="N22" s="84">
        <f>(1 - 'Allocation Optimize Final'!$P27)*'At-Source Loads'!N22</f>
        <v>1.1384184163283273E-3</v>
      </c>
      <c r="O22" s="84">
        <f>(1 - 'Allocation Optimize Final'!$P27)*'At-Source Loads'!O22</f>
        <v>7.4151136644877519E-2</v>
      </c>
      <c r="P22" s="84">
        <f>(1 - 'Allocation Optimize Final'!$P27)*'At-Source Loads'!P22</f>
        <v>8.9200227408151202E-5</v>
      </c>
      <c r="Q22" s="85">
        <f t="shared" si="0"/>
        <v>2.0909992355135087</v>
      </c>
    </row>
    <row r="23" spans="1:19" x14ac:dyDescent="0.2">
      <c r="B23" s="28" t="s">
        <v>7</v>
      </c>
      <c r="C23" s="84">
        <f>(1 - 'Allocation Optimize Final'!$P28)*'At-Source Loads'!C23</f>
        <v>2.7213317551079818E-3</v>
      </c>
      <c r="D23" s="84">
        <f>(1 - 'Allocation Optimize Final'!$P28)*'At-Source Loads'!D23</f>
        <v>8.3256633899292092E-3</v>
      </c>
      <c r="E23" s="84">
        <f>(1 - 'Allocation Optimize Final'!$P28)*'At-Source Loads'!E23</f>
        <v>8.9392950023482437E-2</v>
      </c>
      <c r="F23" s="84">
        <f>(1 - 'Allocation Optimize Final'!$P28)*'At-Source Loads'!F23</f>
        <v>4.4527742393580981E-3</v>
      </c>
      <c r="G23" s="84">
        <f>(1 - 'Allocation Optimize Final'!$P28)*'At-Source Loads'!G23</f>
        <v>5.5738271325685637E-3</v>
      </c>
      <c r="H23" s="84">
        <f>(1 - 'Allocation Optimize Final'!$P28)*'At-Source Loads'!H23</f>
        <v>8.5046063255042777E-3</v>
      </c>
      <c r="I23" s="84">
        <f>(1 - 'Allocation Optimize Final'!$P28)*'At-Source Loads'!I23</f>
        <v>2.9437743637090178E-2</v>
      </c>
      <c r="J23" s="84">
        <f>(1 - 'Allocation Optimize Final'!$P28)*'At-Source Loads'!J23</f>
        <v>4.0990944134768496E-2</v>
      </c>
      <c r="K23" s="84">
        <f>(1 - 'Allocation Optimize Final'!$P28)*'At-Source Loads'!K23</f>
        <v>3.190774416134614E-2</v>
      </c>
      <c r="L23" s="84">
        <f>(1 - 'Allocation Optimize Final'!$P28)*'At-Source Loads'!L23</f>
        <v>2.6182486109513715E-2</v>
      </c>
      <c r="M23" s="84">
        <f>(1 - 'Allocation Optimize Final'!$P28)*'At-Source Loads'!M23</f>
        <v>1.5042680628880804E-2</v>
      </c>
      <c r="N23" s="84">
        <f>(1 - 'Allocation Optimize Final'!$P28)*'At-Source Loads'!N23</f>
        <v>1.86469137253998E-2</v>
      </c>
      <c r="O23" s="84">
        <f>(1 - 'Allocation Optimize Final'!$P28)*'At-Source Loads'!O23</f>
        <v>1.1168469592447213E-2</v>
      </c>
      <c r="P23" s="84">
        <f>(1 - 'Allocation Optimize Final'!$P28)*'At-Source Loads'!P23</f>
        <v>1.0977163363462415E-2</v>
      </c>
      <c r="Q23" s="85">
        <f t="shared" si="0"/>
        <v>0.30332529821885934</v>
      </c>
    </row>
    <row r="24" spans="1:19" x14ac:dyDescent="0.2">
      <c r="B24" s="28" t="s">
        <v>6</v>
      </c>
      <c r="C24" s="84">
        <f>(1 - 'Allocation Optimize Final'!$P29)*'At-Source Loads'!C24</f>
        <v>1.5613244723322829E-2</v>
      </c>
      <c r="D24" s="84">
        <f>(1 - 'Allocation Optimize Final'!$P29)*'At-Source Loads'!D24</f>
        <v>2.0278682554883611E-2</v>
      </c>
      <c r="E24" s="84">
        <f>(1 - 'Allocation Optimize Final'!$P29)*'At-Source Loads'!E24</f>
        <v>0.22419485884813956</v>
      </c>
      <c r="F24" s="84">
        <f>(1 - 'Allocation Optimize Final'!$P29)*'At-Source Loads'!F24</f>
        <v>1.563919343509192E-2</v>
      </c>
      <c r="G24" s="84">
        <f>(1 - 'Allocation Optimize Final'!$P29)*'At-Source Loads'!G24</f>
        <v>1.1864390869615486E-2</v>
      </c>
      <c r="H24" s="84">
        <f>(1 - 'Allocation Optimize Final'!$P29)*'At-Source Loads'!H24</f>
        <v>4.7693237391918795E-2</v>
      </c>
      <c r="I24" s="84">
        <f>(1 - 'Allocation Optimize Final'!$P29)*'At-Source Loads'!I24</f>
        <v>3.3874116195527645E-2</v>
      </c>
      <c r="J24" s="84">
        <f>(1 - 'Allocation Optimize Final'!$P29)*'At-Source Loads'!J24</f>
        <v>9.3652292771344278E-2</v>
      </c>
      <c r="K24" s="84">
        <f>(1 - 'Allocation Optimize Final'!$P29)*'At-Source Loads'!K24</f>
        <v>7.137347868096959E-2</v>
      </c>
      <c r="L24" s="84">
        <f>(1 - 'Allocation Optimize Final'!$P29)*'At-Source Loads'!L24</f>
        <v>3.0809709024109934E-2</v>
      </c>
      <c r="M24" s="84">
        <f>(1 - 'Allocation Optimize Final'!$P29)*'At-Source Loads'!M24</f>
        <v>1.2934624062507094E-2</v>
      </c>
      <c r="N24" s="84">
        <f>(1 - 'Allocation Optimize Final'!$P29)*'At-Source Loads'!N24</f>
        <v>1.0916782691391357E-3</v>
      </c>
      <c r="O24" s="84">
        <f>(1 - 'Allocation Optimize Final'!$P29)*'At-Source Loads'!O24</f>
        <v>1.6866854820084789E-2</v>
      </c>
      <c r="P24" s="84">
        <f>(1 - 'Allocation Optimize Final'!$P29)*'At-Source Loads'!P24</f>
        <v>1.3116911527549643E-3</v>
      </c>
      <c r="Q24" s="85">
        <f t="shared" si="0"/>
        <v>0.59719805279940963</v>
      </c>
    </row>
    <row r="25" spans="1:19" x14ac:dyDescent="0.2">
      <c r="B25" s="28" t="s">
        <v>5</v>
      </c>
      <c r="C25" s="84">
        <f>(1 - 'Allocation Optimize Final'!$P30)*'At-Source Loads'!C25</f>
        <v>7.9124066927939857E-3</v>
      </c>
      <c r="D25" s="84">
        <f>(1 - 'Allocation Optimize Final'!$P30)*'At-Source Loads'!D25</f>
        <v>1.8542414248602004E-2</v>
      </c>
      <c r="E25" s="84">
        <f>(1 - 'Allocation Optimize Final'!$P30)*'At-Source Loads'!E25</f>
        <v>0.29921485462136055</v>
      </c>
      <c r="F25" s="84">
        <f>(1 - 'Allocation Optimize Final'!$P30)*'At-Source Loads'!F25</f>
        <v>2.5503327170759319E-2</v>
      </c>
      <c r="G25" s="84">
        <f>(1 - 'Allocation Optimize Final'!$P30)*'At-Source Loads'!G25</f>
        <v>2.6050640182023418E-3</v>
      </c>
      <c r="H25" s="84">
        <f>(1 - 'Allocation Optimize Final'!$P30)*'At-Source Loads'!H25</f>
        <v>5.7113905423953493E-3</v>
      </c>
      <c r="I25" s="84">
        <f>(1 - 'Allocation Optimize Final'!$P30)*'At-Source Loads'!I25</f>
        <v>0.16305515039983043</v>
      </c>
      <c r="J25" s="84">
        <f>(1 - 'Allocation Optimize Final'!$P30)*'At-Source Loads'!J25</f>
        <v>4.6423393024971086E-3</v>
      </c>
      <c r="K25" s="84">
        <f>(1 - 'Allocation Optimize Final'!$P30)*'At-Source Loads'!K25</f>
        <v>3.1228153023424382E-2</v>
      </c>
      <c r="L25" s="84">
        <f>(1 - 'Allocation Optimize Final'!$P30)*'At-Source Loads'!L25</f>
        <v>0.26104818283869585</v>
      </c>
      <c r="M25" s="84">
        <f>(1 - 'Allocation Optimize Final'!$P30)*'At-Source Loads'!M25</f>
        <v>5.3140282811350192E-2</v>
      </c>
      <c r="N25" s="84">
        <f>(1 - 'Allocation Optimize Final'!$P30)*'At-Source Loads'!N25</f>
        <v>0.11417629273992885</v>
      </c>
      <c r="O25" s="84">
        <f>(1 - 'Allocation Optimize Final'!$P30)*'At-Source Loads'!O25</f>
        <v>1.2458328828486433E-3</v>
      </c>
      <c r="P25" s="84">
        <f>(1 - 'Allocation Optimize Final'!$P30)*'At-Source Loads'!P25</f>
        <v>4.403210501415758E-2</v>
      </c>
      <c r="Q25" s="85">
        <f t="shared" si="0"/>
        <v>1.0320577963068467</v>
      </c>
    </row>
    <row r="26" spans="1:19" x14ac:dyDescent="0.2">
      <c r="B26" s="28" t="s">
        <v>4</v>
      </c>
      <c r="C26" s="84">
        <f>(1 - 'Allocation Optimize Final'!$P31)*'At-Source Loads'!C26</f>
        <v>1.0255835804536245E-3</v>
      </c>
      <c r="D26" s="84">
        <f>(1 - 'Allocation Optimize Final'!$P31)*'At-Source Loads'!D26</f>
        <v>5.5405584830012233E-4</v>
      </c>
      <c r="E26" s="84">
        <f>(1 - 'Allocation Optimize Final'!$P31)*'At-Source Loads'!E26</f>
        <v>2.2402393694781753E-2</v>
      </c>
      <c r="F26" s="84">
        <f>(1 - 'Allocation Optimize Final'!$P31)*'At-Source Loads'!F26</f>
        <v>0</v>
      </c>
      <c r="G26" s="84">
        <f>(1 - 'Allocation Optimize Final'!$P31)*'At-Source Loads'!G26</f>
        <v>1.0047810768651891E-2</v>
      </c>
      <c r="H26" s="84">
        <f>(1 - 'Allocation Optimize Final'!$P31)*'At-Source Loads'!H26</f>
        <v>1.2185870162638784E-2</v>
      </c>
      <c r="I26" s="84">
        <f>(1 - 'Allocation Optimize Final'!$P31)*'At-Source Loads'!I26</f>
        <v>5.5999116022744239E-2</v>
      </c>
      <c r="J26" s="84">
        <f>(1 - 'Allocation Optimize Final'!$P31)*'At-Source Loads'!J26</f>
        <v>5.2443439262110474E-2</v>
      </c>
      <c r="K26" s="84">
        <f>(1 - 'Allocation Optimize Final'!$P31)*'At-Source Loads'!K26</f>
        <v>4.8143391191180843E-2</v>
      </c>
      <c r="L26" s="84">
        <f>(1 - 'Allocation Optimize Final'!$P31)*'At-Source Loads'!L26</f>
        <v>4.3350978916217864E-4</v>
      </c>
      <c r="M26" s="84">
        <f>(1 - 'Allocation Optimize Final'!$P31)*'At-Source Loads'!M26</f>
        <v>8.1109823189810318E-3</v>
      </c>
      <c r="N26" s="84">
        <f>(1 - 'Allocation Optimize Final'!$P31)*'At-Source Loads'!N26</f>
        <v>0</v>
      </c>
      <c r="O26" s="84">
        <f>(1 - 'Allocation Optimize Final'!$P31)*'At-Source Loads'!O26</f>
        <v>1.8307494951055797E-2</v>
      </c>
      <c r="P26" s="84">
        <f>(1 - 'Allocation Optimize Final'!$P31)*'At-Source Loads'!P26</f>
        <v>4.2879557720394701E-4</v>
      </c>
      <c r="Q26" s="85">
        <f t="shared" si="0"/>
        <v>0.23008244316726467</v>
      </c>
    </row>
    <row r="27" spans="1:19" x14ac:dyDescent="0.2">
      <c r="B27" s="28" t="s">
        <v>3</v>
      </c>
      <c r="C27" s="84">
        <f>(1 - 'Allocation Optimize Final'!$P32)*'At-Source Loads'!C27</f>
        <v>0</v>
      </c>
      <c r="D27" s="84">
        <f>(1 - 'Allocation Optimize Final'!$P32)*'At-Source Loads'!D27</f>
        <v>7.3000000000000065E-2</v>
      </c>
      <c r="E27" s="84">
        <f>(1 - 'Allocation Optimize Final'!$P32)*'At-Source Loads'!E27</f>
        <v>0</v>
      </c>
      <c r="F27" s="84">
        <f>(1 - 'Allocation Optimize Final'!$P32)*'At-Source Loads'!F27</f>
        <v>0</v>
      </c>
      <c r="G27" s="84">
        <f>(1 - 'Allocation Optimize Final'!$P32)*'At-Source Loads'!G27</f>
        <v>0</v>
      </c>
      <c r="H27" s="84">
        <f>(1 - 'Allocation Optimize Final'!$P32)*'At-Source Loads'!H27</f>
        <v>0</v>
      </c>
      <c r="I27" s="84">
        <f>(1 - 'Allocation Optimize Final'!$P32)*'At-Source Loads'!I27</f>
        <v>0</v>
      </c>
      <c r="J27" s="84">
        <f>(1 - 'Allocation Optimize Final'!$P32)*'At-Source Loads'!J27</f>
        <v>0</v>
      </c>
      <c r="K27" s="84">
        <f>(1 - 'Allocation Optimize Final'!$P32)*'At-Source Loads'!K27</f>
        <v>0</v>
      </c>
      <c r="L27" s="84">
        <f>(1 - 'Allocation Optimize Final'!$P32)*'At-Source Loads'!L27</f>
        <v>0</v>
      </c>
      <c r="M27" s="84">
        <f>(1 - 'Allocation Optimize Final'!$P32)*'At-Source Loads'!M27</f>
        <v>0</v>
      </c>
      <c r="N27" s="84">
        <f>(1 - 'Allocation Optimize Final'!$P32)*'At-Source Loads'!N27</f>
        <v>0</v>
      </c>
      <c r="O27" s="84">
        <f>(1 - 'Allocation Optimize Final'!$P32)*'At-Source Loads'!O27</f>
        <v>0</v>
      </c>
      <c r="P27" s="84">
        <f>(1 - 'Allocation Optimize Final'!$P32)*'At-Source Loads'!P27</f>
        <v>0</v>
      </c>
      <c r="Q27" s="85">
        <f t="shared" si="0"/>
        <v>7.3000000000000065E-2</v>
      </c>
    </row>
    <row r="28" spans="1:19" x14ac:dyDescent="0.2">
      <c r="B28" s="28" t="s">
        <v>2</v>
      </c>
      <c r="C28" s="84">
        <f>(1 - 'Allocation Optimize Final'!$P33)*'At-Source Loads'!C28</f>
        <v>1.7261100000000001E-2</v>
      </c>
      <c r="D28" s="84">
        <f>(1 - 'Allocation Optimize Final'!$P33)*'At-Source Loads'!D28</f>
        <v>4.1559480000000005E-3</v>
      </c>
      <c r="E28" s="84">
        <f>(1 - 'Allocation Optimize Final'!$P33)*'At-Source Loads'!E28</f>
        <v>0.20399787000000005</v>
      </c>
      <c r="F28" s="84">
        <f>(1 - 'Allocation Optimize Final'!$P33)*'At-Source Loads'!F28</f>
        <v>0</v>
      </c>
      <c r="G28" s="84">
        <f>(1 - 'Allocation Optimize Final'!$P33)*'At-Source Loads'!G28</f>
        <v>2.4471900000000001E-2</v>
      </c>
      <c r="H28" s="84">
        <f>(1 - 'Allocation Optimize Final'!$P33)*'At-Source Loads'!H28</f>
        <v>3.0955500000000004E-2</v>
      </c>
      <c r="I28" s="84">
        <f>(1 - 'Allocation Optimize Final'!$P33)*'At-Source Loads'!I28</f>
        <v>0.17314380000000001</v>
      </c>
      <c r="J28" s="84">
        <f>(1 - 'Allocation Optimize Final'!$P33)*'At-Source Loads'!J28</f>
        <v>2.3647500000000002E-2</v>
      </c>
      <c r="K28" s="84">
        <f>(1 - 'Allocation Optimize Final'!$P33)*'At-Source Loads'!K28</f>
        <v>4.12731E-2</v>
      </c>
      <c r="L28" s="84">
        <f>(1 - 'Allocation Optimize Final'!$P33)*'At-Source Loads'!L28</f>
        <v>0.23220000000000002</v>
      </c>
      <c r="M28" s="84">
        <f>(1 - 'Allocation Optimize Final'!$P33)*'At-Source Loads'!M28</f>
        <v>7.7497200000000002E-2</v>
      </c>
      <c r="N28" s="84">
        <f>(1 - 'Allocation Optimize Final'!$P33)*'At-Source Loads'!N28</f>
        <v>0.21509999999999999</v>
      </c>
      <c r="O28" s="84">
        <f>(1 - 'Allocation Optimize Final'!$P33)*'At-Source Loads'!O28</f>
        <v>4.9050000000000005E-3</v>
      </c>
      <c r="P28" s="84">
        <f>(1 - 'Allocation Optimize Final'!$P33)*'At-Source Loads'!P28</f>
        <v>0</v>
      </c>
      <c r="Q28" s="85">
        <f t="shared" si="0"/>
        <v>1.048608918</v>
      </c>
    </row>
    <row r="29" spans="1:19" x14ac:dyDescent="0.2">
      <c r="B29" s="28" t="s">
        <v>1</v>
      </c>
      <c r="C29" s="84">
        <f>(1 - 'Allocation Optimize Final'!$P34)*'At-Source Loads'!C29</f>
        <v>0</v>
      </c>
      <c r="D29" s="84">
        <f>(1 - 'Allocation Optimize Final'!$P34)*'At-Source Loads'!D29</f>
        <v>2.61301392396E-2</v>
      </c>
      <c r="E29" s="84">
        <f>(1 - 'Allocation Optimize Final'!$P34)*'At-Source Loads'!E29</f>
        <v>0.18479792048028346</v>
      </c>
      <c r="F29" s="84">
        <f>(1 - 'Allocation Optimize Final'!$P34)*'At-Source Loads'!F29</f>
        <v>8.2051282751000015E-2</v>
      </c>
      <c r="G29" s="84">
        <f>(1 - 'Allocation Optimize Final'!$P34)*'At-Source Loads'!G29</f>
        <v>5.1824561660806104E-3</v>
      </c>
      <c r="H29" s="84">
        <f>(1 - 'Allocation Optimize Final'!$P34)*'At-Source Loads'!H29</f>
        <v>2.3344156393123499E-4</v>
      </c>
      <c r="I29" s="84">
        <f>(1 - 'Allocation Optimize Final'!$P34)*'At-Source Loads'!I29</f>
        <v>8.9723804910299992E-2</v>
      </c>
      <c r="J29" s="84">
        <f>(1 - 'Allocation Optimize Final'!$P34)*'At-Source Loads'!J29</f>
        <v>2.4009028893489152E-3</v>
      </c>
      <c r="K29" s="84">
        <f>(1 - 'Allocation Optimize Final'!$P34)*'At-Source Loads'!K29</f>
        <v>8.6000934135600018E-3</v>
      </c>
      <c r="L29" s="84">
        <f>(1 - 'Allocation Optimize Final'!$P34)*'At-Source Loads'!L29</f>
        <v>1.972811101572E-3</v>
      </c>
      <c r="M29" s="84">
        <f>(1 - 'Allocation Optimize Final'!$P34)*'At-Source Loads'!M29</f>
        <v>0</v>
      </c>
      <c r="N29" s="84">
        <f>(1 - 'Allocation Optimize Final'!$P34)*'At-Source Loads'!N29</f>
        <v>5.9578303181813978E-3</v>
      </c>
      <c r="O29" s="84">
        <f>(1 - 'Allocation Optimize Final'!$P34)*'At-Source Loads'!O29</f>
        <v>0</v>
      </c>
      <c r="P29" s="84">
        <f>(1 - 'Allocation Optimize Final'!$P34)*'At-Source Loads'!P29</f>
        <v>0</v>
      </c>
      <c r="Q29" s="85">
        <f t="shared" si="0"/>
        <v>0.40705068283385765</v>
      </c>
    </row>
    <row r="30" spans="1:19" x14ac:dyDescent="0.2">
      <c r="A30" s="2" t="s">
        <v>25</v>
      </c>
      <c r="B30" s="86" t="s">
        <v>0</v>
      </c>
      <c r="C30" s="87">
        <f t="shared" ref="C30:P30" si="1">SUBTOTAL(109,C$9:C$29)</f>
        <v>0.81386440721647213</v>
      </c>
      <c r="D30" s="87">
        <f t="shared" si="1"/>
        <v>0.58756831291810452</v>
      </c>
      <c r="E30" s="87">
        <f t="shared" si="1"/>
        <v>3.4516447764602658</v>
      </c>
      <c r="F30" s="87">
        <f t="shared" si="1"/>
        <v>1.1085022030595495</v>
      </c>
      <c r="G30" s="87">
        <f t="shared" si="1"/>
        <v>0.68231406956638907</v>
      </c>
      <c r="H30" s="87">
        <f t="shared" si="1"/>
        <v>1.1139396967138553</v>
      </c>
      <c r="I30" s="87">
        <f t="shared" si="1"/>
        <v>1.4199830585823516</v>
      </c>
      <c r="J30" s="87">
        <f t="shared" si="1"/>
        <v>1.5721210449724652</v>
      </c>
      <c r="K30" s="87">
        <f t="shared" si="1"/>
        <v>1.3098582936885652</v>
      </c>
      <c r="L30" s="87">
        <f t="shared" si="1"/>
        <v>1.3091794196025106</v>
      </c>
      <c r="M30" s="87">
        <f t="shared" si="1"/>
        <v>0.88290357913567075</v>
      </c>
      <c r="N30" s="87">
        <f t="shared" si="1"/>
        <v>0.57394847148216765</v>
      </c>
      <c r="O30" s="87">
        <f t="shared" si="1"/>
        <v>0.32824490819591429</v>
      </c>
      <c r="P30" s="87">
        <f t="shared" si="1"/>
        <v>9.5245427722981724E-2</v>
      </c>
      <c r="Q30" s="88">
        <f>SUM(C30:P30)</f>
        <v>15.249317669317264</v>
      </c>
      <c r="S30" s="2" t="s">
        <v>25</v>
      </c>
    </row>
  </sheetData>
  <sheetProtection algorithmName="SHA-512" hashValue="/4TA66yShzCsgamkKtTRCHpvT+izBn812O16cF1rFLHZHPx0Y19POksbDpYy0hki5zdTbKO/C0gBSiYRvvtdRA==" saltValue="vypuakg46VxPBhYKEO5Quw==" spinCount="100000" sheet="1" objects="1" scenarios="1"/>
  <autoFilter ref="B8:Q29"/>
  <mergeCells count="1">
    <mergeCell ref="C7:P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sqref="A1:XFD1048576"/>
    </sheetView>
  </sheetViews>
  <sheetFormatPr defaultColWidth="8.85546875" defaultRowHeight="14.25" x14ac:dyDescent="0.2"/>
  <cols>
    <col min="1" max="1" width="8.85546875" style="8"/>
    <col min="2" max="2" width="37.28515625" style="8" customWidth="1"/>
    <col min="3" max="3" width="8.85546875" style="8" customWidth="1"/>
    <col min="4" max="14" width="8.85546875" style="8"/>
    <col min="15" max="16" width="10" style="8" customWidth="1"/>
    <col min="17" max="16384" width="8.85546875" style="8"/>
  </cols>
  <sheetData>
    <row r="1" spans="1:16" s="90" customFormat="1" ht="18" x14ac:dyDescent="0.25">
      <c r="A1" s="89" t="s">
        <v>41</v>
      </c>
    </row>
    <row r="2" spans="1:16" s="92" customFormat="1" x14ac:dyDescent="0.2">
      <c r="A2" s="91" t="s">
        <v>100</v>
      </c>
    </row>
    <row r="5" spans="1:16" ht="25.5" x14ac:dyDescent="0.2">
      <c r="B5" s="93" t="s">
        <v>42</v>
      </c>
      <c r="C5" s="94">
        <v>0.14000000000000001</v>
      </c>
    </row>
    <row r="6" spans="1:16" x14ac:dyDescent="0.2">
      <c r="B6" s="8" t="s">
        <v>43</v>
      </c>
      <c r="C6" s="95">
        <v>0.01</v>
      </c>
    </row>
    <row r="7" spans="1:16" x14ac:dyDescent="0.2">
      <c r="B7" s="96" t="s">
        <v>120</v>
      </c>
      <c r="C7" s="8">
        <v>1.2</v>
      </c>
    </row>
    <row r="8" spans="1:16" x14ac:dyDescent="0.2">
      <c r="B8" s="97"/>
    </row>
    <row r="9" spans="1:16" ht="15" x14ac:dyDescent="0.25">
      <c r="B9" s="98" t="s">
        <v>44</v>
      </c>
      <c r="C9" s="143"/>
      <c r="D9" s="143"/>
      <c r="E9" s="143"/>
      <c r="F9" s="143"/>
      <c r="G9" s="143"/>
      <c r="H9" s="143"/>
      <c r="I9" s="143"/>
      <c r="J9" s="143"/>
      <c r="K9" s="143"/>
      <c r="L9" s="143"/>
      <c r="M9" s="143"/>
      <c r="N9" s="143"/>
      <c r="O9" s="143"/>
      <c r="P9" s="143"/>
    </row>
    <row r="10" spans="1:16" ht="25.5" x14ac:dyDescent="0.2">
      <c r="B10" s="99" t="s">
        <v>24</v>
      </c>
      <c r="C10" s="100">
        <v>17090001</v>
      </c>
      <c r="D10" s="100">
        <v>17090002</v>
      </c>
      <c r="E10" s="100">
        <v>17090003</v>
      </c>
      <c r="F10" s="100">
        <v>17090004</v>
      </c>
      <c r="G10" s="100">
        <v>17090005</v>
      </c>
      <c r="H10" s="100">
        <v>17090006</v>
      </c>
      <c r="I10" s="100">
        <v>17090007</v>
      </c>
      <c r="J10" s="100">
        <v>17090008</v>
      </c>
      <c r="K10" s="100">
        <v>17090009</v>
      </c>
      <c r="L10" s="100">
        <v>17090010</v>
      </c>
      <c r="M10" s="100">
        <v>17090011</v>
      </c>
      <c r="N10" s="100">
        <v>17090012</v>
      </c>
      <c r="O10" s="100" t="s">
        <v>23</v>
      </c>
      <c r="P10" s="101" t="s">
        <v>22</v>
      </c>
    </row>
    <row r="11" spans="1:16" ht="25.5" x14ac:dyDescent="0.2">
      <c r="B11" s="96" t="s">
        <v>121</v>
      </c>
      <c r="C11" s="102">
        <f>$C$7</f>
        <v>1.2</v>
      </c>
      <c r="D11" s="102">
        <f t="shared" ref="D11:P11" si="0">$C$7</f>
        <v>1.2</v>
      </c>
      <c r="E11" s="102">
        <f t="shared" si="0"/>
        <v>1.2</v>
      </c>
      <c r="F11" s="102">
        <f t="shared" si="0"/>
        <v>1.2</v>
      </c>
      <c r="G11" s="102">
        <f t="shared" si="0"/>
        <v>1.2</v>
      </c>
      <c r="H11" s="102">
        <f t="shared" si="0"/>
        <v>1.2</v>
      </c>
      <c r="I11" s="102">
        <f t="shared" si="0"/>
        <v>1.2</v>
      </c>
      <c r="J11" s="102">
        <f t="shared" si="0"/>
        <v>1.2</v>
      </c>
      <c r="K11" s="102">
        <f t="shared" si="0"/>
        <v>1.2</v>
      </c>
      <c r="L11" s="102">
        <f t="shared" si="0"/>
        <v>1.2</v>
      </c>
      <c r="M11" s="102">
        <f t="shared" si="0"/>
        <v>1.2</v>
      </c>
      <c r="N11" s="102">
        <f t="shared" si="0"/>
        <v>1.2</v>
      </c>
      <c r="O11" s="102">
        <f t="shared" si="0"/>
        <v>1.2</v>
      </c>
      <c r="P11" s="103">
        <f t="shared" si="0"/>
        <v>1.2</v>
      </c>
    </row>
    <row r="12" spans="1:16" ht="25.5" x14ac:dyDescent="0.2">
      <c r="B12" s="104" t="s">
        <v>45</v>
      </c>
      <c r="C12" s="105">
        <f>(C11-$C$5)/C11</f>
        <v>0.88333333333333341</v>
      </c>
      <c r="D12" s="105">
        <f t="shared" ref="D12:P12" si="1">(D11-$C$5)/D11</f>
        <v>0.88333333333333341</v>
      </c>
      <c r="E12" s="105">
        <f t="shared" si="1"/>
        <v>0.88333333333333341</v>
      </c>
      <c r="F12" s="105">
        <f t="shared" si="1"/>
        <v>0.88333333333333341</v>
      </c>
      <c r="G12" s="105">
        <f t="shared" si="1"/>
        <v>0.88333333333333341</v>
      </c>
      <c r="H12" s="105">
        <f t="shared" si="1"/>
        <v>0.88333333333333341</v>
      </c>
      <c r="I12" s="105">
        <f t="shared" si="1"/>
        <v>0.88333333333333341</v>
      </c>
      <c r="J12" s="105">
        <f t="shared" si="1"/>
        <v>0.88333333333333341</v>
      </c>
      <c r="K12" s="105">
        <f t="shared" si="1"/>
        <v>0.88333333333333341</v>
      </c>
      <c r="L12" s="105">
        <f t="shared" si="1"/>
        <v>0.88333333333333341</v>
      </c>
      <c r="M12" s="105">
        <f t="shared" si="1"/>
        <v>0.88333333333333341</v>
      </c>
      <c r="N12" s="105">
        <f t="shared" si="1"/>
        <v>0.88333333333333341</v>
      </c>
      <c r="O12" s="105">
        <f t="shared" si="1"/>
        <v>0.88333333333333341</v>
      </c>
      <c r="P12" s="106">
        <f t="shared" si="1"/>
        <v>0.88333333333333341</v>
      </c>
    </row>
    <row r="13" spans="1:16" x14ac:dyDescent="0.2">
      <c r="B13" s="104" t="s">
        <v>46</v>
      </c>
      <c r="C13" s="107">
        <f>'At-Source Loads'!C30</f>
        <v>8.570825364308627</v>
      </c>
      <c r="D13" s="107">
        <f>'At-Source Loads'!D30</f>
        <v>8.9101452961107128</v>
      </c>
      <c r="E13" s="107">
        <f>'At-Source Loads'!E30</f>
        <v>26.164104056243112</v>
      </c>
      <c r="F13" s="107">
        <f>'At-Source Loads'!F30</f>
        <v>12.702570698733924</v>
      </c>
      <c r="G13" s="107">
        <f>'At-Source Loads'!G30</f>
        <v>7.87850544703839</v>
      </c>
      <c r="H13" s="107">
        <f>'At-Source Loads'!H30</f>
        <v>13.966217145585382</v>
      </c>
      <c r="I13" s="107">
        <f>'At-Source Loads'!I30</f>
        <v>6.3185531847508791</v>
      </c>
      <c r="J13" s="107">
        <f>'At-Source Loads'!J30</f>
        <v>12.967240330613036</v>
      </c>
      <c r="K13" s="107">
        <f>'At-Source Loads'!K30</f>
        <v>11.221435761420365</v>
      </c>
      <c r="L13" s="107">
        <f>'At-Source Loads'!L30</f>
        <v>8.3752435834916454</v>
      </c>
      <c r="M13" s="107">
        <f>'At-Source Loads'!M30</f>
        <v>8.6310089563526198</v>
      </c>
      <c r="N13" s="107">
        <f>'At-Source Loads'!N30</f>
        <v>2.4892635419435867</v>
      </c>
      <c r="O13" s="107">
        <f>'At-Source Loads'!O30</f>
        <v>2.803473987921044</v>
      </c>
      <c r="P13" s="108">
        <f>'At-Source Loads'!P30</f>
        <v>1.0301370551421953</v>
      </c>
    </row>
    <row r="14" spans="1:16" x14ac:dyDescent="0.2">
      <c r="B14" s="109" t="s">
        <v>47</v>
      </c>
      <c r="C14" s="107">
        <f>(1-C12)*C13</f>
        <v>0.99992962583600575</v>
      </c>
      <c r="D14" s="107">
        <f t="shared" ref="D14:P14" si="2">(1-D12)*D13</f>
        <v>1.0395169512129159</v>
      </c>
      <c r="E14" s="107">
        <f t="shared" si="2"/>
        <v>3.0524788065616941</v>
      </c>
      <c r="F14" s="107">
        <f t="shared" si="2"/>
        <v>1.4819665815189567</v>
      </c>
      <c r="G14" s="107">
        <f t="shared" si="2"/>
        <v>0.91915896882114489</v>
      </c>
      <c r="H14" s="107">
        <f t="shared" si="2"/>
        <v>1.6293920003182936</v>
      </c>
      <c r="I14" s="107">
        <f t="shared" si="2"/>
        <v>0.73716453822093542</v>
      </c>
      <c r="J14" s="107">
        <f t="shared" si="2"/>
        <v>1.5128447052381864</v>
      </c>
      <c r="K14" s="107">
        <f t="shared" si="2"/>
        <v>1.3091675054990417</v>
      </c>
      <c r="L14" s="107">
        <f t="shared" si="2"/>
        <v>0.97711175140735795</v>
      </c>
      <c r="M14" s="107">
        <f t="shared" si="2"/>
        <v>1.006951044907805</v>
      </c>
      <c r="N14" s="107">
        <f t="shared" si="2"/>
        <v>0.29041407989341822</v>
      </c>
      <c r="O14" s="107">
        <f t="shared" si="2"/>
        <v>0.32707196525745491</v>
      </c>
      <c r="P14" s="108">
        <f t="shared" si="2"/>
        <v>0.12018265643325604</v>
      </c>
    </row>
    <row r="15" spans="1:16" x14ac:dyDescent="0.2">
      <c r="B15" s="109" t="s">
        <v>48</v>
      </c>
      <c r="C15" s="107">
        <f>C14*10^3/365.25</f>
        <v>2.7376581131718156</v>
      </c>
      <c r="D15" s="107">
        <f t="shared" ref="D15:P15" si="3">D14*10^3/365.25</f>
        <v>2.846042303115444</v>
      </c>
      <c r="E15" s="107">
        <f t="shared" si="3"/>
        <v>8.3572315032489914</v>
      </c>
      <c r="F15" s="107">
        <f t="shared" si="3"/>
        <v>4.0574033717151448</v>
      </c>
      <c r="G15" s="107">
        <f t="shared" si="3"/>
        <v>2.5165201062865021</v>
      </c>
      <c r="H15" s="107">
        <f t="shared" si="3"/>
        <v>4.4610321706181892</v>
      </c>
      <c r="I15" s="107">
        <f t="shared" si="3"/>
        <v>2.01824651121406</v>
      </c>
      <c r="J15" s="107">
        <f t="shared" si="3"/>
        <v>4.1419430670450001</v>
      </c>
      <c r="K15" s="107">
        <f t="shared" si="3"/>
        <v>3.5843052854183206</v>
      </c>
      <c r="L15" s="107">
        <f t="shared" si="3"/>
        <v>2.675186177706661</v>
      </c>
      <c r="M15" s="107">
        <f t="shared" si="3"/>
        <v>2.756881710904326</v>
      </c>
      <c r="N15" s="107">
        <f t="shared" si="3"/>
        <v>0.79511041723043996</v>
      </c>
      <c r="O15" s="107">
        <f t="shared" si="3"/>
        <v>0.89547423752896615</v>
      </c>
      <c r="P15" s="108">
        <f t="shared" si="3"/>
        <v>0.32904218051541695</v>
      </c>
    </row>
    <row r="16" spans="1:16" x14ac:dyDescent="0.2">
      <c r="B16" s="109" t="s">
        <v>49</v>
      </c>
      <c r="C16" s="110">
        <f>$C$6*C14</f>
        <v>9.9992962583600586E-3</v>
      </c>
      <c r="D16" s="110">
        <f t="shared" ref="D16:P16" si="4">$C$6*D14</f>
        <v>1.039516951212916E-2</v>
      </c>
      <c r="E16" s="110">
        <f t="shared" si="4"/>
        <v>3.0524788065616943E-2</v>
      </c>
      <c r="F16" s="110">
        <f t="shared" si="4"/>
        <v>1.4819665815189566E-2</v>
      </c>
      <c r="G16" s="110">
        <f t="shared" si="4"/>
        <v>9.1915896882114496E-3</v>
      </c>
      <c r="H16" s="110">
        <f t="shared" si="4"/>
        <v>1.6293920003182936E-2</v>
      </c>
      <c r="I16" s="110">
        <f t="shared" si="4"/>
        <v>7.371645382209354E-3</v>
      </c>
      <c r="J16" s="110">
        <f t="shared" si="4"/>
        <v>1.5128447052381864E-2</v>
      </c>
      <c r="K16" s="110">
        <f t="shared" si="4"/>
        <v>1.3091675054990417E-2</v>
      </c>
      <c r="L16" s="110">
        <f t="shared" si="4"/>
        <v>9.7711175140735799E-3</v>
      </c>
      <c r="M16" s="110">
        <f t="shared" si="4"/>
        <v>1.0069510449078049E-2</v>
      </c>
      <c r="N16" s="110">
        <f t="shared" si="4"/>
        <v>2.9041407989341822E-3</v>
      </c>
      <c r="O16" s="110">
        <f t="shared" si="4"/>
        <v>3.2707196525745491E-3</v>
      </c>
      <c r="P16" s="111">
        <f t="shared" si="4"/>
        <v>1.2018265643325605E-3</v>
      </c>
    </row>
    <row r="17" spans="2:16" x14ac:dyDescent="0.2">
      <c r="B17" s="112" t="s">
        <v>119</v>
      </c>
      <c r="C17" s="113">
        <f>C14-C16</f>
        <v>0.98993032957764571</v>
      </c>
      <c r="D17" s="113">
        <f t="shared" ref="D17:P17" si="5">D14-D16</f>
        <v>1.0291217817007867</v>
      </c>
      <c r="E17" s="113">
        <f t="shared" si="5"/>
        <v>3.0219540184960771</v>
      </c>
      <c r="F17" s="113">
        <f t="shared" si="5"/>
        <v>1.4671469157037671</v>
      </c>
      <c r="G17" s="113">
        <f t="shared" si="5"/>
        <v>0.90996737913293346</v>
      </c>
      <c r="H17" s="113">
        <f t="shared" si="5"/>
        <v>1.6130980803151107</v>
      </c>
      <c r="I17" s="113">
        <f t="shared" si="5"/>
        <v>0.72979289283872606</v>
      </c>
      <c r="J17" s="113">
        <f t="shared" si="5"/>
        <v>1.4977162581858046</v>
      </c>
      <c r="K17" s="113">
        <f t="shared" si="5"/>
        <v>1.2960758304440514</v>
      </c>
      <c r="L17" s="113">
        <f t="shared" si="5"/>
        <v>0.9673406338932844</v>
      </c>
      <c r="M17" s="113">
        <f t="shared" si="5"/>
        <v>0.99688153445872696</v>
      </c>
      <c r="N17" s="113">
        <f t="shared" si="5"/>
        <v>0.28750993909448402</v>
      </c>
      <c r="O17" s="113">
        <f t="shared" si="5"/>
        <v>0.32380124560488038</v>
      </c>
      <c r="P17" s="114">
        <f t="shared" si="5"/>
        <v>0.11898082986892349</v>
      </c>
    </row>
    <row r="19" spans="2:16" ht="15" x14ac:dyDescent="0.25">
      <c r="B19" s="98" t="s">
        <v>50</v>
      </c>
      <c r="C19" s="143"/>
      <c r="D19" s="143"/>
      <c r="E19" s="143"/>
      <c r="F19" s="143"/>
      <c r="G19" s="143"/>
      <c r="H19" s="143"/>
      <c r="I19" s="143"/>
      <c r="J19" s="143"/>
      <c r="K19" s="143"/>
      <c r="L19" s="143"/>
      <c r="M19" s="143"/>
      <c r="N19" s="143"/>
      <c r="O19" s="143"/>
      <c r="P19" s="143"/>
    </row>
    <row r="20" spans="2:16" ht="25.5" x14ac:dyDescent="0.2">
      <c r="B20" s="99" t="s">
        <v>24</v>
      </c>
      <c r="C20" s="100">
        <v>17090001</v>
      </c>
      <c r="D20" s="100">
        <v>17090002</v>
      </c>
      <c r="E20" s="100">
        <v>17090003</v>
      </c>
      <c r="F20" s="100">
        <v>17090004</v>
      </c>
      <c r="G20" s="100">
        <v>17090005</v>
      </c>
      <c r="H20" s="100">
        <v>17090006</v>
      </c>
      <c r="I20" s="100">
        <v>17090007</v>
      </c>
      <c r="J20" s="100">
        <v>17090008</v>
      </c>
      <c r="K20" s="100">
        <v>17090009</v>
      </c>
      <c r="L20" s="100">
        <v>17090010</v>
      </c>
      <c r="M20" s="100">
        <v>17090011</v>
      </c>
      <c r="N20" s="100">
        <v>17090012</v>
      </c>
      <c r="O20" s="100" t="s">
        <v>23</v>
      </c>
      <c r="P20" s="101" t="s">
        <v>22</v>
      </c>
    </row>
    <row r="21" spans="2:16" ht="25.5" x14ac:dyDescent="0.2">
      <c r="B21" s="104" t="s">
        <v>45</v>
      </c>
      <c r="C21" s="105">
        <f>C12</f>
        <v>0.88333333333333341</v>
      </c>
      <c r="D21" s="105">
        <f t="shared" ref="D21:P21" si="6">D12</f>
        <v>0.88333333333333341</v>
      </c>
      <c r="E21" s="105">
        <f t="shared" si="6"/>
        <v>0.88333333333333341</v>
      </c>
      <c r="F21" s="105">
        <f t="shared" si="6"/>
        <v>0.88333333333333341</v>
      </c>
      <c r="G21" s="105">
        <f t="shared" si="6"/>
        <v>0.88333333333333341</v>
      </c>
      <c r="H21" s="105">
        <f t="shared" si="6"/>
        <v>0.88333333333333341</v>
      </c>
      <c r="I21" s="105">
        <f t="shared" si="6"/>
        <v>0.88333333333333341</v>
      </c>
      <c r="J21" s="105">
        <f t="shared" si="6"/>
        <v>0.88333333333333341</v>
      </c>
      <c r="K21" s="105">
        <f t="shared" si="6"/>
        <v>0.88333333333333341</v>
      </c>
      <c r="L21" s="105">
        <f t="shared" si="6"/>
        <v>0.88333333333333341</v>
      </c>
      <c r="M21" s="105">
        <f t="shared" si="6"/>
        <v>0.88333333333333341</v>
      </c>
      <c r="N21" s="105">
        <f t="shared" si="6"/>
        <v>0.88333333333333341</v>
      </c>
      <c r="O21" s="105">
        <f t="shared" si="6"/>
        <v>0.88333333333333341</v>
      </c>
      <c r="P21" s="106">
        <f t="shared" si="6"/>
        <v>0.88333333333333341</v>
      </c>
    </row>
    <row r="22" spans="2:16" x14ac:dyDescent="0.2">
      <c r="B22" s="104" t="s">
        <v>51</v>
      </c>
      <c r="C22" s="107">
        <f>'Delivered Loads'!C30</f>
        <v>2.2253415757587804</v>
      </c>
      <c r="D22" s="107">
        <f>'Delivered Loads'!D30</f>
        <v>4.831947603720268</v>
      </c>
      <c r="E22" s="107">
        <f>'Delivered Loads'!E30</f>
        <v>35.7929660240125</v>
      </c>
      <c r="F22" s="107">
        <f>'Delivered Loads'!F30</f>
        <v>9.3858978162799929</v>
      </c>
      <c r="G22" s="107">
        <f>'Delivered Loads'!G30</f>
        <v>15.158077980457204</v>
      </c>
      <c r="H22" s="107">
        <f>'Delivered Loads'!H30</f>
        <v>9.2640252207979419</v>
      </c>
      <c r="I22" s="107">
        <f>'Delivered Loads'!I30</f>
        <v>76.588790164492366</v>
      </c>
      <c r="J22" s="107">
        <f>'Delivered Loads'!J30</f>
        <v>10.704906167354748</v>
      </c>
      <c r="K22" s="107">
        <f>'Delivered Loads'!K30</f>
        <v>9.776229297506017</v>
      </c>
      <c r="L22" s="107">
        <f>'Delivered Loads'!L30</f>
        <v>6.3109015119916592</v>
      </c>
      <c r="M22" s="107">
        <f>'Delivered Loads'!M30</f>
        <v>7.3380654771460501</v>
      </c>
      <c r="N22" s="107">
        <f>'Delivered Loads'!N30</f>
        <v>83.805003370747343</v>
      </c>
      <c r="O22" s="107">
        <f>'Delivered Loads'!O30</f>
        <v>2.5906814710102251</v>
      </c>
      <c r="P22" s="108">
        <f>'Delivered Loads'!P30</f>
        <v>0.96165105659932837</v>
      </c>
    </row>
    <row r="23" spans="2:16" x14ac:dyDescent="0.2">
      <c r="B23" s="109" t="s">
        <v>47</v>
      </c>
      <c r="C23" s="107">
        <f>(1-C21)*C22</f>
        <v>0.25962318383852423</v>
      </c>
      <c r="D23" s="107">
        <f t="shared" ref="D23:P23" si="7">(1-D21)*D22</f>
        <v>0.5637272204340309</v>
      </c>
      <c r="E23" s="107">
        <f t="shared" si="7"/>
        <v>4.1758460361347884</v>
      </c>
      <c r="F23" s="107">
        <f t="shared" si="7"/>
        <v>1.0950214118993318</v>
      </c>
      <c r="G23" s="107">
        <f t="shared" si="7"/>
        <v>1.7684424310533393</v>
      </c>
      <c r="H23" s="107">
        <f t="shared" si="7"/>
        <v>1.0808029424264258</v>
      </c>
      <c r="I23" s="107">
        <f t="shared" si="7"/>
        <v>8.9353588525241037</v>
      </c>
      <c r="J23" s="107">
        <f>(1-J21)*J22</f>
        <v>1.2489057195247197</v>
      </c>
      <c r="K23" s="107">
        <f t="shared" si="7"/>
        <v>1.1405600847090345</v>
      </c>
      <c r="L23" s="107">
        <f t="shared" si="7"/>
        <v>0.73627184306569304</v>
      </c>
      <c r="M23" s="107">
        <f t="shared" si="7"/>
        <v>0.8561076390003719</v>
      </c>
      <c r="N23" s="107">
        <f t="shared" si="7"/>
        <v>9.7772503932538495</v>
      </c>
      <c r="O23" s="107">
        <f t="shared" si="7"/>
        <v>0.30224617161785938</v>
      </c>
      <c r="P23" s="108">
        <f t="shared" si="7"/>
        <v>0.11219262326992156</v>
      </c>
    </row>
    <row r="24" spans="2:16" x14ac:dyDescent="0.2">
      <c r="B24" s="109" t="s">
        <v>48</v>
      </c>
      <c r="C24" s="107">
        <f>C23*10^3/365.25</f>
        <v>0.71080953823004589</v>
      </c>
      <c r="D24" s="107">
        <f t="shared" ref="D24:I24" si="8">D23*10^3/365.25</f>
        <v>1.5434010141931029</v>
      </c>
      <c r="E24" s="107">
        <f t="shared" si="8"/>
        <v>11.432843356974097</v>
      </c>
      <c r="F24" s="107">
        <f t="shared" si="8"/>
        <v>2.9980052344950905</v>
      </c>
      <c r="G24" s="107">
        <f t="shared" si="8"/>
        <v>4.8417315018571916</v>
      </c>
      <c r="H24" s="107">
        <f t="shared" si="8"/>
        <v>2.9590771866568808</v>
      </c>
      <c r="I24" s="107">
        <f t="shared" si="8"/>
        <v>24.463679267690903</v>
      </c>
      <c r="J24" s="107">
        <f>J23*10^3/365.25</f>
        <v>3.419317507254537</v>
      </c>
      <c r="K24" s="107">
        <f t="shared" ref="K24:P24" si="9">K23*10^3/365.25</f>
        <v>3.1226833256920865</v>
      </c>
      <c r="L24" s="107">
        <f t="shared" si="9"/>
        <v>2.0158024450806105</v>
      </c>
      <c r="M24" s="107">
        <f t="shared" si="9"/>
        <v>2.3438949733069729</v>
      </c>
      <c r="N24" s="107">
        <f t="shared" si="9"/>
        <v>26.768652685157697</v>
      </c>
      <c r="O24" s="107">
        <f t="shared" si="9"/>
        <v>0.82750491887162048</v>
      </c>
      <c r="P24" s="108">
        <f t="shared" si="9"/>
        <v>0.30716666192997005</v>
      </c>
    </row>
    <row r="25" spans="2:16" x14ac:dyDescent="0.2">
      <c r="B25" s="109" t="s">
        <v>49</v>
      </c>
      <c r="C25" s="110">
        <f>$C$6*C23</f>
        <v>2.5962318383852424E-3</v>
      </c>
      <c r="D25" s="107">
        <f t="shared" ref="D25:P25" si="10">$C$6*D23</f>
        <v>5.637272204340309E-3</v>
      </c>
      <c r="E25" s="107">
        <f t="shared" si="10"/>
        <v>4.1758460361347886E-2</v>
      </c>
      <c r="F25" s="107">
        <f t="shared" si="10"/>
        <v>1.0950214118993318E-2</v>
      </c>
      <c r="G25" s="107">
        <f t="shared" si="10"/>
        <v>1.7684424310533395E-2</v>
      </c>
      <c r="H25" s="107">
        <f t="shared" si="10"/>
        <v>1.0808029424264258E-2</v>
      </c>
      <c r="I25" s="107">
        <f t="shared" si="10"/>
        <v>8.9353588525241043E-2</v>
      </c>
      <c r="J25" s="107">
        <f t="shared" si="10"/>
        <v>1.2489057195247198E-2</v>
      </c>
      <c r="K25" s="107">
        <f t="shared" si="10"/>
        <v>1.1405600847090344E-2</v>
      </c>
      <c r="L25" s="107">
        <f t="shared" si="10"/>
        <v>7.362718430656931E-3</v>
      </c>
      <c r="M25" s="107">
        <f t="shared" si="10"/>
        <v>8.5610763900037194E-3</v>
      </c>
      <c r="N25" s="107">
        <f t="shared" si="10"/>
        <v>9.7772503932538501E-2</v>
      </c>
      <c r="O25" s="107">
        <f t="shared" si="10"/>
        <v>3.022461716178594E-3</v>
      </c>
      <c r="P25" s="108">
        <f t="shared" si="10"/>
        <v>1.1219262326992157E-3</v>
      </c>
    </row>
    <row r="26" spans="2:16" x14ac:dyDescent="0.2">
      <c r="B26" s="115" t="s">
        <v>119</v>
      </c>
      <c r="C26" s="116">
        <f>C23-C25</f>
        <v>0.25702695200013898</v>
      </c>
      <c r="D26" s="116">
        <f t="shared" ref="D26:P26" si="11">D23-D25</f>
        <v>0.5580899482296906</v>
      </c>
      <c r="E26" s="116">
        <f t="shared" si="11"/>
        <v>4.1340875757734405</v>
      </c>
      <c r="F26" s="116">
        <f t="shared" si="11"/>
        <v>1.0840711977803386</v>
      </c>
      <c r="G26" s="116">
        <f t="shared" si="11"/>
        <v>1.7507580067428059</v>
      </c>
      <c r="H26" s="116">
        <f t="shared" si="11"/>
        <v>1.0699949130021615</v>
      </c>
      <c r="I26" s="116">
        <f t="shared" si="11"/>
        <v>8.8460052639988618</v>
      </c>
      <c r="J26" s="116">
        <f t="shared" si="11"/>
        <v>1.2364166623294726</v>
      </c>
      <c r="K26" s="116">
        <f t="shared" si="11"/>
        <v>1.1291544838619441</v>
      </c>
      <c r="L26" s="116">
        <f t="shared" si="11"/>
        <v>0.7289091246350361</v>
      </c>
      <c r="M26" s="116">
        <f t="shared" si="11"/>
        <v>0.8475465626103682</v>
      </c>
      <c r="N26" s="116">
        <f t="shared" si="11"/>
        <v>9.6794778893213103</v>
      </c>
      <c r="O26" s="116">
        <f t="shared" si="11"/>
        <v>0.29922370990168079</v>
      </c>
      <c r="P26" s="117">
        <f t="shared" si="11"/>
        <v>0.11107069703722235</v>
      </c>
    </row>
    <row r="27" spans="2:16" x14ac:dyDescent="0.2">
      <c r="C27" s="1"/>
      <c r="D27" s="1"/>
      <c r="E27" s="1"/>
    </row>
    <row r="28" spans="2:16" x14ac:dyDescent="0.2">
      <c r="C28" s="1"/>
      <c r="D28" s="1"/>
      <c r="E28" s="1"/>
    </row>
    <row r="29" spans="2:16" x14ac:dyDescent="0.2">
      <c r="C29" s="1"/>
      <c r="D29" s="1"/>
      <c r="E29" s="1"/>
    </row>
    <row r="30" spans="2:16" x14ac:dyDescent="0.2">
      <c r="C30" s="1"/>
      <c r="D30" s="1"/>
      <c r="E30" s="1"/>
    </row>
    <row r="31" spans="2:16" x14ac:dyDescent="0.2">
      <c r="C31" s="1"/>
      <c r="D31" s="1"/>
      <c r="E31" s="1"/>
    </row>
    <row r="32" spans="2:16" x14ac:dyDescent="0.2">
      <c r="C32" s="1"/>
      <c r="D32" s="1"/>
      <c r="E32" s="1"/>
    </row>
    <row r="33" spans="3:5" x14ac:dyDescent="0.2">
      <c r="C33" s="1"/>
      <c r="D33" s="1"/>
      <c r="E33" s="1"/>
    </row>
    <row r="34" spans="3:5" x14ac:dyDescent="0.2">
      <c r="C34" s="1"/>
      <c r="D34" s="1"/>
      <c r="E34" s="1"/>
    </row>
    <row r="35" spans="3:5" x14ac:dyDescent="0.2">
      <c r="C35" s="1"/>
      <c r="D35" s="1"/>
      <c r="E35" s="1"/>
    </row>
    <row r="36" spans="3:5" x14ac:dyDescent="0.2">
      <c r="C36" s="1"/>
      <c r="D36" s="1"/>
      <c r="E36" s="1"/>
    </row>
    <row r="37" spans="3:5" x14ac:dyDescent="0.2">
      <c r="C37" s="1"/>
      <c r="D37" s="1"/>
      <c r="E37" s="1"/>
    </row>
    <row r="38" spans="3:5" x14ac:dyDescent="0.2">
      <c r="C38" s="1"/>
      <c r="D38" s="1"/>
      <c r="E38" s="1"/>
    </row>
    <row r="39" spans="3:5" x14ac:dyDescent="0.2">
      <c r="C39" s="1"/>
      <c r="D39" s="1"/>
      <c r="E39" s="1"/>
    </row>
    <row r="40" spans="3:5" x14ac:dyDescent="0.2">
      <c r="C40" s="1"/>
      <c r="D40" s="1"/>
      <c r="E40" s="1"/>
    </row>
    <row r="41" spans="3:5" x14ac:dyDescent="0.2">
      <c r="C41" s="118"/>
      <c r="D41" s="119"/>
      <c r="E41" s="119"/>
    </row>
  </sheetData>
  <sheetProtection algorithmName="SHA-512" hashValue="MVHEuBmNAo0KXmJxESkJDM6mH27TiVc2UFzYyOnh8neDUyDs+Y55Dhgb9OzMVjLCeYSyaPV1M2n/SEA3zJyt6g==" saltValue="C+lWN62myBFXKrJFnaEoDg==" spinCount="100000" sheet="1" objects="1" scenarios="1"/>
  <mergeCells count="2">
    <mergeCell ref="C9:P9"/>
    <mergeCell ref="C19:P19"/>
  </mergeCells>
  <pageMargins left="0.7" right="0.7" top="0.75" bottom="0.75" header="0.3" footer="0.3"/>
  <pageSetup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J42" sqref="J42"/>
    </sheetView>
  </sheetViews>
  <sheetFormatPr defaultColWidth="8.85546875" defaultRowHeight="14.25" x14ac:dyDescent="0.2"/>
  <cols>
    <col min="1" max="1" width="9.5703125" style="2" customWidth="1"/>
    <col min="2" max="2" width="40" style="2" customWidth="1"/>
    <col min="3" max="14" width="8.85546875" style="2"/>
    <col min="15" max="15" width="10.5703125" style="2" customWidth="1"/>
    <col min="16" max="17" width="8.85546875" style="2"/>
    <col min="18" max="18" width="10.140625" style="2" customWidth="1"/>
    <col min="19" max="16384" width="8.85546875" style="2"/>
  </cols>
  <sheetData>
    <row r="1" spans="1:18" s="4" customFormat="1" ht="18" x14ac:dyDescent="0.25">
      <c r="A1" s="3" t="s">
        <v>28</v>
      </c>
    </row>
    <row r="2" spans="1:18" x14ac:dyDescent="0.2">
      <c r="A2" s="25" t="s">
        <v>101</v>
      </c>
    </row>
    <row r="3" spans="1:18" x14ac:dyDescent="0.2">
      <c r="A3" s="5" t="s">
        <v>27</v>
      </c>
    </row>
    <row r="4" spans="1:18" x14ac:dyDescent="0.2">
      <c r="A4" s="5"/>
    </row>
    <row r="5" spans="1:18" x14ac:dyDescent="0.2">
      <c r="B5" s="82"/>
      <c r="G5" s="2" t="s">
        <v>25</v>
      </c>
      <c r="J5" s="2" t="s">
        <v>25</v>
      </c>
    </row>
    <row r="7" spans="1:18" ht="15" x14ac:dyDescent="0.25">
      <c r="B7" s="26"/>
      <c r="C7" s="142" t="s">
        <v>26</v>
      </c>
      <c r="D7" s="142"/>
      <c r="E7" s="142"/>
      <c r="F7" s="142"/>
      <c r="G7" s="142"/>
      <c r="H7" s="142"/>
      <c r="I7" s="142"/>
      <c r="J7" s="142"/>
      <c r="K7" s="142"/>
      <c r="L7" s="142"/>
      <c r="M7" s="142"/>
      <c r="N7" s="142"/>
      <c r="O7" s="142"/>
      <c r="P7" s="142"/>
      <c r="Q7" s="83"/>
      <c r="R7" s="2" t="s">
        <v>62</v>
      </c>
    </row>
    <row r="8" spans="1:18" x14ac:dyDescent="0.2">
      <c r="B8" s="27" t="s">
        <v>24</v>
      </c>
      <c r="C8" s="67">
        <v>17090001</v>
      </c>
      <c r="D8" s="67">
        <v>17090002</v>
      </c>
      <c r="E8" s="67">
        <v>17090003</v>
      </c>
      <c r="F8" s="67">
        <v>17090004</v>
      </c>
      <c r="G8" s="67">
        <v>17090005</v>
      </c>
      <c r="H8" s="67">
        <v>17090006</v>
      </c>
      <c r="I8" s="67">
        <v>17090007</v>
      </c>
      <c r="J8" s="67">
        <v>17090008</v>
      </c>
      <c r="K8" s="67">
        <v>17090009</v>
      </c>
      <c r="L8" s="67">
        <v>17090010</v>
      </c>
      <c r="M8" s="67">
        <v>17090011</v>
      </c>
      <c r="N8" s="67">
        <v>17090012</v>
      </c>
      <c r="O8" s="67" t="s">
        <v>23</v>
      </c>
      <c r="P8" s="67" t="s">
        <v>22</v>
      </c>
      <c r="Q8" s="68" t="s">
        <v>0</v>
      </c>
    </row>
    <row r="9" spans="1:18" x14ac:dyDescent="0.2">
      <c r="B9" s="28" t="s">
        <v>21</v>
      </c>
      <c r="C9" s="69">
        <v>1.1051474787500137E-2</v>
      </c>
      <c r="D9" s="69">
        <v>4.3498599460969088E-2</v>
      </c>
      <c r="E9" s="69">
        <v>0.67948309357003989</v>
      </c>
      <c r="F9" s="69">
        <v>1.3402810594089445E-2</v>
      </c>
      <c r="G9" s="69">
        <v>5.7749077515026032E-2</v>
      </c>
      <c r="H9" s="69">
        <v>7.3436437591439765E-2</v>
      </c>
      <c r="I9" s="69">
        <v>0.2880357032057812</v>
      </c>
      <c r="J9" s="69">
        <v>0.27938678389298094</v>
      </c>
      <c r="K9" s="69">
        <v>0.16515935846044061</v>
      </c>
      <c r="L9" s="69">
        <v>0.20280611846413996</v>
      </c>
      <c r="M9" s="69">
        <v>3.3520350570984681E-2</v>
      </c>
      <c r="N9" s="69">
        <v>2.8613385584303789E-3</v>
      </c>
      <c r="O9" s="69">
        <v>7.6805014290164175E-2</v>
      </c>
      <c r="P9" s="69">
        <v>8.2920200543209425E-4</v>
      </c>
      <c r="Q9" s="73">
        <f t="shared" ref="Q9:Q30" si="0">SUM(C9:P9)</f>
        <v>1.9280253629674182</v>
      </c>
      <c r="R9" s="2">
        <f>ROUND(Q9*(1000/365.25),1)</f>
        <v>5.3</v>
      </c>
    </row>
    <row r="10" spans="1:18" x14ac:dyDescent="0.2">
      <c r="B10" s="28" t="s">
        <v>20</v>
      </c>
      <c r="C10" s="69">
        <v>2.5408282015836505</v>
      </c>
      <c r="D10" s="69">
        <v>2.7473298731670575</v>
      </c>
      <c r="E10" s="69">
        <v>1.2291480433731163</v>
      </c>
      <c r="F10" s="69">
        <v>3.5393927651975834</v>
      </c>
      <c r="G10" s="69">
        <v>2.3518438953129048</v>
      </c>
      <c r="H10" s="69">
        <v>4.145992228938403</v>
      </c>
      <c r="I10" s="69">
        <v>9.6912152697066573E-2</v>
      </c>
      <c r="J10" s="69">
        <v>0.38565478864783265</v>
      </c>
      <c r="K10" s="69">
        <v>1.1640065441702745</v>
      </c>
      <c r="L10" s="69">
        <v>0.27274433370122203</v>
      </c>
      <c r="M10" s="69">
        <v>2.1639501131974939</v>
      </c>
      <c r="N10" s="69">
        <v>2.3483971111317448E-2</v>
      </c>
      <c r="O10" s="69">
        <v>0.11813206654562934</v>
      </c>
      <c r="P10" s="69">
        <v>1.6478696248232463E-4</v>
      </c>
      <c r="Q10" s="73">
        <f t="shared" si="0"/>
        <v>20.779583764606038</v>
      </c>
      <c r="R10" s="2">
        <f t="shared" ref="R10:R29" si="1">ROUND(Q10*(1000/365.25),1)</f>
        <v>56.9</v>
      </c>
    </row>
    <row r="11" spans="1:18" x14ac:dyDescent="0.2">
      <c r="B11" s="28" t="s">
        <v>19</v>
      </c>
      <c r="C11" s="69">
        <v>0.66662162422678439</v>
      </c>
      <c r="D11" s="69">
        <v>1.0018254862617857</v>
      </c>
      <c r="E11" s="69">
        <v>0.85788214883861702</v>
      </c>
      <c r="F11" s="69">
        <v>0.80751458543075672</v>
      </c>
      <c r="G11" s="69">
        <v>0.55560088343704872</v>
      </c>
      <c r="H11" s="69">
        <v>1.3285189431630005</v>
      </c>
      <c r="I11" s="69">
        <v>4.4140927885679901E-2</v>
      </c>
      <c r="J11" s="69">
        <v>0.23754238559641941</v>
      </c>
      <c r="K11" s="69">
        <v>0.36397521434714247</v>
      </c>
      <c r="L11" s="69">
        <v>0.17347788016855475</v>
      </c>
      <c r="M11" s="69">
        <v>0.49014543556322521</v>
      </c>
      <c r="N11" s="69">
        <v>1.5445900316961229E-3</v>
      </c>
      <c r="O11" s="69">
        <v>6.4213686894655703E-2</v>
      </c>
      <c r="P11" s="69">
        <v>1.2388813794544234E-4</v>
      </c>
      <c r="Q11" s="73">
        <f t="shared" si="0"/>
        <v>6.5931276799833123</v>
      </c>
      <c r="R11" s="2">
        <f t="shared" si="1"/>
        <v>18.100000000000001</v>
      </c>
    </row>
    <row r="12" spans="1:18" x14ac:dyDescent="0.2">
      <c r="B12" s="28" t="s">
        <v>18</v>
      </c>
      <c r="C12" s="69">
        <v>0.15840245481530024</v>
      </c>
      <c r="D12" s="69">
        <v>0.22024214362586175</v>
      </c>
      <c r="E12" s="69">
        <v>1.7701554885194528</v>
      </c>
      <c r="F12" s="69">
        <v>0.14710547358255255</v>
      </c>
      <c r="G12" s="69">
        <v>0.20125590660028955</v>
      </c>
      <c r="H12" s="69">
        <v>0.19122718252572349</v>
      </c>
      <c r="I12" s="69">
        <v>1.1716786265753136</v>
      </c>
      <c r="J12" s="69">
        <v>0.42447386897339029</v>
      </c>
      <c r="K12" s="69">
        <v>0.41147877030019164</v>
      </c>
      <c r="L12" s="69">
        <v>0.88912875836673799</v>
      </c>
      <c r="M12" s="69">
        <v>0.27484162462580497</v>
      </c>
      <c r="N12" s="69">
        <v>1.1552309869552824</v>
      </c>
      <c r="O12" s="69">
        <v>0.12699563701216549</v>
      </c>
      <c r="P12" s="69">
        <v>0.69003527142559073</v>
      </c>
      <c r="Q12" s="73">
        <f t="shared" si="0"/>
        <v>7.8322521939036562</v>
      </c>
      <c r="R12" s="2">
        <f t="shared" si="1"/>
        <v>21.4</v>
      </c>
    </row>
    <row r="13" spans="1:18" x14ac:dyDescent="0.2">
      <c r="B13" s="28" t="s">
        <v>17</v>
      </c>
      <c r="C13" s="69">
        <v>0.58048234907019625</v>
      </c>
      <c r="D13" s="69">
        <v>0.34583033708439703</v>
      </c>
      <c r="E13" s="69">
        <v>1.6499989169469029</v>
      </c>
      <c r="F13" s="69">
        <v>1.0413435055131453</v>
      </c>
      <c r="G13" s="69">
        <v>0.42628440173587578</v>
      </c>
      <c r="H13" s="69">
        <v>0.57994019179738776</v>
      </c>
      <c r="I13" s="69">
        <v>0.34237542654683634</v>
      </c>
      <c r="J13" s="69">
        <v>0.36089007734295309</v>
      </c>
      <c r="K13" s="69">
        <v>0.2204527864947336</v>
      </c>
      <c r="L13" s="69">
        <v>0.14935036923247194</v>
      </c>
      <c r="M13" s="69">
        <v>0.11463041825810465</v>
      </c>
      <c r="N13" s="69">
        <v>3.6465770246217562E-2</v>
      </c>
      <c r="O13" s="69">
        <v>0.10687376062905572</v>
      </c>
      <c r="P13" s="69">
        <v>1.2819006189292522E-2</v>
      </c>
      <c r="Q13" s="73">
        <f t="shared" si="0"/>
        <v>5.96773731708757</v>
      </c>
      <c r="R13" s="2">
        <f t="shared" si="1"/>
        <v>16.3</v>
      </c>
    </row>
    <row r="14" spans="1:18" x14ac:dyDescent="0.2">
      <c r="B14" s="28" t="s">
        <v>16</v>
      </c>
      <c r="C14" s="69">
        <v>0.2501862038589876</v>
      </c>
      <c r="D14" s="69">
        <v>6.9874588112806446E-2</v>
      </c>
      <c r="E14" s="69">
        <v>0.42108469096861628</v>
      </c>
      <c r="F14" s="69">
        <v>0.11604256162765544</v>
      </c>
      <c r="G14" s="69">
        <v>0.10081599420068733</v>
      </c>
      <c r="H14" s="69">
        <v>9.5198153328505841E-2</v>
      </c>
      <c r="I14" s="69">
        <v>0.58249434770875652</v>
      </c>
      <c r="J14" s="69">
        <v>6.6298106593604217E-2</v>
      </c>
      <c r="K14" s="69">
        <v>6.5404981186534081E-2</v>
      </c>
      <c r="L14" s="69">
        <v>8.4199485297010379E-2</v>
      </c>
      <c r="M14" s="69">
        <v>7.8213958131479772E-2</v>
      </c>
      <c r="N14" s="69">
        <v>0.17640467390923142</v>
      </c>
      <c r="O14" s="69">
        <v>1.7321073711897946E-2</v>
      </c>
      <c r="P14" s="69">
        <v>1.942005298388368E-2</v>
      </c>
      <c r="Q14" s="73">
        <f t="shared" si="0"/>
        <v>2.1429588716196566</v>
      </c>
      <c r="R14" s="2">
        <f t="shared" si="1"/>
        <v>5.9</v>
      </c>
    </row>
    <row r="15" spans="1:18" x14ac:dyDescent="0.2">
      <c r="B15" s="28" t="s">
        <v>15</v>
      </c>
      <c r="C15" s="69">
        <v>1.0576118834936922E-2</v>
      </c>
      <c r="D15" s="69">
        <v>1.0321243316092811E-2</v>
      </c>
      <c r="E15" s="69">
        <v>0.31845880099381002</v>
      </c>
      <c r="F15" s="69">
        <v>2.9431500787180417E-2</v>
      </c>
      <c r="G15" s="69">
        <v>5.0814808032316014E-2</v>
      </c>
      <c r="H15" s="69">
        <v>5.9315058461038642E-2</v>
      </c>
      <c r="I15" s="69">
        <v>0.17176471104309154</v>
      </c>
      <c r="J15" s="69">
        <v>0.24855434910011734</v>
      </c>
      <c r="K15" s="69">
        <v>0.20737173242119644</v>
      </c>
      <c r="L15" s="69">
        <v>0.13886632140049895</v>
      </c>
      <c r="M15" s="69">
        <v>4.157961256603461E-2</v>
      </c>
      <c r="N15" s="69">
        <v>3.4743576593355883E-3</v>
      </c>
      <c r="O15" s="69">
        <v>2.206224059310824E-2</v>
      </c>
      <c r="P15" s="69">
        <v>2.4875046309782783E-4</v>
      </c>
      <c r="Q15" s="73">
        <f t="shared" si="0"/>
        <v>1.3128396056718556</v>
      </c>
      <c r="R15" s="2">
        <f t="shared" si="1"/>
        <v>3.6</v>
      </c>
    </row>
    <row r="16" spans="1:18" x14ac:dyDescent="0.2">
      <c r="B16" s="28" t="s">
        <v>14</v>
      </c>
      <c r="C16" s="69">
        <v>2.212199715116927</v>
      </c>
      <c r="D16" s="69">
        <v>0.46323848545084229</v>
      </c>
      <c r="E16" s="69">
        <v>0.84028878648855532</v>
      </c>
      <c r="F16" s="69">
        <v>3.5869581075696622</v>
      </c>
      <c r="G16" s="69">
        <v>1.6453253493451263</v>
      </c>
      <c r="H16" s="69">
        <v>1.1427935523382595</v>
      </c>
      <c r="I16" s="69">
        <v>0.11466499708250534</v>
      </c>
      <c r="J16" s="69">
        <v>0.58084542902959391</v>
      </c>
      <c r="K16" s="69">
        <v>0.70726141301433576</v>
      </c>
      <c r="L16" s="69">
        <v>0.23362770653526488</v>
      </c>
      <c r="M16" s="69">
        <v>2.3777323955022371</v>
      </c>
      <c r="N16" s="69">
        <v>2.4450474267497961E-2</v>
      </c>
      <c r="O16" s="69">
        <v>0.10328682091424136</v>
      </c>
      <c r="P16" s="69">
        <v>4.9442384231250243E-4</v>
      </c>
      <c r="Q16" s="73">
        <f t="shared" si="0"/>
        <v>14.033167656497362</v>
      </c>
      <c r="R16" s="2">
        <f t="shared" si="1"/>
        <v>38.4</v>
      </c>
    </row>
    <row r="17" spans="1:18" x14ac:dyDescent="0.2">
      <c r="B17" s="28" t="s">
        <v>13</v>
      </c>
      <c r="C17" s="69">
        <v>0.33187091161244098</v>
      </c>
      <c r="D17" s="69">
        <v>0.12701019433064792</v>
      </c>
      <c r="E17" s="69">
        <v>0.34860008076268889</v>
      </c>
      <c r="F17" s="69">
        <v>0.50010250893278274</v>
      </c>
      <c r="G17" s="69">
        <v>0.23912230746384761</v>
      </c>
      <c r="H17" s="69">
        <v>0.27839527487181526</v>
      </c>
      <c r="I17" s="69">
        <v>3.3639303675490895E-2</v>
      </c>
      <c r="J17" s="69">
        <v>0.22921433353605994</v>
      </c>
      <c r="K17" s="69">
        <v>0.20384723983693934</v>
      </c>
      <c r="L17" s="69">
        <v>0.10878927633233995</v>
      </c>
      <c r="M17" s="69">
        <v>0.30255095970662388</v>
      </c>
      <c r="N17" s="69">
        <v>7.3882366655015806E-4</v>
      </c>
      <c r="O17" s="69">
        <v>4.509624518038885E-2</v>
      </c>
      <c r="P17" s="69">
        <v>1.6965204025881978E-4</v>
      </c>
      <c r="Q17" s="73">
        <f t="shared" si="0"/>
        <v>2.7491471119488757</v>
      </c>
      <c r="R17" s="2">
        <f t="shared" si="1"/>
        <v>7.5</v>
      </c>
    </row>
    <row r="18" spans="1:18" x14ac:dyDescent="0.2">
      <c r="B18" s="28" t="s">
        <v>12</v>
      </c>
      <c r="C18" s="69">
        <v>8.3250641395017748E-3</v>
      </c>
      <c r="D18" s="69">
        <v>1.0861198992074512E-2</v>
      </c>
      <c r="E18" s="69">
        <v>0.11469806353419579</v>
      </c>
      <c r="F18" s="69">
        <v>1.9196041628881305E-2</v>
      </c>
      <c r="G18" s="69">
        <v>1.225111418559615E-2</v>
      </c>
      <c r="H18" s="69">
        <v>1.0600750763357938E-2</v>
      </c>
      <c r="I18" s="69">
        <v>5.6968346730757645E-2</v>
      </c>
      <c r="J18" s="69">
        <v>4.460917075428926E-2</v>
      </c>
      <c r="K18" s="69">
        <v>4.0363735109659973E-2</v>
      </c>
      <c r="L18" s="69">
        <v>7.1975060719511944E-2</v>
      </c>
      <c r="M18" s="69">
        <v>2.2559985447836984E-2</v>
      </c>
      <c r="N18" s="69">
        <v>3.2806712506399237E-2</v>
      </c>
      <c r="O18" s="69">
        <v>1.8465592853218638E-2</v>
      </c>
      <c r="P18" s="69">
        <v>1.6560454337101516E-2</v>
      </c>
      <c r="Q18" s="73">
        <f t="shared" si="0"/>
        <v>0.48024129170238261</v>
      </c>
      <c r="R18" s="2">
        <f t="shared" si="1"/>
        <v>1.3</v>
      </c>
    </row>
    <row r="19" spans="1:18" x14ac:dyDescent="0.2">
      <c r="B19" s="28" t="s">
        <v>11</v>
      </c>
      <c r="C19" s="69">
        <v>0.14039885749400946</v>
      </c>
      <c r="D19" s="69">
        <v>9.6787095677726864E-2</v>
      </c>
      <c r="E19" s="69">
        <v>1.0638716293086643</v>
      </c>
      <c r="F19" s="69">
        <v>0.25958420038262042</v>
      </c>
      <c r="G19" s="69">
        <v>0.21001394645292851</v>
      </c>
      <c r="H19" s="69">
        <v>0.29367619658829858</v>
      </c>
      <c r="I19" s="69">
        <v>0.29787635367292548</v>
      </c>
      <c r="J19" s="69">
        <v>0.38653129616240844</v>
      </c>
      <c r="K19" s="69">
        <v>0.4631147630294562</v>
      </c>
      <c r="L19" s="69">
        <v>0.14125363303883254</v>
      </c>
      <c r="M19" s="69">
        <v>0.14426232060648853</v>
      </c>
      <c r="N19" s="69">
        <v>1.445154207807719E-2</v>
      </c>
      <c r="O19" s="69">
        <v>7.9490569547697662E-2</v>
      </c>
      <c r="P19" s="69">
        <v>5.3577949278248811E-3</v>
      </c>
      <c r="Q19" s="73">
        <f t="shared" si="0"/>
        <v>3.5966701989679595</v>
      </c>
      <c r="R19" s="2">
        <f t="shared" si="1"/>
        <v>9.8000000000000007</v>
      </c>
    </row>
    <row r="20" spans="1:18" x14ac:dyDescent="0.2">
      <c r="B20" s="28" t="s">
        <v>10</v>
      </c>
      <c r="C20" s="69">
        <v>1.7362455471661237E-2</v>
      </c>
      <c r="D20" s="69">
        <v>0.22252667914650687</v>
      </c>
      <c r="E20" s="69">
        <v>2.5013516215029297</v>
      </c>
      <c r="F20" s="69">
        <v>3.0213589674291063E-2</v>
      </c>
      <c r="G20" s="69">
        <v>0.13836245222650218</v>
      </c>
      <c r="H20" s="69">
        <v>0.22467425049624432</v>
      </c>
      <c r="I20" s="69">
        <v>0.61541855429453951</v>
      </c>
      <c r="J20" s="69">
        <v>1.3107069712957209</v>
      </c>
      <c r="K20" s="69">
        <v>0.54984344072215452</v>
      </c>
      <c r="L20" s="69">
        <v>0.60958343558771466</v>
      </c>
      <c r="M20" s="69">
        <v>0.10772472136383392</v>
      </c>
      <c r="N20" s="69">
        <v>5.0927760901289809E-3</v>
      </c>
      <c r="O20" s="69">
        <v>0.26051711922911563</v>
      </c>
      <c r="P20" s="69">
        <v>1.9395580674047806E-3</v>
      </c>
      <c r="Q20" s="73">
        <f t="shared" si="0"/>
        <v>6.5953176251687493</v>
      </c>
      <c r="R20" s="2">
        <f t="shared" si="1"/>
        <v>18.100000000000001</v>
      </c>
    </row>
    <row r="21" spans="1:18" x14ac:dyDescent="0.2">
      <c r="B21" s="28" t="s">
        <v>9</v>
      </c>
      <c r="C21" s="69">
        <v>1.0501179920420405</v>
      </c>
      <c r="D21" s="69">
        <v>1.0582600609943915</v>
      </c>
      <c r="E21" s="69">
        <v>5.451823085647745</v>
      </c>
      <c r="F21" s="69">
        <v>1.2273663976068099</v>
      </c>
      <c r="G21" s="69">
        <v>1.1805757177891174</v>
      </c>
      <c r="H21" s="69">
        <v>2.9545967163017779</v>
      </c>
      <c r="I21" s="69">
        <v>0.50588119499518724</v>
      </c>
      <c r="J21" s="69">
        <v>3.8568543995853855</v>
      </c>
      <c r="K21" s="69">
        <v>3.5523570131072244</v>
      </c>
      <c r="L21" s="69">
        <v>1.8824560515662183</v>
      </c>
      <c r="M21" s="69">
        <v>1.276117079833379</v>
      </c>
      <c r="N21" s="69">
        <v>0.1359574556818339</v>
      </c>
      <c r="O21" s="69">
        <v>0.82899700703900803</v>
      </c>
      <c r="P21" s="69">
        <v>9.8015519724259977E-4</v>
      </c>
      <c r="Q21" s="73">
        <f t="shared" si="0"/>
        <v>24.962340327387363</v>
      </c>
      <c r="R21" s="2">
        <f t="shared" si="1"/>
        <v>68.3</v>
      </c>
    </row>
    <row r="22" spans="1:18" x14ac:dyDescent="0.2">
      <c r="B22" s="28" t="s">
        <v>8</v>
      </c>
      <c r="C22" s="69">
        <v>0.38468284284144316</v>
      </c>
      <c r="D22" s="69">
        <v>0.68413267251783538</v>
      </c>
      <c r="E22" s="69">
        <v>4.5855635491704856</v>
      </c>
      <c r="F22" s="69">
        <v>1.0243021856235712</v>
      </c>
      <c r="G22" s="69">
        <v>0.47961032561319406</v>
      </c>
      <c r="H22" s="69">
        <v>2.0132934217726546</v>
      </c>
      <c r="I22" s="69">
        <v>0.30081152444116538</v>
      </c>
      <c r="J22" s="69">
        <v>3.1763656117491879</v>
      </c>
      <c r="K22" s="69">
        <v>1.8732210759939625</v>
      </c>
      <c r="L22" s="69">
        <v>1.6359314107877538</v>
      </c>
      <c r="M22" s="69">
        <v>0.63892271469620243</v>
      </c>
      <c r="N22" s="69">
        <v>9.4868201360693936E-3</v>
      </c>
      <c r="O22" s="69">
        <v>0.61792613870731272</v>
      </c>
      <c r="P22" s="69">
        <v>7.4333522840126006E-4</v>
      </c>
      <c r="Q22" s="73">
        <f t="shared" si="0"/>
        <v>17.424993629279236</v>
      </c>
      <c r="R22" s="2">
        <f t="shared" si="1"/>
        <v>47.7</v>
      </c>
    </row>
    <row r="23" spans="1:18" x14ac:dyDescent="0.2">
      <c r="B23" s="28" t="s">
        <v>7</v>
      </c>
      <c r="C23" s="69">
        <v>2.2677764625899849E-2</v>
      </c>
      <c r="D23" s="69">
        <v>6.9380528249410073E-2</v>
      </c>
      <c r="E23" s="69">
        <v>0.74494125019568702</v>
      </c>
      <c r="F23" s="69">
        <v>3.7106451994650819E-2</v>
      </c>
      <c r="G23" s="69">
        <v>4.6448559438071364E-2</v>
      </c>
      <c r="H23" s="69">
        <v>7.0871719379202322E-2</v>
      </c>
      <c r="I23" s="69">
        <v>0.24531453030908482</v>
      </c>
      <c r="J23" s="69">
        <v>0.34159120112307084</v>
      </c>
      <c r="K23" s="69">
        <v>0.26589786801121784</v>
      </c>
      <c r="L23" s="69">
        <v>0.21818738424594764</v>
      </c>
      <c r="M23" s="69">
        <v>0.12535567190734004</v>
      </c>
      <c r="N23" s="69">
        <v>0.15539094771166501</v>
      </c>
      <c r="O23" s="69">
        <v>9.3070579937060111E-2</v>
      </c>
      <c r="P23" s="69">
        <v>9.1476361362186787E-2</v>
      </c>
      <c r="Q23" s="73">
        <f t="shared" si="0"/>
        <v>2.5277108184904944</v>
      </c>
      <c r="R23" s="2">
        <f t="shared" si="1"/>
        <v>6.9</v>
      </c>
    </row>
    <row r="24" spans="1:18" x14ac:dyDescent="0.2">
      <c r="B24" s="28" t="s">
        <v>6</v>
      </c>
      <c r="C24" s="69">
        <v>0.13011037269435691</v>
      </c>
      <c r="D24" s="69">
        <v>0.16898902129069676</v>
      </c>
      <c r="E24" s="69">
        <v>1.868290490401163</v>
      </c>
      <c r="F24" s="69">
        <v>0.13032661195909934</v>
      </c>
      <c r="G24" s="69">
        <v>9.8869923913462388E-2</v>
      </c>
      <c r="H24" s="69">
        <v>0.39744364493265666</v>
      </c>
      <c r="I24" s="69">
        <v>0.28228430162939705</v>
      </c>
      <c r="J24" s="69">
        <v>0.78043577309453571</v>
      </c>
      <c r="K24" s="69">
        <v>0.59477898900807991</v>
      </c>
      <c r="L24" s="69">
        <v>0.25674757520091612</v>
      </c>
      <c r="M24" s="69">
        <v>0.10778853385422578</v>
      </c>
      <c r="N24" s="69">
        <v>9.0973189094927971E-3</v>
      </c>
      <c r="O24" s="69">
        <v>0.14055712350070657</v>
      </c>
      <c r="P24" s="69">
        <v>1.093075960629137E-2</v>
      </c>
      <c r="Q24" s="73">
        <f t="shared" si="0"/>
        <v>4.9766504399950815</v>
      </c>
      <c r="R24" s="2">
        <f t="shared" si="1"/>
        <v>13.6</v>
      </c>
    </row>
    <row r="25" spans="1:18" x14ac:dyDescent="0.2">
      <c r="B25" s="28" t="s">
        <v>5</v>
      </c>
      <c r="C25" s="69">
        <v>3.1649626771175943E-2</v>
      </c>
      <c r="D25" s="69">
        <v>7.4169656994408015E-2</v>
      </c>
      <c r="E25" s="69">
        <v>1.1968594184854422</v>
      </c>
      <c r="F25" s="69">
        <v>0.10201330868303728</v>
      </c>
      <c r="G25" s="69">
        <v>1.0420256072809367E-2</v>
      </c>
      <c r="H25" s="69">
        <v>2.2845562169581397E-2</v>
      </c>
      <c r="I25" s="69">
        <v>0.65222060159932171</v>
      </c>
      <c r="J25" s="69">
        <v>1.8569357209988435E-2</v>
      </c>
      <c r="K25" s="69">
        <v>0.12491261209369753</v>
      </c>
      <c r="L25" s="69">
        <v>1.0441927313547834</v>
      </c>
      <c r="M25" s="69">
        <v>0.21256113124540077</v>
      </c>
      <c r="N25" s="69">
        <v>0.45670517095971541</v>
      </c>
      <c r="O25" s="69">
        <v>4.983331531394573E-3</v>
      </c>
      <c r="P25" s="69">
        <v>0.17612842005663032</v>
      </c>
      <c r="Q25" s="73">
        <f t="shared" si="0"/>
        <v>4.1282311852273867</v>
      </c>
      <c r="R25" s="2">
        <f t="shared" si="1"/>
        <v>11.3</v>
      </c>
    </row>
    <row r="26" spans="1:18" x14ac:dyDescent="0.2">
      <c r="B26" s="28" t="s">
        <v>4</v>
      </c>
      <c r="C26" s="69">
        <v>4.1023343218144978E-3</v>
      </c>
      <c r="D26" s="69">
        <v>2.2162233932004893E-3</v>
      </c>
      <c r="E26" s="69">
        <v>8.960957477912701E-2</v>
      </c>
      <c r="F26" s="69">
        <v>0</v>
      </c>
      <c r="G26" s="69">
        <v>4.0191243074607565E-2</v>
      </c>
      <c r="H26" s="69">
        <v>4.8743480650555136E-2</v>
      </c>
      <c r="I26" s="69">
        <v>0.22399646409097695</v>
      </c>
      <c r="J26" s="69">
        <v>0.20977375704844189</v>
      </c>
      <c r="K26" s="69">
        <v>0.19257356476472337</v>
      </c>
      <c r="L26" s="69">
        <v>1.7340391566487146E-3</v>
      </c>
      <c r="M26" s="69">
        <v>3.2443929275924127E-2</v>
      </c>
      <c r="N26" s="69">
        <v>0</v>
      </c>
      <c r="O26" s="69">
        <v>7.3229979804223189E-2</v>
      </c>
      <c r="P26" s="69">
        <v>1.715182308815788E-3</v>
      </c>
      <c r="Q26" s="73">
        <f t="shared" si="0"/>
        <v>0.92032977266905869</v>
      </c>
      <c r="R26" s="2">
        <f t="shared" si="1"/>
        <v>2.5</v>
      </c>
    </row>
    <row r="27" spans="1:18" x14ac:dyDescent="0.2">
      <c r="B27" s="28" t="s">
        <v>3</v>
      </c>
      <c r="C27" s="69">
        <v>0</v>
      </c>
      <c r="D27" s="69">
        <v>1.46</v>
      </c>
      <c r="E27" s="69">
        <v>0</v>
      </c>
      <c r="F27" s="69">
        <v>0</v>
      </c>
      <c r="G27" s="69">
        <v>0</v>
      </c>
      <c r="H27" s="69">
        <v>0</v>
      </c>
      <c r="I27" s="69">
        <v>0</v>
      </c>
      <c r="J27" s="69">
        <v>0</v>
      </c>
      <c r="K27" s="69">
        <v>0</v>
      </c>
      <c r="L27" s="69">
        <v>0</v>
      </c>
      <c r="M27" s="69">
        <v>0</v>
      </c>
      <c r="N27" s="69">
        <v>0</v>
      </c>
      <c r="O27" s="69">
        <v>0</v>
      </c>
      <c r="P27" s="69">
        <v>0</v>
      </c>
      <c r="Q27" s="73">
        <f t="shared" si="0"/>
        <v>1.46</v>
      </c>
      <c r="R27" s="2">
        <f t="shared" si="1"/>
        <v>4</v>
      </c>
    </row>
    <row r="28" spans="1:18" x14ac:dyDescent="0.2">
      <c r="B28" s="28" t="s">
        <v>2</v>
      </c>
      <c r="C28" s="69">
        <v>1.9179000000000002E-2</v>
      </c>
      <c r="D28" s="69">
        <v>4.6177200000000005E-3</v>
      </c>
      <c r="E28" s="69">
        <v>0.22666430000000004</v>
      </c>
      <c r="F28" s="69">
        <v>0</v>
      </c>
      <c r="G28" s="69">
        <v>2.7191E-2</v>
      </c>
      <c r="H28" s="69">
        <v>3.4395000000000002E-2</v>
      </c>
      <c r="I28" s="69">
        <v>0.192382</v>
      </c>
      <c r="J28" s="69">
        <v>2.6275E-2</v>
      </c>
      <c r="K28" s="69">
        <v>4.5858999999999997E-2</v>
      </c>
      <c r="L28" s="69">
        <v>0.25800000000000001</v>
      </c>
      <c r="M28" s="69">
        <v>8.6108000000000004E-2</v>
      </c>
      <c r="N28" s="69">
        <v>0.23899999999999999</v>
      </c>
      <c r="O28" s="69">
        <v>5.45E-3</v>
      </c>
      <c r="P28" s="69">
        <v>0</v>
      </c>
      <c r="Q28" s="73">
        <f t="shared" si="0"/>
        <v>1.1651210200000002</v>
      </c>
      <c r="R28" s="2">
        <f t="shared" si="1"/>
        <v>3.2</v>
      </c>
    </row>
    <row r="29" spans="1:18" x14ac:dyDescent="0.2">
      <c r="B29" s="28" t="s">
        <v>1</v>
      </c>
      <c r="C29" s="69">
        <v>0</v>
      </c>
      <c r="D29" s="69">
        <v>2.9033488043999998E-2</v>
      </c>
      <c r="E29" s="69">
        <v>0.20533102275587051</v>
      </c>
      <c r="F29" s="69">
        <v>9.1168091945555571E-2</v>
      </c>
      <c r="G29" s="69">
        <v>5.7582846289784559E-3</v>
      </c>
      <c r="H29" s="69">
        <v>2.5937951547914999E-4</v>
      </c>
      <c r="I29" s="69">
        <v>9.9693116566999987E-2</v>
      </c>
      <c r="J29" s="69">
        <v>2.6676698770543503E-3</v>
      </c>
      <c r="K29" s="69">
        <v>9.5556593484000009E-3</v>
      </c>
      <c r="L29" s="69">
        <v>2.1920123350799999E-3</v>
      </c>
      <c r="M29" s="69">
        <v>0</v>
      </c>
      <c r="N29" s="69">
        <v>6.6198114646459976E-3</v>
      </c>
      <c r="O29" s="69">
        <v>0</v>
      </c>
      <c r="P29" s="69">
        <v>0</v>
      </c>
      <c r="Q29" s="73">
        <f t="shared" si="0"/>
        <v>0.45227853648206406</v>
      </c>
      <c r="R29" s="2">
        <f t="shared" si="1"/>
        <v>1.2</v>
      </c>
    </row>
    <row r="30" spans="1:18" x14ac:dyDescent="0.2">
      <c r="A30" s="2" t="s">
        <v>25</v>
      </c>
      <c r="B30" s="86" t="s">
        <v>0</v>
      </c>
      <c r="C30" s="87">
        <f t="shared" ref="C30:P30" si="2">SUBTOTAL(109,C$9:C$29)</f>
        <v>8.570825364308627</v>
      </c>
      <c r="D30" s="87">
        <f t="shared" si="2"/>
        <v>8.9101452961107128</v>
      </c>
      <c r="E30" s="87">
        <f t="shared" si="2"/>
        <v>26.164104056243112</v>
      </c>
      <c r="F30" s="87">
        <f t="shared" si="2"/>
        <v>12.702570698733924</v>
      </c>
      <c r="G30" s="87">
        <f t="shared" si="2"/>
        <v>7.87850544703839</v>
      </c>
      <c r="H30" s="87">
        <f t="shared" si="2"/>
        <v>13.966217145585382</v>
      </c>
      <c r="I30" s="87">
        <f t="shared" si="2"/>
        <v>6.3185531847508791</v>
      </c>
      <c r="J30" s="87">
        <f t="shared" si="2"/>
        <v>12.967240330613036</v>
      </c>
      <c r="K30" s="87">
        <f t="shared" si="2"/>
        <v>11.221435761420365</v>
      </c>
      <c r="L30" s="87">
        <f t="shared" si="2"/>
        <v>8.3752435834916454</v>
      </c>
      <c r="M30" s="87">
        <f t="shared" si="2"/>
        <v>8.6310089563526198</v>
      </c>
      <c r="N30" s="87">
        <f t="shared" si="2"/>
        <v>2.4892635419435867</v>
      </c>
      <c r="O30" s="87">
        <f t="shared" si="2"/>
        <v>2.803473987921044</v>
      </c>
      <c r="P30" s="87">
        <f t="shared" si="2"/>
        <v>1.0301370551421953</v>
      </c>
      <c r="Q30" s="88">
        <f t="shared" si="0"/>
        <v>132.02872440965552</v>
      </c>
      <c r="R30" s="120">
        <f>SUM(R9:R29)</f>
        <v>361.29999999999995</v>
      </c>
    </row>
  </sheetData>
  <sheetProtection algorithmName="SHA-512" hashValue="KwT89UrXW+7XBtn98m0jLihsZr3tX7nJHwd7m5/E7Xuqh6Vc2h2coZU5fpYR4xMC0u2GjFfENjPkagzBz/gz6w==" saltValue="ShuBfh73ZEoIH7Z5bhFIQg==" spinCount="100000" sheet="1" objects="1" scenarios="1"/>
  <autoFilter ref="B8:Q29"/>
  <mergeCells count="1">
    <mergeCell ref="C7:P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e8810a87-2a59-47e9-b7fc-c0aec91fde15">TMDLs</Program>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0BE3AE2883B2438D5E12E3611341DA" ma:contentTypeVersion="3" ma:contentTypeDescription="Create a new document." ma:contentTypeScope="" ma:versionID="c79eba816f8fe019eb15c696e7764549">
  <xsd:schema xmlns:xsd="http://www.w3.org/2001/XMLSchema" xmlns:xs="http://www.w3.org/2001/XMLSchema" xmlns:p="http://schemas.microsoft.com/office/2006/metadata/properties" xmlns:ns1="http://schemas.microsoft.com/sharepoint/v3" xmlns:ns2="e8810a87-2a59-47e9-b7fc-c0aec91fde15" xmlns:ns3="4d0624c3-f678-473a-aaed-aa14d03be472" targetNamespace="http://schemas.microsoft.com/office/2006/metadata/properties" ma:root="true" ma:fieldsID="85a3236f1acfc7fc2072d08112faba91" ns1:_="" ns2:_="" ns3:_="">
    <xsd:import namespace="http://schemas.microsoft.com/sharepoint/v3"/>
    <xsd:import namespace="e8810a87-2a59-47e9-b7fc-c0aec91fde15"/>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810a87-2a59-47e9-b7fc-c0aec91fde15"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General"/>
          <xsd:enumeration value="Biosolids"/>
          <xsd:enumeration value="CWSRF"/>
          <xsd:enumeration value="DWP"/>
          <xsd:enumeration value="GWP"/>
          <xsd:enumeration value="Industrial Pretreatment"/>
          <xsd:enumeration value="Nonpoint Source"/>
          <xsd:enumeration value="Onsite"/>
          <xsd:enumeration value="Pesticides"/>
          <xsd:enumeration value="Section 401 Hydro"/>
          <xsd:enumeration value="Section 401 Removal and Fill"/>
          <xsd:enumeration value="TMDLs"/>
          <xsd:enumeration value="UIC"/>
          <xsd:enumeration value="Water Reuse"/>
          <xsd:enumeration value="Wastewater"/>
          <xsd:enumeration value="WQ Trading"/>
          <xsd:enumeration value="WQ Assessment"/>
          <xsd:enumeration value="WQ Permits"/>
          <xsd:enumeration value="WQ Toxics"/>
          <xsd:enumeration value="WQ Monitoring"/>
          <xsd:enumeration value="WQ Standards and Assessment"/>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BD1771-7B95-4A74-90AB-F2BA95370CA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1f9f35f2-f0cf-49ec-81fb-637d34c42406"/>
    <ds:schemaRef ds:uri="http://purl.org/dc/elements/1.1/"/>
    <ds:schemaRef ds:uri="http://schemas.microsoft.com/office/2006/metadata/properties"/>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97ECA55E-5163-4673-A9E8-4A61EE793559}"/>
</file>

<file path=customXml/itemProps3.xml><?xml version="1.0" encoding="utf-8"?>
<ds:datastoreItem xmlns:ds="http://schemas.openxmlformats.org/officeDocument/2006/customXml" ds:itemID="{63B7EE8C-EB08-4930-8BA5-8E484B0E82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of Contents</vt:lpstr>
      <vt:lpstr>Sub-Basin Map</vt:lpstr>
      <vt:lpstr>Flowchart</vt:lpstr>
      <vt:lpstr>Categories</vt:lpstr>
      <vt:lpstr>Allocation Optimize Final Basin</vt:lpstr>
      <vt:lpstr>Allocation Optimize Final</vt:lpstr>
      <vt:lpstr>Allocation Loads</vt:lpstr>
      <vt:lpstr>Loading Capacities</vt:lpstr>
      <vt:lpstr>At-Source Loads</vt:lpstr>
      <vt:lpstr>Delivered Loads</vt:lpstr>
      <vt:lpstr>Delivery Ratios</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Willamette Allocations for Distribution</dc:title>
  <dc:creator>BRANNAN Kevin</dc:creator>
  <cp:lastModifiedBy>THOMPSON Michele</cp:lastModifiedBy>
  <dcterms:created xsi:type="dcterms:W3CDTF">2019-06-24T17:27:46Z</dcterms:created>
  <dcterms:modified xsi:type="dcterms:W3CDTF">2019-11-22T23:28:09Z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0x010100DB0BE3AE2883B2438D5E12E3611341DA</vt:lpwstr>
  </property>
</Properties>
</file>