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P:\Central Services\PUC Forms\Public Web Site Reports\"/>
    </mc:Choice>
  </mc:AlternateContent>
  <xr:revisionPtr revIDLastSave="0" documentId="8_{7CB6E898-4FD0-4E37-BAAD-D02694BF4455}" xr6:coauthVersionLast="47" xr6:coauthVersionMax="47" xr10:uidLastSave="{00000000-0000-0000-0000-000000000000}"/>
  <bookViews>
    <workbookView xWindow="-120" yWindow="-120" windowWidth="29040" windowHeight="15840" firstSheet="2" activeTab="10" xr2:uid="{00000000-000D-0000-FFFF-FFFF00000000}"/>
  </bookViews>
  <sheets>
    <sheet name="Summary" sheetId="11" state="hidden" r:id="rId1"/>
    <sheet name="Usage" sheetId="12" state="hidden" r:id="rId2"/>
    <sheet name="PGE" sheetId="1" r:id="rId3"/>
    <sheet name="PACIFIC" sheetId="6" r:id="rId4"/>
    <sheet name="NWN" sheetId="7" r:id="rId5"/>
    <sheet name="CASCADE" sheetId="8" r:id="rId6"/>
    <sheet name="AVISTA" sheetId="9" r:id="rId7"/>
    <sheet name="IDAHO POWER" sheetId="13" r:id="rId8"/>
    <sheet name="Certifications" sheetId="2" state="hidden" r:id="rId9"/>
    <sheet name="PACIFICORP MSP" sheetId="14" r:id="rId10"/>
    <sheet name="Justice Funding (HB 2475)" sheetId="17" r:id="rId11"/>
    <sheet name="Notices of Intent" sheetId="18" r:id="rId12"/>
    <sheet name="Eligibility +Certification " sheetId="19" r:id="rId13"/>
    <sheet name="PACIFICORP SB978" sheetId="16" state="hidden" r:id="rId14"/>
    <sheet name="PGE SB978" sheetId="15" state="hidden" r:id="rId15"/>
  </sheets>
  <definedNames>
    <definedName name="_xlnm.Print_Area" localSheetId="1">Usage!$A$1:$AA$36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3" l="1"/>
  <c r="D20" i="14"/>
  <c r="B20" i="14"/>
  <c r="E19" i="14"/>
  <c r="E18" i="14"/>
  <c r="D16" i="14"/>
  <c r="B16" i="14"/>
  <c r="B8" i="14"/>
  <c r="E20" i="13"/>
  <c r="C20" i="13"/>
  <c r="F20" i="13"/>
  <c r="F14" i="13"/>
  <c r="E14" i="13"/>
  <c r="D4" i="9"/>
  <c r="B4" i="9"/>
  <c r="E10" i="9"/>
  <c r="E9" i="9"/>
  <c r="E40" i="9"/>
  <c r="F27" i="9"/>
  <c r="E27" i="9"/>
  <c r="C27" i="9"/>
  <c r="F18" i="9"/>
  <c r="E18" i="9"/>
  <c r="C18" i="9"/>
  <c r="F14" i="9"/>
  <c r="E14" i="9"/>
  <c r="E8" i="9"/>
  <c r="C7" i="9"/>
  <c r="C8" i="9" s="1"/>
  <c r="B7" i="9"/>
  <c r="E6" i="9"/>
  <c r="D4" i="8"/>
  <c r="B4" i="8"/>
  <c r="F28" i="8"/>
  <c r="E28" i="8"/>
  <c r="C28" i="8"/>
  <c r="F24" i="8"/>
  <c r="E24" i="8"/>
  <c r="C24" i="8"/>
  <c r="F19" i="8"/>
  <c r="E19" i="8"/>
  <c r="C19" i="8"/>
  <c r="F14" i="8"/>
  <c r="E14" i="8"/>
  <c r="C14" i="8"/>
  <c r="E8" i="8"/>
  <c r="E10" i="8" s="1"/>
  <c r="E6" i="8"/>
  <c r="E9" i="8" s="1"/>
  <c r="D4" i="7"/>
  <c r="B4" i="7"/>
  <c r="F33" i="7"/>
  <c r="E33" i="7"/>
  <c r="C33" i="7"/>
  <c r="C27" i="7"/>
  <c r="E27" i="7"/>
  <c r="F27" i="7"/>
  <c r="F18" i="7"/>
  <c r="E18" i="7"/>
  <c r="C18" i="7"/>
  <c r="C14" i="7"/>
  <c r="E14" i="7"/>
  <c r="E8" i="7"/>
  <c r="E6" i="7"/>
  <c r="E9" i="7" s="1"/>
  <c r="D4" i="6"/>
  <c r="B4" i="6"/>
  <c r="G33" i="6"/>
  <c r="E33" i="6"/>
  <c r="C33" i="6"/>
  <c r="G28" i="6"/>
  <c r="E28" i="6"/>
  <c r="C28" i="6"/>
  <c r="E18" i="6"/>
  <c r="C18" i="6"/>
  <c r="G16" i="6"/>
  <c r="G18" i="6" s="1"/>
  <c r="C14" i="6"/>
  <c r="E13" i="6"/>
  <c r="E14" i="6" s="1"/>
  <c r="E8" i="6"/>
  <c r="E6" i="6"/>
  <c r="E9" i="6" s="1"/>
  <c r="D4" i="1"/>
  <c r="B4" i="1"/>
  <c r="F30" i="1"/>
  <c r="E30" i="1"/>
  <c r="C30" i="1"/>
  <c r="E25" i="1"/>
  <c r="E17" i="1"/>
  <c r="C17" i="1"/>
  <c r="F15" i="1"/>
  <c r="F17" i="1" s="1"/>
  <c r="C13" i="1"/>
  <c r="E12" i="1"/>
  <c r="F12" i="1" s="1"/>
  <c r="F13" i="1" s="1"/>
  <c r="H47" i="17"/>
  <c r="E55" i="1"/>
  <c r="C54" i="1"/>
  <c r="E55" i="17"/>
  <c r="E8" i="17"/>
  <c r="F26" i="17"/>
  <c r="G26" i="17"/>
  <c r="H26" i="17"/>
  <c r="I26" i="17"/>
  <c r="J26" i="17"/>
  <c r="K26" i="17"/>
  <c r="L26" i="17"/>
  <c r="M26" i="17"/>
  <c r="N26" i="17"/>
  <c r="O26" i="17"/>
  <c r="P26" i="17"/>
  <c r="E26" i="17"/>
  <c r="F19" i="17"/>
  <c r="G19" i="17"/>
  <c r="H19" i="17"/>
  <c r="I19" i="17"/>
  <c r="J19" i="17"/>
  <c r="K19" i="17"/>
  <c r="L19" i="17"/>
  <c r="M19" i="17"/>
  <c r="N19" i="17"/>
  <c r="O19" i="17"/>
  <c r="P19" i="17"/>
  <c r="E19" i="17"/>
  <c r="C19" i="17"/>
  <c r="C26" i="17"/>
  <c r="G57" i="6"/>
  <c r="F55" i="7"/>
  <c r="F60" i="7" s="1"/>
  <c r="G52" i="17"/>
  <c r="G54" i="6"/>
  <c r="F58" i="1"/>
  <c r="F60" i="1" s="1"/>
  <c r="E50" i="17"/>
  <c r="F54" i="9"/>
  <c r="E57" i="7"/>
  <c r="E60" i="7" s="1"/>
  <c r="F37" i="13"/>
  <c r="F40" i="13" s="1"/>
  <c r="F52" i="9"/>
  <c r="C50" i="17"/>
  <c r="C57" i="17" s="1"/>
  <c r="C51" i="1"/>
  <c r="C55" i="1" s="1"/>
  <c r="C54" i="9"/>
  <c r="C58" i="9" s="1"/>
  <c r="F77" i="8"/>
  <c r="F57" i="13"/>
  <c r="F59" i="13"/>
  <c r="J47" i="17"/>
  <c r="F47" i="17"/>
  <c r="F57" i="17"/>
  <c r="H57" i="17"/>
  <c r="I57" i="17"/>
  <c r="J57" i="17"/>
  <c r="K57" i="17"/>
  <c r="L57" i="17"/>
  <c r="M57" i="17"/>
  <c r="N57" i="17"/>
  <c r="O57" i="17"/>
  <c r="P57" i="17"/>
  <c r="I47" i="17"/>
  <c r="E47" i="17"/>
  <c r="G47" i="17"/>
  <c r="C40" i="17"/>
  <c r="C45" i="17"/>
  <c r="C44" i="17"/>
  <c r="C43" i="17"/>
  <c r="C39" i="17"/>
  <c r="E59" i="14"/>
  <c r="E60" i="14" s="1"/>
  <c r="D62" i="14"/>
  <c r="C84" i="17"/>
  <c r="G90" i="6"/>
  <c r="G92" i="6"/>
  <c r="F45" i="9"/>
  <c r="F86" i="9"/>
  <c r="G123" i="6"/>
  <c r="F112" i="1"/>
  <c r="M6" i="12"/>
  <c r="H7" i="12"/>
  <c r="C8" i="12"/>
  <c r="D8" i="12"/>
  <c r="E8" i="12"/>
  <c r="D7" i="12"/>
  <c r="E7" i="12"/>
  <c r="C5" i="12"/>
  <c r="D5" i="12"/>
  <c r="B5" i="12"/>
  <c r="E5" i="12"/>
  <c r="E6" i="12" s="1"/>
  <c r="E111" i="1"/>
  <c r="R4" i="17"/>
  <c r="R30" i="17"/>
  <c r="D40" i="14"/>
  <c r="B40" i="14"/>
  <c r="E39" i="14"/>
  <c r="E38" i="14"/>
  <c r="D36" i="14"/>
  <c r="B36" i="14"/>
  <c r="B28" i="14"/>
  <c r="E40" i="13"/>
  <c r="C40" i="13"/>
  <c r="F34" i="13"/>
  <c r="E34" i="13"/>
  <c r="E39" i="9"/>
  <c r="E37" i="9"/>
  <c r="E58" i="9"/>
  <c r="F49" i="9"/>
  <c r="E49" i="9"/>
  <c r="C49" i="9"/>
  <c r="E45" i="9"/>
  <c r="E36" i="8"/>
  <c r="E34" i="8"/>
  <c r="F56" i="8"/>
  <c r="E56" i="8"/>
  <c r="C56" i="8"/>
  <c r="F52" i="8"/>
  <c r="E52" i="8"/>
  <c r="C52" i="8"/>
  <c r="F47" i="8"/>
  <c r="E47" i="8"/>
  <c r="C47" i="8"/>
  <c r="F42" i="8"/>
  <c r="E42" i="8"/>
  <c r="C42" i="8"/>
  <c r="F66" i="7"/>
  <c r="E66" i="7"/>
  <c r="C66" i="7"/>
  <c r="C60" i="7"/>
  <c r="E41" i="7"/>
  <c r="E39" i="7"/>
  <c r="F51" i="7"/>
  <c r="E51" i="7"/>
  <c r="C51" i="7"/>
  <c r="C47" i="7"/>
  <c r="E46" i="7"/>
  <c r="E47" i="7" s="1"/>
  <c r="G66" i="6"/>
  <c r="E66" i="6"/>
  <c r="C66" i="6"/>
  <c r="E41" i="6"/>
  <c r="E39" i="6"/>
  <c r="E61" i="6"/>
  <c r="C61" i="6"/>
  <c r="E51" i="6"/>
  <c r="C51" i="6"/>
  <c r="G49" i="6"/>
  <c r="G51" i="6" s="1"/>
  <c r="C47" i="6"/>
  <c r="E46" i="6"/>
  <c r="E47" i="6" s="1"/>
  <c r="E60" i="1"/>
  <c r="C60" i="1"/>
  <c r="F52" i="1"/>
  <c r="F50" i="1"/>
  <c r="F51" i="1"/>
  <c r="E47" i="1"/>
  <c r="C47" i="1"/>
  <c r="F45" i="1"/>
  <c r="F47" i="1" s="1"/>
  <c r="C43" i="1"/>
  <c r="E42" i="1"/>
  <c r="E43" i="1" s="1"/>
  <c r="B7" i="12" s="1"/>
  <c r="F91" i="7"/>
  <c r="C91" i="7"/>
  <c r="P88" i="17"/>
  <c r="J80" i="17"/>
  <c r="I80" i="17" s="1"/>
  <c r="H80" i="17"/>
  <c r="G80" i="17" s="1"/>
  <c r="L78" i="17"/>
  <c r="K78" i="17" s="1"/>
  <c r="P78" i="17"/>
  <c r="P84" i="17" s="1"/>
  <c r="N78" i="17"/>
  <c r="M78" i="17" s="1"/>
  <c r="J78" i="17"/>
  <c r="I78" i="17" s="1"/>
  <c r="H78" i="17"/>
  <c r="F78" i="17"/>
  <c r="E78" i="17" s="1"/>
  <c r="C75" i="8"/>
  <c r="E75" i="8"/>
  <c r="E87" i="17"/>
  <c r="R61" i="17"/>
  <c r="F84" i="9"/>
  <c r="F75" i="8"/>
  <c r="E116" i="1"/>
  <c r="C116" i="1"/>
  <c r="F82" i="1"/>
  <c r="D62" i="17"/>
  <c r="D63" i="17" s="1"/>
  <c r="E62" i="17"/>
  <c r="E63" i="17" s="1"/>
  <c r="E66" i="17" s="1"/>
  <c r="N31" i="17" s="1"/>
  <c r="N32" i="17" s="1"/>
  <c r="F62" i="17"/>
  <c r="F63" i="17" s="1"/>
  <c r="F66" i="17" s="1"/>
  <c r="G62" i="17"/>
  <c r="G63" i="17" s="1"/>
  <c r="G66" i="17" s="1"/>
  <c r="P31" i="17" s="1"/>
  <c r="P32" i="17" s="1"/>
  <c r="D64" i="17"/>
  <c r="D65" i="17" s="1"/>
  <c r="E64" i="17"/>
  <c r="E65" i="17" s="1"/>
  <c r="F64" i="17"/>
  <c r="F65" i="17" s="1"/>
  <c r="G64" i="17"/>
  <c r="G65" i="17" s="1"/>
  <c r="C64" i="17"/>
  <c r="C65" i="17" s="1"/>
  <c r="B64" i="17"/>
  <c r="B65" i="17" s="1"/>
  <c r="C62" i="17"/>
  <c r="C63" i="17" s="1"/>
  <c r="B62" i="17"/>
  <c r="B63" i="17" s="1"/>
  <c r="B62" i="14"/>
  <c r="E58" i="14"/>
  <c r="D56" i="14"/>
  <c r="B56" i="14"/>
  <c r="C48" i="14"/>
  <c r="B48" i="14"/>
  <c r="E61" i="13"/>
  <c r="C61" i="13"/>
  <c r="F54" i="13"/>
  <c r="E54" i="13"/>
  <c r="U5" i="12"/>
  <c r="S5" i="12"/>
  <c r="E89" i="9"/>
  <c r="U7" i="12" s="1"/>
  <c r="C89" i="9"/>
  <c r="F81" i="9"/>
  <c r="T8" i="12" s="1"/>
  <c r="C81" i="9"/>
  <c r="E81" i="9"/>
  <c r="T7" i="12" s="1"/>
  <c r="F77" i="9"/>
  <c r="S8" i="12" s="1"/>
  <c r="E77" i="9"/>
  <c r="S7" i="12" s="1"/>
  <c r="C77" i="9"/>
  <c r="F110" i="9"/>
  <c r="E140" i="9"/>
  <c r="C140" i="9"/>
  <c r="F137" i="9"/>
  <c r="F135" i="9"/>
  <c r="E132" i="9"/>
  <c r="C132" i="9"/>
  <c r="F130" i="9"/>
  <c r="F132" i="9" s="1"/>
  <c r="F128" i="9"/>
  <c r="C128" i="9"/>
  <c r="E127" i="9"/>
  <c r="E128" i="9" s="1"/>
  <c r="E20" i="14" l="1"/>
  <c r="E16" i="14"/>
  <c r="B10" i="14" s="1"/>
  <c r="E36" i="14"/>
  <c r="B30" i="14" s="1"/>
  <c r="F61" i="13"/>
  <c r="B8" i="9"/>
  <c r="C10" i="9"/>
  <c r="B10" i="9"/>
  <c r="F58" i="9"/>
  <c r="F89" i="9"/>
  <c r="E37" i="8"/>
  <c r="E38" i="8"/>
  <c r="E10" i="7"/>
  <c r="E13" i="1"/>
  <c r="E10" i="6"/>
  <c r="G61" i="6"/>
  <c r="E10" i="1"/>
  <c r="F25" i="1"/>
  <c r="C25" i="1"/>
  <c r="F55" i="1"/>
  <c r="P35" i="17"/>
  <c r="P5" i="17" s="1"/>
  <c r="P6" i="17" s="1"/>
  <c r="P9" i="17" s="1"/>
  <c r="E40" i="1"/>
  <c r="E9" i="12" s="1"/>
  <c r="E57" i="17"/>
  <c r="E42" i="7"/>
  <c r="E43" i="7"/>
  <c r="G57" i="17"/>
  <c r="E42" i="6"/>
  <c r="C47" i="17"/>
  <c r="E41" i="9"/>
  <c r="E62" i="14"/>
  <c r="E40" i="14"/>
  <c r="N35" i="17"/>
  <c r="N5" i="17" s="1"/>
  <c r="N6" i="17" s="1"/>
  <c r="N9" i="17" s="1"/>
  <c r="O31" i="17"/>
  <c r="O32" i="17" s="1"/>
  <c r="O35" i="17" s="1"/>
  <c r="O5" i="17" s="1"/>
  <c r="O6" i="17" s="1"/>
  <c r="O9" i="17" s="1"/>
  <c r="E43" i="6"/>
  <c r="E5" i="17"/>
  <c r="E6" i="17" s="1"/>
  <c r="H84" i="17"/>
  <c r="E56" i="14"/>
  <c r="B50" i="14" s="1"/>
  <c r="F42" i="1"/>
  <c r="F43" i="1" s="1"/>
  <c r="F84" i="17"/>
  <c r="D66" i="17" s="1"/>
  <c r="E84" i="17"/>
  <c r="I84" i="17"/>
  <c r="M84" i="17"/>
  <c r="K84" i="17"/>
  <c r="J84" i="17"/>
  <c r="G78" i="17"/>
  <c r="G84" i="17" s="1"/>
  <c r="L84" i="17"/>
  <c r="N84" i="17"/>
  <c r="O78" i="17"/>
  <c r="O84" i="17" s="1"/>
  <c r="G67" i="17" s="1"/>
  <c r="P33" i="17" s="1"/>
  <c r="P34" i="17" s="1"/>
  <c r="P36" i="17" s="1"/>
  <c r="P7" i="17" s="1"/>
  <c r="P8" i="17" s="1"/>
  <c r="P10" i="17" s="1"/>
  <c r="C50" i="14"/>
  <c r="C27" i="14" s="1"/>
  <c r="F140" i="9"/>
  <c r="C28" i="14" l="1"/>
  <c r="C7" i="14"/>
  <c r="C8" i="14" s="1"/>
  <c r="C10" i="14" s="1"/>
  <c r="C30" i="14"/>
  <c r="C7" i="12"/>
  <c r="B8" i="12"/>
  <c r="M31" i="17"/>
  <c r="M32" i="17" s="1"/>
  <c r="M35" i="17" s="1"/>
  <c r="M5" i="17" s="1"/>
  <c r="M6" i="17" s="1"/>
  <c r="M9" i="17" s="1"/>
  <c r="D31" i="17"/>
  <c r="D32" i="17" s="1"/>
  <c r="D35" i="17" s="1"/>
  <c r="D5" i="17" s="1"/>
  <c r="D6" i="17" s="1"/>
  <c r="D9" i="17" s="1"/>
  <c r="D67" i="17"/>
  <c r="C67" i="17"/>
  <c r="F67" i="17"/>
  <c r="E67" i="17"/>
  <c r="B66" i="17"/>
  <c r="P87" i="17"/>
  <c r="B67" i="17"/>
  <c r="C66" i="17"/>
  <c r="Q5" i="12"/>
  <c r="P7" i="12"/>
  <c r="O7" i="12"/>
  <c r="O5" i="12"/>
  <c r="F79" i="8"/>
  <c r="P8" i="12" s="1"/>
  <c r="E79" i="8"/>
  <c r="Q7" i="12" s="1"/>
  <c r="C79" i="8"/>
  <c r="F70" i="8"/>
  <c r="O8" i="12" s="1"/>
  <c r="E70" i="8"/>
  <c r="C70" i="8"/>
  <c r="L5" i="12"/>
  <c r="K8" i="12"/>
  <c r="K7" i="12"/>
  <c r="J8" i="12"/>
  <c r="J5" i="12"/>
  <c r="E91" i="7"/>
  <c r="L7" i="12" s="1"/>
  <c r="E84" i="7"/>
  <c r="C84" i="7"/>
  <c r="F84" i="7"/>
  <c r="C80" i="7"/>
  <c r="E79" i="7"/>
  <c r="E80" i="7" s="1"/>
  <c r="J7" i="12" s="1"/>
  <c r="F8" i="12"/>
  <c r="F5" i="12"/>
  <c r="E98" i="6"/>
  <c r="I7" i="12" s="1"/>
  <c r="C98" i="6"/>
  <c r="E84" i="6"/>
  <c r="G7" i="12" s="1"/>
  <c r="C84" i="6"/>
  <c r="G82" i="6"/>
  <c r="G84" i="6" s="1"/>
  <c r="G8" i="12" s="1"/>
  <c r="C80" i="6"/>
  <c r="E79" i="6"/>
  <c r="E80" i="6" s="1"/>
  <c r="F7" i="12" s="1"/>
  <c r="E87" i="1"/>
  <c r="C87" i="1"/>
  <c r="F87" i="1"/>
  <c r="E78" i="1"/>
  <c r="C78" i="1"/>
  <c r="F76" i="1"/>
  <c r="F78" i="1" s="1"/>
  <c r="C74" i="1"/>
  <c r="E73" i="1"/>
  <c r="E74" i="1" s="1"/>
  <c r="F111" i="7"/>
  <c r="G119" i="6"/>
  <c r="G125" i="6"/>
  <c r="C107" i="9"/>
  <c r="E96" i="8"/>
  <c r="E98" i="8" s="1"/>
  <c r="C98" i="8"/>
  <c r="C109" i="7"/>
  <c r="E109" i="7"/>
  <c r="E80" i="14"/>
  <c r="F108" i="1"/>
  <c r="F115" i="1"/>
  <c r="C121" i="6"/>
  <c r="G121" i="6" s="1"/>
  <c r="G122" i="6" s="1"/>
  <c r="F110" i="1"/>
  <c r="W7" i="12"/>
  <c r="X5" i="12"/>
  <c r="W5" i="12"/>
  <c r="F78" i="13"/>
  <c r="E105" i="9"/>
  <c r="E107" i="9" s="1"/>
  <c r="K31" i="17" l="1"/>
  <c r="K32" i="17" s="1"/>
  <c r="K35" i="17" s="1"/>
  <c r="K5" i="17" s="1"/>
  <c r="K6" i="17" s="1"/>
  <c r="K9" i="17" s="1"/>
  <c r="B31" i="17"/>
  <c r="B32" i="17" s="1"/>
  <c r="O33" i="17"/>
  <c r="O34" i="17" s="1"/>
  <c r="O36" i="17" s="1"/>
  <c r="O7" i="17" s="1"/>
  <c r="O8" i="17" s="1"/>
  <c r="O10" i="17" s="1"/>
  <c r="N33" i="17"/>
  <c r="N34" i="17" s="1"/>
  <c r="N36" i="17" s="1"/>
  <c r="N7" i="17" s="1"/>
  <c r="N8" i="17" s="1"/>
  <c r="N10" i="17" s="1"/>
  <c r="M33" i="17"/>
  <c r="K33" i="17"/>
  <c r="K34" i="17" s="1"/>
  <c r="K36" i="17" s="1"/>
  <c r="K7" i="17" s="1"/>
  <c r="K8" i="17" s="1"/>
  <c r="K10" i="17" s="1"/>
  <c r="B33" i="17"/>
  <c r="B34" i="17" s="1"/>
  <c r="B36" i="17" s="1"/>
  <c r="C31" i="17"/>
  <c r="C32" i="17" s="1"/>
  <c r="C35" i="17" s="1"/>
  <c r="C5" i="17" s="1"/>
  <c r="C6" i="17" s="1"/>
  <c r="C9" i="17" s="1"/>
  <c r="L31" i="17"/>
  <c r="L32" i="17" s="1"/>
  <c r="L35" i="17" s="1"/>
  <c r="L5" i="17" s="1"/>
  <c r="L6" i="17" s="1"/>
  <c r="L9" i="17" s="1"/>
  <c r="L33" i="17"/>
  <c r="F73" i="1"/>
  <c r="F74" i="1" s="1"/>
  <c r="E131" i="6"/>
  <c r="C131" i="6"/>
  <c r="G131" i="6"/>
  <c r="E116" i="6"/>
  <c r="C116" i="6"/>
  <c r="G114" i="6"/>
  <c r="C112" i="6"/>
  <c r="E111" i="6"/>
  <c r="E112" i="6" s="1"/>
  <c r="C136" i="6"/>
  <c r="E145" i="6"/>
  <c r="E146" i="6" s="1"/>
  <c r="C146" i="6"/>
  <c r="G148" i="6"/>
  <c r="G150" i="6" s="1"/>
  <c r="C150" i="6"/>
  <c r="E150" i="6"/>
  <c r="G152" i="6"/>
  <c r="G153" i="6"/>
  <c r="G154" i="6"/>
  <c r="G155" i="6"/>
  <c r="D33" i="17" l="1"/>
  <c r="D34" i="17" s="1"/>
  <c r="D36" i="17" s="1"/>
  <c r="D7" i="17" s="1"/>
  <c r="D8" i="17" s="1"/>
  <c r="D10" i="17" s="1"/>
  <c r="M34" i="17"/>
  <c r="M36" i="17" s="1"/>
  <c r="M7" i="17" s="1"/>
  <c r="M8" i="17" s="1"/>
  <c r="M10" i="17" s="1"/>
  <c r="C33" i="17"/>
  <c r="C34" i="17" s="1"/>
  <c r="C36" i="17" s="1"/>
  <c r="C7" i="17" s="1"/>
  <c r="C8" i="17" s="1"/>
  <c r="C10" i="17" s="1"/>
  <c r="L34" i="17"/>
  <c r="L36" i="17" s="1"/>
  <c r="L7" i="17" s="1"/>
  <c r="L8" i="17" s="1"/>
  <c r="L10" i="17" s="1"/>
  <c r="B7" i="17"/>
  <c r="B8" i="17" s="1"/>
  <c r="B10" i="17" s="1"/>
  <c r="B35" i="17"/>
  <c r="G98" i="6"/>
  <c r="G116" i="6"/>
  <c r="C102" i="6"/>
  <c r="C70" i="6" s="1"/>
  <c r="H5" i="12" s="1"/>
  <c r="B5" i="17" l="1"/>
  <c r="B6" i="17" s="1"/>
  <c r="B9" i="17" s="1"/>
  <c r="G5" i="12"/>
  <c r="D83" i="14"/>
  <c r="B83" i="14"/>
  <c r="E83" i="14"/>
  <c r="D78" i="14"/>
  <c r="B78" i="14"/>
  <c r="C70" i="14"/>
  <c r="B70" i="14"/>
  <c r="E82" i="13"/>
  <c r="X7" i="12" s="1"/>
  <c r="C82" i="13"/>
  <c r="F82" i="13"/>
  <c r="F75" i="13"/>
  <c r="W8" i="12" s="1"/>
  <c r="E75" i="13"/>
  <c r="C75" i="13"/>
  <c r="E102" i="8"/>
  <c r="C102" i="8"/>
  <c r="F98" i="8"/>
  <c r="F93" i="8"/>
  <c r="E93" i="8"/>
  <c r="C93" i="8"/>
  <c r="E113" i="7"/>
  <c r="C113" i="7"/>
  <c r="F108" i="7"/>
  <c r="F109" i="7" s="1"/>
  <c r="G105" i="7"/>
  <c r="C105" i="7"/>
  <c r="E104" i="7"/>
  <c r="E105" i="7" s="1"/>
  <c r="C72" i="14" l="1"/>
  <c r="E78" i="14"/>
  <c r="B72" i="14" s="1"/>
  <c r="F102" i="8"/>
  <c r="F113" i="7"/>
  <c r="F103" i="1"/>
  <c r="E117" i="1"/>
  <c r="C117" i="1"/>
  <c r="E105" i="1"/>
  <c r="C105" i="1"/>
  <c r="C101" i="1"/>
  <c r="E100" i="1"/>
  <c r="F100" i="1" s="1"/>
  <c r="F101" i="1" s="1"/>
  <c r="B121" i="1"/>
  <c r="C121" i="1"/>
  <c r="C92" i="1" s="1"/>
  <c r="C65" i="1" s="1"/>
  <c r="F105" i="1" l="1"/>
  <c r="E101" i="1"/>
  <c r="F117" i="1"/>
  <c r="F141" i="7"/>
  <c r="F144" i="1"/>
  <c r="F99" i="13"/>
  <c r="F123" i="8"/>
  <c r="F135" i="7"/>
  <c r="F145" i="1"/>
  <c r="F101" i="13" l="1"/>
  <c r="F149" i="1"/>
  <c r="G200" i="6" l="1"/>
  <c r="F127" i="8" l="1"/>
  <c r="F138" i="1" l="1"/>
  <c r="F137" i="7" l="1"/>
  <c r="F125" i="8"/>
  <c r="E135" i="1" l="1"/>
  <c r="C135" i="1"/>
  <c r="F147" i="1" l="1"/>
  <c r="F139" i="7" l="1"/>
  <c r="F142" i="1" l="1"/>
  <c r="F134" i="7"/>
  <c r="E163" i="7" l="1"/>
  <c r="D103" i="14" l="1"/>
  <c r="B103" i="14"/>
  <c r="E101" i="14"/>
  <c r="E103" i="14" s="1"/>
  <c r="D99" i="14"/>
  <c r="B99" i="14"/>
  <c r="C91" i="14"/>
  <c r="B91" i="14"/>
  <c r="B89" i="14"/>
  <c r="C89" i="14"/>
  <c r="C93" i="14" l="1"/>
  <c r="B92" i="14"/>
  <c r="B67" i="14" s="1"/>
  <c r="B68" i="14" s="1"/>
  <c r="B71" i="14" s="1"/>
  <c r="B45" i="14" s="1"/>
  <c r="B46" i="14" s="1"/>
  <c r="B49" i="14" s="1"/>
  <c r="B25" i="14" s="1"/>
  <c r="B26" i="14" s="1"/>
  <c r="E99" i="14"/>
  <c r="B93" i="14" s="1"/>
  <c r="C92" i="14"/>
  <c r="C67" i="14" s="1"/>
  <c r="C68" i="14" s="1"/>
  <c r="C71" i="14" s="1"/>
  <c r="C45" i="14" s="1"/>
  <c r="C46" i="14" s="1"/>
  <c r="C49" i="14" s="1"/>
  <c r="C25" i="14" s="1"/>
  <c r="C26" i="14" s="1"/>
  <c r="C103" i="13"/>
  <c r="F103" i="13"/>
  <c r="B29" i="14" l="1"/>
  <c r="B5" i="14"/>
  <c r="B6" i="14" s="1"/>
  <c r="B9" i="14" s="1"/>
  <c r="C29" i="14"/>
  <c r="C5" i="14"/>
  <c r="C6" i="14" s="1"/>
  <c r="C9" i="14" s="1"/>
  <c r="E123" i="13"/>
  <c r="F121" i="13"/>
  <c r="F123" i="13" s="1"/>
  <c r="C163" i="7" l="1"/>
  <c r="C161" i="9"/>
  <c r="C120" i="8"/>
  <c r="F120" i="8"/>
  <c r="E103" i="13" l="1"/>
  <c r="F96" i="13"/>
  <c r="E96" i="13"/>
  <c r="C96" i="13"/>
  <c r="E114" i="9"/>
  <c r="C114" i="9"/>
  <c r="F114" i="9"/>
  <c r="F107" i="9"/>
  <c r="F103" i="9"/>
  <c r="C103" i="9"/>
  <c r="E103" i="9"/>
  <c r="C106" i="8"/>
  <c r="E129" i="8"/>
  <c r="C129" i="8"/>
  <c r="F122" i="8"/>
  <c r="F129" i="8" s="1"/>
  <c r="E120" i="8"/>
  <c r="F116" i="8"/>
  <c r="C116" i="8"/>
  <c r="E116" i="8"/>
  <c r="C83" i="8" l="1"/>
  <c r="C60" i="8" s="1"/>
  <c r="P5" i="12" s="1"/>
  <c r="C117" i="7"/>
  <c r="E145" i="7"/>
  <c r="C145" i="7"/>
  <c r="F133" i="7"/>
  <c r="F145" i="7" s="1"/>
  <c r="E131" i="7"/>
  <c r="C131" i="7"/>
  <c r="F130" i="7"/>
  <c r="F129" i="7"/>
  <c r="F127" i="7"/>
  <c r="C127" i="7"/>
  <c r="E126" i="7"/>
  <c r="E127" i="7" s="1"/>
  <c r="E169" i="6"/>
  <c r="C169" i="6"/>
  <c r="G169" i="6"/>
  <c r="C158" i="1"/>
  <c r="E154" i="1"/>
  <c r="C154" i="1"/>
  <c r="F154" i="1"/>
  <c r="F133" i="1"/>
  <c r="F135" i="1" s="1"/>
  <c r="C131" i="1"/>
  <c r="E130" i="1"/>
  <c r="F130" i="1" s="1"/>
  <c r="F131" i="1" s="1"/>
  <c r="E167" i="1"/>
  <c r="F167" i="1" s="1"/>
  <c r="F168" i="1" s="1"/>
  <c r="C168" i="1"/>
  <c r="F170" i="1"/>
  <c r="F171" i="1" s="1"/>
  <c r="C171" i="1"/>
  <c r="E171" i="1"/>
  <c r="F174" i="1"/>
  <c r="C176" i="1"/>
  <c r="F177" i="1"/>
  <c r="F131" i="7" l="1"/>
  <c r="C95" i="7"/>
  <c r="C70" i="7" s="1"/>
  <c r="E131" i="1"/>
  <c r="E168" i="1"/>
  <c r="G230" i="6"/>
  <c r="F164" i="9" l="1"/>
  <c r="G233" i="6" l="1"/>
  <c r="G196" i="6" l="1"/>
  <c r="F166" i="9" l="1"/>
  <c r="F166" i="7" l="1"/>
  <c r="G185" i="6" l="1"/>
  <c r="G189" i="6"/>
  <c r="G194" i="6" l="1"/>
  <c r="G198" i="6" l="1"/>
  <c r="F151" i="8" l="1"/>
  <c r="F150" i="8"/>
  <c r="F202" i="7" l="1"/>
  <c r="F200" i="7" l="1"/>
  <c r="C186" i="1" l="1"/>
  <c r="E186" i="9" l="1"/>
  <c r="E171" i="8"/>
  <c r="E172" i="8" s="1"/>
  <c r="E191" i="7"/>
  <c r="E192" i="7" s="1"/>
  <c r="F180" i="8"/>
  <c r="F178" i="8"/>
  <c r="F172" i="8" l="1"/>
  <c r="E156" i="9" l="1"/>
  <c r="E142" i="8"/>
  <c r="E158" i="7"/>
  <c r="E182" i="6"/>
  <c r="E14" i="15" l="1"/>
  <c r="E14" i="16"/>
  <c r="B125" i="14" l="1"/>
  <c r="E122" i="14"/>
  <c r="E125" i="14" s="1"/>
  <c r="AA8" i="12" s="1"/>
  <c r="D120" i="14"/>
  <c r="Z7" i="12" s="1"/>
  <c r="B120" i="14"/>
  <c r="C123" i="13"/>
  <c r="F117" i="13"/>
  <c r="E117" i="13"/>
  <c r="C117" i="13"/>
  <c r="C147" i="9"/>
  <c r="C118" i="9" s="1"/>
  <c r="F169" i="9"/>
  <c r="E169" i="9"/>
  <c r="C169" i="9"/>
  <c r="E161" i="9"/>
  <c r="F159" i="9"/>
  <c r="F161" i="9" s="1"/>
  <c r="E157" i="9"/>
  <c r="C157" i="9"/>
  <c r="F157" i="9"/>
  <c r="C133" i="8"/>
  <c r="E154" i="8"/>
  <c r="C154" i="8"/>
  <c r="F149" i="8"/>
  <c r="E147" i="8"/>
  <c r="C147" i="8"/>
  <c r="F147" i="8"/>
  <c r="F143" i="8"/>
  <c r="E143" i="8"/>
  <c r="C143" i="8"/>
  <c r="C149" i="7"/>
  <c r="E174" i="7"/>
  <c r="C174" i="7"/>
  <c r="F165" i="7"/>
  <c r="F162" i="7"/>
  <c r="F159" i="7"/>
  <c r="E159" i="7"/>
  <c r="C159" i="7"/>
  <c r="C173" i="6"/>
  <c r="E204" i="6"/>
  <c r="C204" i="6"/>
  <c r="G188" i="6"/>
  <c r="G204" i="6" s="1"/>
  <c r="G186" i="6"/>
  <c r="E186" i="6"/>
  <c r="C186" i="6"/>
  <c r="G183" i="6"/>
  <c r="E183" i="6"/>
  <c r="C183" i="6"/>
  <c r="E186" i="1"/>
  <c r="F186" i="1"/>
  <c r="C93" i="9" l="1"/>
  <c r="C67" i="9" s="1"/>
  <c r="T5" i="12" s="1"/>
  <c r="E120" i="14"/>
  <c r="D125" i="14"/>
  <c r="F154" i="8"/>
  <c r="F163" i="7"/>
  <c r="F174" i="7"/>
  <c r="F191" i="13" l="1"/>
  <c r="F275" i="1"/>
  <c r="G304" i="6" l="1"/>
  <c r="G232" i="6"/>
  <c r="G224" i="6" l="1"/>
  <c r="F198" i="7" l="1"/>
  <c r="D143" i="14" l="1"/>
  <c r="G228" i="6" l="1"/>
  <c r="C224" i="6" l="1"/>
  <c r="G226" i="6"/>
  <c r="E15" i="16" l="1"/>
  <c r="C15" i="16"/>
  <c r="B6" i="16" s="1"/>
  <c r="B5" i="16"/>
  <c r="E15" i="15"/>
  <c r="C15" i="15"/>
  <c r="B6" i="15" s="1"/>
  <c r="B7" i="16" l="1"/>
  <c r="B5" i="15"/>
  <c r="B7" i="15" s="1"/>
  <c r="F195" i="7"/>
  <c r="F208" i="1" l="1"/>
  <c r="F166" i="13" l="1"/>
  <c r="E167" i="14" l="1"/>
  <c r="F235" i="7" l="1"/>
  <c r="C183" i="9" l="1"/>
  <c r="E141" i="13"/>
  <c r="C141" i="13"/>
  <c r="F141" i="13"/>
  <c r="F137" i="13"/>
  <c r="E137" i="13"/>
  <c r="C137" i="13"/>
  <c r="E194" i="9"/>
  <c r="C194" i="9"/>
  <c r="F194" i="9"/>
  <c r="E187" i="9"/>
  <c r="C187" i="9"/>
  <c r="F185" i="9"/>
  <c r="F187" i="9" s="1"/>
  <c r="E183" i="9"/>
  <c r="F182" i="9"/>
  <c r="F183" i="9" s="1"/>
  <c r="B176" i="9"/>
  <c r="B177" i="9" s="1"/>
  <c r="E183" i="8"/>
  <c r="C183" i="8"/>
  <c r="F176" i="8"/>
  <c r="F175" i="8"/>
  <c r="F174" i="8"/>
  <c r="C172" i="8"/>
  <c r="F168" i="8"/>
  <c r="E168" i="8"/>
  <c r="C168" i="8"/>
  <c r="F231" i="7"/>
  <c r="G272" i="6"/>
  <c r="D145" i="14"/>
  <c r="B145" i="14"/>
  <c r="E143" i="14"/>
  <c r="E145" i="14" s="1"/>
  <c r="B141" i="14"/>
  <c r="E141" i="14" l="1"/>
  <c r="F183" i="8"/>
  <c r="B179" i="9"/>
  <c r="B150" i="9" s="1"/>
  <c r="B121" i="9" s="1"/>
  <c r="B122" i="9" s="1"/>
  <c r="B124" i="9" s="1"/>
  <c r="E205" i="7"/>
  <c r="C205" i="7"/>
  <c r="F194" i="7"/>
  <c r="C192" i="7"/>
  <c r="F191" i="7"/>
  <c r="F192" i="7" s="1"/>
  <c r="F188" i="7"/>
  <c r="E188" i="7"/>
  <c r="C188" i="7"/>
  <c r="F205" i="7" l="1"/>
  <c r="E235" i="6"/>
  <c r="C235" i="6"/>
  <c r="G223" i="6"/>
  <c r="G221" i="6"/>
  <c r="E221" i="6"/>
  <c r="C221" i="6"/>
  <c r="G218" i="6"/>
  <c r="E218" i="6"/>
  <c r="C218" i="6"/>
  <c r="F215" i="1"/>
  <c r="E215" i="1"/>
  <c r="C215" i="1"/>
  <c r="F203" i="1"/>
  <c r="E203" i="1"/>
  <c r="C203" i="1"/>
  <c r="E200" i="1"/>
  <c r="C200" i="1"/>
  <c r="F199" i="1"/>
  <c r="F200" i="1" s="1"/>
  <c r="G235" i="6" l="1"/>
  <c r="F170" i="13"/>
  <c r="F171" i="13" s="1"/>
  <c r="E159" i="14" l="1"/>
  <c r="E162" i="14" s="1"/>
  <c r="F262" i="7" l="1"/>
  <c r="E173" i="13" l="1"/>
  <c r="C173" i="13"/>
  <c r="C36" i="12" l="1"/>
  <c r="C277" i="6" l="1"/>
  <c r="G276" i="6"/>
  <c r="E277" i="6" l="1"/>
  <c r="F246" i="1"/>
  <c r="E246" i="1"/>
  <c r="F164" i="13" l="1"/>
  <c r="G273" i="6" l="1"/>
  <c r="G274" i="6" s="1"/>
  <c r="C239" i="7"/>
  <c r="G270" i="6" l="1"/>
  <c r="F285" i="1" l="1"/>
  <c r="C246" i="1"/>
  <c r="C313" i="6" l="1"/>
  <c r="G268" i="6" l="1"/>
  <c r="G267" i="6"/>
  <c r="F222" i="8" l="1"/>
  <c r="G265" i="6" l="1"/>
  <c r="G264" i="6" l="1"/>
  <c r="F242" i="9" l="1"/>
  <c r="F227" i="8"/>
  <c r="F267" i="7"/>
  <c r="C317" i="6" l="1"/>
  <c r="E317" i="6"/>
  <c r="E234" i="8"/>
  <c r="F229" i="8" l="1"/>
  <c r="D167" i="14" l="1"/>
  <c r="B167" i="14"/>
  <c r="D162" i="14"/>
  <c r="B162" i="14"/>
  <c r="F158" i="13"/>
  <c r="F160" i="13"/>
  <c r="F162" i="13"/>
  <c r="F161" i="13"/>
  <c r="F155" i="13"/>
  <c r="E155" i="13"/>
  <c r="C155" i="13"/>
  <c r="F217" i="9"/>
  <c r="F218" i="9"/>
  <c r="C219" i="9"/>
  <c r="E219" i="9"/>
  <c r="F216" i="9"/>
  <c r="F214" i="9"/>
  <c r="F213" i="9"/>
  <c r="E211" i="9"/>
  <c r="C211" i="9"/>
  <c r="F210" i="9"/>
  <c r="F211" i="9" s="1"/>
  <c r="E208" i="9"/>
  <c r="C208" i="9"/>
  <c r="F207" i="9"/>
  <c r="F208" i="9" s="1"/>
  <c r="F202" i="8"/>
  <c r="F204" i="8"/>
  <c r="E206" i="8"/>
  <c r="C206" i="8"/>
  <c r="F205" i="8"/>
  <c r="F203" i="8"/>
  <c r="F200" i="8"/>
  <c r="E200" i="8"/>
  <c r="C200" i="8"/>
  <c r="F197" i="8"/>
  <c r="E197" i="8"/>
  <c r="C197" i="8"/>
  <c r="E239" i="7"/>
  <c r="F237" i="7"/>
  <c r="F234" i="7"/>
  <c r="F233" i="7"/>
  <c r="F227" i="7"/>
  <c r="F226" i="7"/>
  <c r="E224" i="7"/>
  <c r="C224" i="7"/>
  <c r="F223" i="7"/>
  <c r="F224" i="7" s="1"/>
  <c r="F220" i="7"/>
  <c r="E220" i="7"/>
  <c r="C220" i="7"/>
  <c r="G255" i="6"/>
  <c r="G256" i="6"/>
  <c r="G260" i="6"/>
  <c r="G259" i="6"/>
  <c r="G253" i="6"/>
  <c r="E253" i="6"/>
  <c r="C253" i="6"/>
  <c r="G250" i="6"/>
  <c r="E250" i="6"/>
  <c r="C250" i="6"/>
  <c r="F232" i="1"/>
  <c r="E232" i="1"/>
  <c r="C232" i="1"/>
  <c r="E229" i="1"/>
  <c r="C229" i="1"/>
  <c r="F228" i="1"/>
  <c r="F229" i="1" s="1"/>
  <c r="F173" i="13" l="1"/>
  <c r="G277" i="6"/>
  <c r="F239" i="7"/>
  <c r="F219" i="9"/>
  <c r="F206" i="8"/>
  <c r="C278" i="1"/>
  <c r="F230" i="8" l="1"/>
  <c r="G302" i="6" l="1"/>
  <c r="E286" i="1"/>
  <c r="F283" i="1"/>
  <c r="C286" i="1" l="1"/>
  <c r="E195" i="13" l="1"/>
  <c r="C195" i="13"/>
  <c r="E269" i="7"/>
  <c r="C269" i="7"/>
  <c r="F284" i="1"/>
  <c r="G36" i="12"/>
  <c r="G314" i="6"/>
  <c r="F212" i="13" l="1"/>
  <c r="F299" i="7"/>
  <c r="C234" i="8" l="1"/>
  <c r="F278" i="1" l="1"/>
  <c r="F277" i="1" l="1"/>
  <c r="E246" i="9" l="1"/>
  <c r="F246" i="9" s="1"/>
  <c r="G338" i="6" l="1"/>
  <c r="F307" i="1"/>
  <c r="F187" i="13" l="1"/>
  <c r="F298" i="7" l="1"/>
  <c r="E300" i="7"/>
  <c r="C300" i="7" l="1"/>
  <c r="D186" i="14" l="1"/>
  <c r="B186" i="14"/>
  <c r="E184" i="14"/>
  <c r="E186" i="14" s="1"/>
  <c r="E182" i="14"/>
  <c r="D182" i="14"/>
  <c r="B182" i="14"/>
  <c r="F190" i="13"/>
  <c r="F193" i="13"/>
  <c r="E187" i="13"/>
  <c r="C187" i="13"/>
  <c r="F241" i="9"/>
  <c r="C248" i="9"/>
  <c r="E248" i="9"/>
  <c r="F238" i="9"/>
  <c r="E236" i="9"/>
  <c r="C236" i="9"/>
  <c r="F235" i="9"/>
  <c r="F236" i="9" s="1"/>
  <c r="E233" i="9"/>
  <c r="C233" i="9"/>
  <c r="F232" i="9"/>
  <c r="F233" i="9" s="1"/>
  <c r="F226" i="8"/>
  <c r="F232" i="8"/>
  <c r="F223" i="8"/>
  <c r="E223" i="8"/>
  <c r="C223" i="8"/>
  <c r="F220" i="8"/>
  <c r="E220" i="8"/>
  <c r="C220" i="8"/>
  <c r="F266" i="7"/>
  <c r="F264" i="7"/>
  <c r="F261" i="7"/>
  <c r="F260" i="7"/>
  <c r="E258" i="7"/>
  <c r="C258" i="7"/>
  <c r="F257" i="7"/>
  <c r="F258" i="7" s="1"/>
  <c r="E253" i="7"/>
  <c r="C253" i="7"/>
  <c r="F253" i="7"/>
  <c r="C351" i="6"/>
  <c r="E351" i="6"/>
  <c r="C315" i="1"/>
  <c r="E315" i="1"/>
  <c r="G299" i="6"/>
  <c r="G307" i="6"/>
  <c r="G309" i="6"/>
  <c r="G310" i="6"/>
  <c r="G313" i="6"/>
  <c r="G315" i="6"/>
  <c r="G297" i="6"/>
  <c r="G294" i="6"/>
  <c r="E294" i="6"/>
  <c r="C294" i="6"/>
  <c r="E291" i="6"/>
  <c r="C291" i="6"/>
  <c r="G291" i="6"/>
  <c r="F268" i="1"/>
  <c r="F270" i="1"/>
  <c r="F272" i="1"/>
  <c r="F281" i="1"/>
  <c r="F266" i="1"/>
  <c r="F263" i="1"/>
  <c r="E263" i="1"/>
  <c r="C263" i="1"/>
  <c r="E260" i="1"/>
  <c r="C260" i="1"/>
  <c r="F259" i="1"/>
  <c r="F260" i="1" s="1"/>
  <c r="F286" i="1" l="1"/>
  <c r="G317" i="6"/>
  <c r="F234" i="8"/>
  <c r="F195" i="13"/>
  <c r="F269" i="7"/>
  <c r="F239" i="9"/>
  <c r="F248" i="9" s="1"/>
  <c r="F270" i="9"/>
  <c r="F214" i="13" l="1"/>
  <c r="D202" i="14"/>
  <c r="C215" i="13" l="1"/>
  <c r="G349" i="6" l="1"/>
  <c r="E202" i="14" l="1"/>
  <c r="C300" i="1" l="1"/>
  <c r="D206" i="14" l="1"/>
  <c r="B206" i="14"/>
  <c r="E204" i="14"/>
  <c r="E206" i="14" s="1"/>
  <c r="B202" i="14"/>
  <c r="E215" i="13"/>
  <c r="F215" i="13"/>
  <c r="F209" i="13"/>
  <c r="E209" i="13"/>
  <c r="C209" i="13"/>
  <c r="F268" i="9"/>
  <c r="F272" i="9"/>
  <c r="F267" i="9"/>
  <c r="C273" i="9"/>
  <c r="E273" i="9"/>
  <c r="E265" i="9"/>
  <c r="C265" i="9"/>
  <c r="F264" i="9"/>
  <c r="F265" i="9" s="1"/>
  <c r="E262" i="9"/>
  <c r="C262" i="9"/>
  <c r="F261" i="9"/>
  <c r="F262" i="9" s="1"/>
  <c r="F291" i="7"/>
  <c r="F254" i="8"/>
  <c r="F256" i="8"/>
  <c r="F257" i="8"/>
  <c r="F253" i="8"/>
  <c r="C258" i="8"/>
  <c r="E258" i="8"/>
  <c r="F251" i="8"/>
  <c r="E251" i="8"/>
  <c r="C251" i="8"/>
  <c r="E248" i="8"/>
  <c r="C248" i="8"/>
  <c r="F248" i="8"/>
  <c r="F293" i="7"/>
  <c r="F294" i="7"/>
  <c r="F295" i="7"/>
  <c r="F297" i="7"/>
  <c r="F292" i="7"/>
  <c r="E289" i="7"/>
  <c r="C289" i="7"/>
  <c r="F288" i="7"/>
  <c r="F289" i="7" s="1"/>
  <c r="E284" i="7"/>
  <c r="C284" i="7"/>
  <c r="F283" i="7"/>
  <c r="F284" i="7" s="1"/>
  <c r="F305" i="1"/>
  <c r="F309" i="1"/>
  <c r="F310" i="1"/>
  <c r="F311" i="1"/>
  <c r="F312" i="1"/>
  <c r="G340" i="6"/>
  <c r="G342" i="6"/>
  <c r="G343" i="6"/>
  <c r="G344" i="6"/>
  <c r="G346" i="6"/>
  <c r="G347" i="6"/>
  <c r="G348" i="6"/>
  <c r="G335" i="6"/>
  <c r="E335" i="6"/>
  <c r="C335" i="6"/>
  <c r="E332" i="6"/>
  <c r="C332" i="6"/>
  <c r="G331" i="6"/>
  <c r="G332" i="6" s="1"/>
  <c r="F313" i="1"/>
  <c r="F303" i="1"/>
  <c r="E303" i="1"/>
  <c r="C303" i="1"/>
  <c r="E300" i="1"/>
  <c r="F299" i="1"/>
  <c r="F300" i="1" s="1"/>
  <c r="F300" i="7" l="1"/>
  <c r="G351" i="6"/>
  <c r="F315" i="1"/>
  <c r="F258" i="8"/>
  <c r="F273" i="9"/>
  <c r="E36" i="12" l="1"/>
  <c r="I36" i="12"/>
  <c r="G7" i="11"/>
  <c r="P36" i="12"/>
  <c r="O36" i="12"/>
  <c r="I7" i="11"/>
  <c r="M7" i="11"/>
  <c r="P7" i="11"/>
  <c r="F8" i="11"/>
  <c r="C7" i="11"/>
  <c r="C8" i="11"/>
  <c r="F7" i="11"/>
  <c r="E7" i="11"/>
  <c r="M8" i="11"/>
  <c r="L8" i="11"/>
  <c r="B7" i="11"/>
  <c r="D7" i="11"/>
  <c r="B8" i="11"/>
  <c r="P8" i="11"/>
  <c r="I8" i="11"/>
  <c r="H7" i="11"/>
  <c r="H8" i="11"/>
  <c r="M36" i="12"/>
  <c r="K36" i="12"/>
  <c r="O8" i="11"/>
  <c r="Q7" i="11"/>
  <c r="Q5" i="11"/>
  <c r="P5" i="11"/>
  <c r="O7" i="11"/>
  <c r="O5" i="11"/>
  <c r="N7" i="11"/>
  <c r="N5" i="11"/>
  <c r="M5" i="11"/>
  <c r="L7" i="11"/>
  <c r="L5" i="11"/>
  <c r="J7" i="11"/>
  <c r="J5" i="11"/>
  <c r="I5" i="11"/>
  <c r="H5" i="11"/>
  <c r="E8" i="11"/>
  <c r="G5" i="11"/>
  <c r="F5" i="11"/>
  <c r="E5" i="11"/>
  <c r="C5" i="11"/>
  <c r="B5" i="11"/>
  <c r="D5" i="11"/>
  <c r="I4" i="11" l="1"/>
  <c r="I6" i="11" s="1"/>
  <c r="O9" i="11"/>
  <c r="J9" i="11"/>
  <c r="Q4" i="11"/>
  <c r="Q6" i="11" s="1"/>
  <c r="P4" i="11"/>
  <c r="P6" i="11" s="1"/>
  <c r="M4" i="11"/>
  <c r="M6" i="11" s="1"/>
  <c r="N4" i="11"/>
  <c r="N6" i="11" s="1"/>
  <c r="L4" i="11"/>
  <c r="L6" i="11" s="1"/>
  <c r="M9" i="11"/>
  <c r="H4" i="11"/>
  <c r="H6" i="11" s="1"/>
  <c r="J4" i="11"/>
  <c r="J6" i="11" s="1"/>
  <c r="H9" i="11"/>
  <c r="E9" i="11"/>
  <c r="B9" i="11"/>
  <c r="G9" i="11" l="1"/>
  <c r="I9" i="11"/>
  <c r="J8" i="11"/>
  <c r="P9" i="11"/>
  <c r="C9" i="11"/>
  <c r="O4" i="11"/>
  <c r="O6" i="11" s="1"/>
  <c r="Q9" i="11"/>
  <c r="Q8" i="11"/>
  <c r="D4" i="11"/>
  <c r="D6" i="11" s="1"/>
  <c r="L9" i="11"/>
  <c r="N8" i="11"/>
  <c r="N9" i="11"/>
  <c r="G4" i="11"/>
  <c r="G6" i="11" s="1"/>
  <c r="E4" i="11"/>
  <c r="E6" i="11" s="1"/>
  <c r="G8" i="11"/>
  <c r="B4" i="11"/>
  <c r="B6" i="11" s="1"/>
  <c r="D8" i="11"/>
  <c r="C4" i="11"/>
  <c r="C6" i="11" s="1"/>
  <c r="D9" i="11"/>
  <c r="B256" i="9" l="1"/>
  <c r="B258" i="9" s="1"/>
  <c r="B226" i="9" s="1"/>
  <c r="B227" i="9" s="1"/>
  <c r="B229" i="9" s="1"/>
  <c r="D242" i="8"/>
  <c r="D244" i="8" s="1"/>
  <c r="B242" i="8"/>
  <c r="B244" i="8" s="1"/>
  <c r="F4" i="11"/>
  <c r="F6" i="11" s="1"/>
  <c r="F9" i="11"/>
  <c r="B201" i="9" l="1"/>
  <c r="B202" i="9" s="1"/>
  <c r="B204" i="9" s="1"/>
  <c r="B174" i="9" s="1"/>
  <c r="B213" i="8"/>
  <c r="B214" i="8" s="1"/>
  <c r="B216" i="8" s="1"/>
  <c r="B240" i="8"/>
  <c r="B243" i="8" s="1"/>
  <c r="B211" i="8" s="1"/>
  <c r="D213" i="8"/>
  <c r="D214" i="8" s="1"/>
  <c r="D216" i="8" s="1"/>
  <c r="D254" i="9"/>
  <c r="B203" i="13"/>
  <c r="B205" i="13" s="1"/>
  <c r="B180" i="13" s="1"/>
  <c r="B181" i="13" s="1"/>
  <c r="B183" i="13" s="1"/>
  <c r="C242" i="8"/>
  <c r="C244" i="8" s="1"/>
  <c r="C201" i="13"/>
  <c r="C204" i="13" s="1"/>
  <c r="C294" i="1"/>
  <c r="B195" i="14"/>
  <c r="B197" i="14" s="1"/>
  <c r="B174" i="14" s="1"/>
  <c r="B175" i="9" l="1"/>
  <c r="B178" i="9" s="1"/>
  <c r="B148" i="13"/>
  <c r="B149" i="13" s="1"/>
  <c r="B151" i="13" s="1"/>
  <c r="B130" i="13" s="1"/>
  <c r="B131" i="13" s="1"/>
  <c r="D190" i="8"/>
  <c r="D191" i="8" s="1"/>
  <c r="B190" i="8"/>
  <c r="B191" i="8" s="1"/>
  <c r="B212" i="8"/>
  <c r="B215" i="8" s="1"/>
  <c r="B188" i="8" s="1"/>
  <c r="C296" i="1"/>
  <c r="C253" i="1" s="1"/>
  <c r="D224" i="9"/>
  <c r="C240" i="8"/>
  <c r="C243" i="8" s="1"/>
  <c r="C211" i="8" s="1"/>
  <c r="C213" i="8"/>
  <c r="C214" i="8" s="1"/>
  <c r="C216" i="8" s="1"/>
  <c r="C254" i="9"/>
  <c r="C257" i="9" s="1"/>
  <c r="C224" i="9" s="1"/>
  <c r="B254" i="9"/>
  <c r="B257" i="9" s="1"/>
  <c r="B224" i="9" s="1"/>
  <c r="D278" i="7"/>
  <c r="C256" i="9"/>
  <c r="C258" i="9" s="1"/>
  <c r="C226" i="9" s="1"/>
  <c r="C227" i="9" s="1"/>
  <c r="C229" i="9" s="1"/>
  <c r="B294" i="1"/>
  <c r="B296" i="1" s="1"/>
  <c r="B253" i="1" s="1"/>
  <c r="C195" i="14"/>
  <c r="C197" i="14" s="1"/>
  <c r="C174" i="14" s="1"/>
  <c r="D294" i="1"/>
  <c r="B151" i="9" l="1"/>
  <c r="B153" i="9" s="1"/>
  <c r="B148" i="9"/>
  <c r="B149" i="9" s="1"/>
  <c r="B152" i="9" s="1"/>
  <c r="B119" i="9" s="1"/>
  <c r="B120" i="9" s="1"/>
  <c r="B123" i="9" s="1"/>
  <c r="B133" i="13"/>
  <c r="B110" i="13" s="1"/>
  <c r="B193" i="8"/>
  <c r="B161" i="8" s="1"/>
  <c r="D193" i="8"/>
  <c r="D161" i="8" s="1"/>
  <c r="B189" i="8"/>
  <c r="B192" i="8" s="1"/>
  <c r="C201" i="9"/>
  <c r="C202" i="9" s="1"/>
  <c r="C204" i="9" s="1"/>
  <c r="B225" i="9"/>
  <c r="B228" i="9" s="1"/>
  <c r="B199" i="9" s="1"/>
  <c r="C190" i="8"/>
  <c r="C191" i="8" s="1"/>
  <c r="C212" i="8"/>
  <c r="C215" i="8" s="1"/>
  <c r="C188" i="8" s="1"/>
  <c r="B254" i="1"/>
  <c r="C254" i="1"/>
  <c r="C256" i="1" s="1"/>
  <c r="D225" i="9"/>
  <c r="D228" i="9" s="1"/>
  <c r="D199" i="9" s="1"/>
  <c r="C225" i="9"/>
  <c r="C228" i="9" s="1"/>
  <c r="C199" i="9" s="1"/>
  <c r="C193" i="14"/>
  <c r="C196" i="14" s="1"/>
  <c r="C172" i="14" s="1"/>
  <c r="C173" i="14" s="1"/>
  <c r="C175" i="14"/>
  <c r="C177" i="14" s="1"/>
  <c r="C153" i="14" s="1"/>
  <c r="B193" i="14"/>
  <c r="B196" i="14" s="1"/>
  <c r="B172" i="14" s="1"/>
  <c r="B173" i="14" s="1"/>
  <c r="B175" i="14"/>
  <c r="B177" i="14" s="1"/>
  <c r="B153" i="14" s="1"/>
  <c r="C276" i="7"/>
  <c r="C279" i="7" s="1"/>
  <c r="B278" i="7"/>
  <c r="D280" i="7"/>
  <c r="D256" i="9"/>
  <c r="D258" i="9" s="1"/>
  <c r="D226" i="9" s="1"/>
  <c r="B292" i="1"/>
  <c r="B295" i="1" s="1"/>
  <c r="B251" i="1" s="1"/>
  <c r="D296" i="1"/>
  <c r="D253" i="1" s="1"/>
  <c r="D240" i="8"/>
  <c r="D243" i="8" s="1"/>
  <c r="D211" i="8" s="1"/>
  <c r="D276" i="7"/>
  <c r="D279" i="7" s="1"/>
  <c r="D244" i="7" s="1"/>
  <c r="D292" i="1"/>
  <c r="D295" i="1" s="1"/>
  <c r="D251" i="1" s="1"/>
  <c r="C203" i="13"/>
  <c r="C205" i="13" s="1"/>
  <c r="C278" i="7"/>
  <c r="B326" i="6"/>
  <c r="B328" i="6" s="1"/>
  <c r="B96" i="9" l="1"/>
  <c r="B97" i="9" s="1"/>
  <c r="B99" i="9" s="1"/>
  <c r="B70" i="9" s="1"/>
  <c r="B71" i="9" s="1"/>
  <c r="B73" i="9" s="1"/>
  <c r="B94" i="9"/>
  <c r="B95" i="9" s="1"/>
  <c r="B98" i="9" s="1"/>
  <c r="B68" i="9" s="1"/>
  <c r="B162" i="8"/>
  <c r="B159" i="8"/>
  <c r="C176" i="9"/>
  <c r="C177" i="9" s="1"/>
  <c r="C179" i="9" s="1"/>
  <c r="C174" i="9"/>
  <c r="C193" i="8"/>
  <c r="C161" i="8" s="1"/>
  <c r="C200" i="9"/>
  <c r="C203" i="9" s="1"/>
  <c r="B200" i="9"/>
  <c r="B203" i="9" s="1"/>
  <c r="D200" i="9"/>
  <c r="D203" i="9" s="1"/>
  <c r="C189" i="8"/>
  <c r="C192" i="8" s="1"/>
  <c r="B176" i="14"/>
  <c r="B151" i="14" s="1"/>
  <c r="B154" i="14"/>
  <c r="B130" i="14" s="1"/>
  <c r="C176" i="14"/>
  <c r="C151" i="14" s="1"/>
  <c r="C154" i="14"/>
  <c r="C180" i="13"/>
  <c r="C181" i="13" s="1"/>
  <c r="C178" i="13"/>
  <c r="C222" i="1"/>
  <c r="C223" i="1" s="1"/>
  <c r="C225" i="1" s="1"/>
  <c r="C193" i="1" s="1"/>
  <c r="C194" i="1" s="1"/>
  <c r="C196" i="1" s="1"/>
  <c r="C161" i="1" s="1"/>
  <c r="B256" i="1"/>
  <c r="B222" i="1" s="1"/>
  <c r="B223" i="1" s="1"/>
  <c r="B225" i="1" s="1"/>
  <c r="B193" i="1" s="1"/>
  <c r="B194" i="1" s="1"/>
  <c r="B196" i="1" s="1"/>
  <c r="B252" i="1"/>
  <c r="B255" i="1" s="1"/>
  <c r="B220" i="1" s="1"/>
  <c r="C244" i="7"/>
  <c r="D245" i="7"/>
  <c r="D248" i="7" s="1"/>
  <c r="D211" i="7" s="1"/>
  <c r="D246" i="7"/>
  <c r="D212" i="8"/>
  <c r="D215" i="8" s="1"/>
  <c r="D188" i="8" s="1"/>
  <c r="D227" i="9"/>
  <c r="D229" i="9" s="1"/>
  <c r="B276" i="7"/>
  <c r="B279" i="7" s="1"/>
  <c r="C280" i="7"/>
  <c r="C246" i="7" s="1"/>
  <c r="C247" i="7" s="1"/>
  <c r="C249" i="7" s="1"/>
  <c r="B280" i="7"/>
  <c r="B246" i="7" s="1"/>
  <c r="D254" i="1"/>
  <c r="B324" i="6"/>
  <c r="B327" i="6" s="1"/>
  <c r="B282" i="6" s="1"/>
  <c r="B284" i="6"/>
  <c r="D252" i="1"/>
  <c r="D255" i="1" s="1"/>
  <c r="D220" i="1" s="1"/>
  <c r="D324" i="6"/>
  <c r="D327" i="6" s="1"/>
  <c r="D282" i="6" s="1"/>
  <c r="C292" i="1"/>
  <c r="C295" i="1" s="1"/>
  <c r="C251" i="1" s="1"/>
  <c r="C326" i="6"/>
  <c r="C328" i="6" s="1"/>
  <c r="D326" i="6"/>
  <c r="D328" i="6" s="1"/>
  <c r="B201" i="13"/>
  <c r="B204" i="13" s="1"/>
  <c r="B178" i="13" s="1"/>
  <c r="S9" i="12" l="1"/>
  <c r="B38" i="9"/>
  <c r="B39" i="9" s="1"/>
  <c r="B41" i="9" s="1"/>
  <c r="B5" i="9" s="1"/>
  <c r="B6" i="9" s="1"/>
  <c r="B9" i="9" s="1"/>
  <c r="B69" i="9"/>
  <c r="B72" i="9" s="1"/>
  <c r="B36" i="9" s="1"/>
  <c r="B37" i="9" s="1"/>
  <c r="B40" i="9" s="1"/>
  <c r="S4" i="12"/>
  <c r="S6" i="12" s="1"/>
  <c r="B161" i="1"/>
  <c r="B162" i="1" s="1"/>
  <c r="B164" i="1" s="1"/>
  <c r="C156" i="14"/>
  <c r="C130" i="14"/>
  <c r="B131" i="14"/>
  <c r="B134" i="14" s="1"/>
  <c r="B109" i="14" s="1"/>
  <c r="C150" i="9"/>
  <c r="C151" i="9" s="1"/>
  <c r="C153" i="9" s="1"/>
  <c r="C121" i="9" s="1"/>
  <c r="C122" i="9" s="1"/>
  <c r="C124" i="9" s="1"/>
  <c r="C96" i="9" s="1"/>
  <c r="B160" i="8"/>
  <c r="B163" i="8" s="1"/>
  <c r="B134" i="8" s="1"/>
  <c r="B164" i="8"/>
  <c r="B136" i="8" s="1"/>
  <c r="B137" i="8" s="1"/>
  <c r="C175" i="9"/>
  <c r="C178" i="9" s="1"/>
  <c r="C148" i="9" s="1"/>
  <c r="C162" i="8"/>
  <c r="C159" i="8"/>
  <c r="C152" i="14"/>
  <c r="C155" i="14" s="1"/>
  <c r="C132" i="14" s="1"/>
  <c r="C133" i="14" s="1"/>
  <c r="C135" i="14" s="1"/>
  <c r="C111" i="14" s="1"/>
  <c r="B152" i="14"/>
  <c r="B155" i="14" s="1"/>
  <c r="B132" i="14" s="1"/>
  <c r="B133" i="14" s="1"/>
  <c r="B135" i="14" s="1"/>
  <c r="B111" i="14" s="1"/>
  <c r="B112" i="14" s="1"/>
  <c r="B114" i="14" s="1"/>
  <c r="Z9" i="12" s="1"/>
  <c r="B156" i="14"/>
  <c r="B221" i="1"/>
  <c r="B224" i="1" s="1"/>
  <c r="B191" i="1" s="1"/>
  <c r="D212" i="7"/>
  <c r="D189" i="8"/>
  <c r="D192" i="8" s="1"/>
  <c r="D221" i="1"/>
  <c r="D224" i="1" s="1"/>
  <c r="D191" i="1" s="1"/>
  <c r="C179" i="13"/>
  <c r="C182" i="13" s="1"/>
  <c r="C146" i="13" s="1"/>
  <c r="D201" i="9"/>
  <c r="C213" i="7"/>
  <c r="C245" i="7"/>
  <c r="C248" i="7" s="1"/>
  <c r="C211" i="7" s="1"/>
  <c r="B247" i="7"/>
  <c r="B249" i="7" s="1"/>
  <c r="B244" i="7"/>
  <c r="B285" i="6"/>
  <c r="B283" i="6"/>
  <c r="B286" i="6" s="1"/>
  <c r="B241" i="6" s="1"/>
  <c r="D256" i="1"/>
  <c r="D222" i="1" s="1"/>
  <c r="D223" i="1" s="1"/>
  <c r="D225" i="1" s="1"/>
  <c r="D193" i="1" s="1"/>
  <c r="D194" i="1" s="1"/>
  <c r="D196" i="1" s="1"/>
  <c r="C252" i="1"/>
  <c r="C255" i="1" s="1"/>
  <c r="C220" i="1" s="1"/>
  <c r="D283" i="6"/>
  <c r="D247" i="7"/>
  <c r="D249" i="7" s="1"/>
  <c r="B179" i="13"/>
  <c r="B182" i="13" s="1"/>
  <c r="B146" i="13" s="1"/>
  <c r="D284" i="6"/>
  <c r="C284" i="6"/>
  <c r="C324" i="6"/>
  <c r="C327" i="6" s="1"/>
  <c r="C282" i="6" s="1"/>
  <c r="C97" i="9" l="1"/>
  <c r="C99" i="9" s="1"/>
  <c r="C70" i="9" s="1"/>
  <c r="C71" i="9" s="1"/>
  <c r="C73" i="9" s="1"/>
  <c r="B139" i="8"/>
  <c r="B135" i="8"/>
  <c r="B138" i="8" s="1"/>
  <c r="D161" i="1"/>
  <c r="D162" i="1" s="1"/>
  <c r="C149" i="9"/>
  <c r="C152" i="9" s="1"/>
  <c r="Z6" i="12"/>
  <c r="B110" i="14"/>
  <c r="B113" i="14" s="1"/>
  <c r="C131" i="14"/>
  <c r="C134" i="14" s="1"/>
  <c r="C109" i="14" s="1"/>
  <c r="C110" i="14" s="1"/>
  <c r="C113" i="14" s="1"/>
  <c r="C112" i="14"/>
  <c r="C114" i="14" s="1"/>
  <c r="AA6" i="12"/>
  <c r="C164" i="8"/>
  <c r="C136" i="8" s="1"/>
  <c r="C137" i="8" s="1"/>
  <c r="D162" i="8"/>
  <c r="D159" i="8"/>
  <c r="D192" i="1"/>
  <c r="D195" i="1" s="1"/>
  <c r="D159" i="1" s="1"/>
  <c r="D160" i="1" s="1"/>
  <c r="D163" i="1" s="1"/>
  <c r="B192" i="1"/>
  <c r="B195" i="1" s="1"/>
  <c r="B159" i="1" s="1"/>
  <c r="B160" i="1" s="1"/>
  <c r="B163" i="1" s="1"/>
  <c r="C160" i="8"/>
  <c r="C163" i="8" s="1"/>
  <c r="C134" i="8" s="1"/>
  <c r="C147" i="13"/>
  <c r="C150" i="13" s="1"/>
  <c r="C128" i="13" s="1"/>
  <c r="B147" i="13"/>
  <c r="B150" i="13" s="1"/>
  <c r="B128" i="13" s="1"/>
  <c r="D215" i="7"/>
  <c r="D179" i="7"/>
  <c r="C214" i="7"/>
  <c r="C216" i="7" s="1"/>
  <c r="C181" i="7"/>
  <c r="C182" i="7" s="1"/>
  <c r="B242" i="6"/>
  <c r="B245" i="6" s="1"/>
  <c r="C212" i="7"/>
  <c r="C221" i="1"/>
  <c r="C224" i="1" s="1"/>
  <c r="C191" i="1" s="1"/>
  <c r="D202" i="9"/>
  <c r="D204" i="9" s="1"/>
  <c r="D213" i="7"/>
  <c r="D181" i="7" s="1"/>
  <c r="D182" i="7" s="1"/>
  <c r="D184" i="7" s="1"/>
  <c r="D152" i="7" s="1"/>
  <c r="B213" i="7"/>
  <c r="B245" i="7"/>
  <c r="B248" i="7" s="1"/>
  <c r="B211" i="7" s="1"/>
  <c r="C285" i="6"/>
  <c r="B287" i="6"/>
  <c r="C283" i="6"/>
  <c r="C286" i="6" s="1"/>
  <c r="C241" i="6" s="1"/>
  <c r="D285" i="6"/>
  <c r="C183" i="13"/>
  <c r="T9" i="12" l="1"/>
  <c r="C38" i="9"/>
  <c r="C39" i="9" s="1"/>
  <c r="C41" i="9" s="1"/>
  <c r="C5" i="9" s="1"/>
  <c r="C6" i="9" s="1"/>
  <c r="C9" i="9" s="1"/>
  <c r="C119" i="9"/>
  <c r="C120" i="9" s="1"/>
  <c r="C123" i="9" s="1"/>
  <c r="C94" i="9" s="1"/>
  <c r="C95" i="9" s="1"/>
  <c r="C98" i="9" s="1"/>
  <c r="C68" i="9" s="1"/>
  <c r="B109" i="8"/>
  <c r="B110" i="8" s="1"/>
  <c r="B112" i="8" s="1"/>
  <c r="B107" i="8"/>
  <c r="B122" i="1"/>
  <c r="B123" i="1" s="1"/>
  <c r="B126" i="1" s="1"/>
  <c r="B124" i="1"/>
  <c r="B125" i="1" s="1"/>
  <c r="B127" i="1" s="1"/>
  <c r="D122" i="1"/>
  <c r="D123" i="1" s="1"/>
  <c r="D126" i="1" s="1"/>
  <c r="D93" i="1" s="1"/>
  <c r="D124" i="1"/>
  <c r="D125" i="1" s="1"/>
  <c r="D127" i="1" s="1"/>
  <c r="C139" i="8"/>
  <c r="C109" i="8" s="1"/>
  <c r="D164" i="1"/>
  <c r="C135" i="8"/>
  <c r="C138" i="8" s="1"/>
  <c r="B129" i="13"/>
  <c r="B132" i="13" s="1"/>
  <c r="D160" i="8"/>
  <c r="D163" i="8" s="1"/>
  <c r="D134" i="8" s="1"/>
  <c r="D164" i="8"/>
  <c r="D136" i="8" s="1"/>
  <c r="C184" i="7"/>
  <c r="C152" i="7" s="1"/>
  <c r="C192" i="1"/>
  <c r="C195" i="1" s="1"/>
  <c r="C159" i="1" s="1"/>
  <c r="D180" i="7"/>
  <c r="D176" i="9"/>
  <c r="D177" i="9" s="1"/>
  <c r="D174" i="9"/>
  <c r="C129" i="13"/>
  <c r="C132" i="13" s="1"/>
  <c r="C215" i="7"/>
  <c r="C179" i="7"/>
  <c r="B214" i="7"/>
  <c r="B216" i="7" s="1"/>
  <c r="B181" i="7"/>
  <c r="B182" i="7" s="1"/>
  <c r="C148" i="13"/>
  <c r="C149" i="13" s="1"/>
  <c r="C151" i="13" s="1"/>
  <c r="C130" i="13" s="1"/>
  <c r="B212" i="7"/>
  <c r="C242" i="6"/>
  <c r="C245" i="6" s="1"/>
  <c r="D214" i="7"/>
  <c r="D216" i="7" s="1"/>
  <c r="B243" i="6"/>
  <c r="C287" i="6"/>
  <c r="C69" i="9" l="1"/>
  <c r="C72" i="9" s="1"/>
  <c r="C36" i="9" s="1"/>
  <c r="C37" i="9" s="1"/>
  <c r="C40" i="9" s="1"/>
  <c r="T4" i="12"/>
  <c r="T6" i="12" s="1"/>
  <c r="D94" i="1"/>
  <c r="D95" i="1"/>
  <c r="B93" i="1"/>
  <c r="B95" i="1"/>
  <c r="B96" i="1" s="1"/>
  <c r="B98" i="1" s="1"/>
  <c r="B68" i="1" s="1"/>
  <c r="C108" i="13"/>
  <c r="B111" i="13"/>
  <c r="B113" i="13" s="1"/>
  <c r="B89" i="13" s="1"/>
  <c r="B90" i="13" s="1"/>
  <c r="B92" i="13" s="1"/>
  <c r="B108" i="13"/>
  <c r="B109" i="13" s="1"/>
  <c r="B112" i="13" s="1"/>
  <c r="B87" i="13" s="1"/>
  <c r="B108" i="8"/>
  <c r="B111" i="8" s="1"/>
  <c r="C110" i="8"/>
  <c r="C112" i="8" s="1"/>
  <c r="C107" i="8"/>
  <c r="D135" i="8"/>
  <c r="D138" i="8" s="1"/>
  <c r="D137" i="8"/>
  <c r="D179" i="9"/>
  <c r="D150" i="9" s="1"/>
  <c r="D151" i="9" s="1"/>
  <c r="D153" i="9" s="1"/>
  <c r="D121" i="9" s="1"/>
  <c r="D122" i="9" s="1"/>
  <c r="D124" i="9" s="1"/>
  <c r="D96" i="9" s="1"/>
  <c r="D183" i="7"/>
  <c r="D150" i="7" s="1"/>
  <c r="D153" i="7"/>
  <c r="D155" i="7" s="1"/>
  <c r="D120" i="7" s="1"/>
  <c r="D121" i="7" s="1"/>
  <c r="D123" i="7" s="1"/>
  <c r="B184" i="7"/>
  <c r="B152" i="7" s="1"/>
  <c r="C180" i="7"/>
  <c r="D175" i="9"/>
  <c r="D178" i="9" s="1"/>
  <c r="D148" i="9" s="1"/>
  <c r="D149" i="9" s="1"/>
  <c r="D152" i="9" s="1"/>
  <c r="C131" i="13"/>
  <c r="B215" i="7"/>
  <c r="B179" i="7" s="1"/>
  <c r="B244" i="6"/>
  <c r="B209" i="6"/>
  <c r="C243" i="6"/>
  <c r="D286" i="6"/>
  <c r="D287" i="6"/>
  <c r="D243" i="6" s="1"/>
  <c r="D119" i="9" l="1"/>
  <c r="D120" i="9" s="1"/>
  <c r="D123" i="9" s="1"/>
  <c r="D94" i="9" s="1"/>
  <c r="D95" i="9" s="1"/>
  <c r="D98" i="9" s="1"/>
  <c r="D68" i="9" s="1"/>
  <c r="D96" i="1"/>
  <c r="D98" i="1" s="1"/>
  <c r="D68" i="1" s="1"/>
  <c r="D97" i="1"/>
  <c r="D66" i="1" s="1"/>
  <c r="D67" i="1" s="1"/>
  <c r="D70" i="1" s="1"/>
  <c r="D35" i="1" s="1"/>
  <c r="D4" i="12" s="1"/>
  <c r="D6" i="12" s="1"/>
  <c r="B94" i="1"/>
  <c r="D97" i="9"/>
  <c r="D99" i="9" s="1"/>
  <c r="D70" i="9" s="1"/>
  <c r="D98" i="7"/>
  <c r="D99" i="7" s="1"/>
  <c r="D101" i="7" s="1"/>
  <c r="D73" i="7" s="1"/>
  <c r="D74" i="7" s="1"/>
  <c r="C86" i="8"/>
  <c r="C87" i="8" s="1"/>
  <c r="C89" i="8" s="1"/>
  <c r="C63" i="8" s="1"/>
  <c r="B84" i="8"/>
  <c r="B86" i="8"/>
  <c r="B87" i="8" s="1"/>
  <c r="B89" i="8" s="1"/>
  <c r="B88" i="13"/>
  <c r="B91" i="13" s="1"/>
  <c r="D107" i="8"/>
  <c r="C108" i="8"/>
  <c r="C111" i="8" s="1"/>
  <c r="C84" i="8" s="1"/>
  <c r="D139" i="8"/>
  <c r="D109" i="8" s="1"/>
  <c r="D110" i="8" s="1"/>
  <c r="D112" i="8" s="1"/>
  <c r="D151" i="7"/>
  <c r="D154" i="7" s="1"/>
  <c r="D118" i="7" s="1"/>
  <c r="C133" i="13"/>
  <c r="C110" i="13" s="1"/>
  <c r="C111" i="13" s="1"/>
  <c r="C113" i="13" s="1"/>
  <c r="C89" i="13" s="1"/>
  <c r="C90" i="13" s="1"/>
  <c r="C92" i="13" s="1"/>
  <c r="C109" i="13"/>
  <c r="C112" i="13" s="1"/>
  <c r="C183" i="7"/>
  <c r="C150" i="7" s="1"/>
  <c r="C153" i="7"/>
  <c r="C155" i="7" s="1"/>
  <c r="C120" i="7" s="1"/>
  <c r="C121" i="7" s="1"/>
  <c r="B180" i="7"/>
  <c r="B210" i="6"/>
  <c r="B213" i="6" s="1"/>
  <c r="D241" i="6"/>
  <c r="D242" i="6" s="1"/>
  <c r="D245" i="6" s="1"/>
  <c r="D209" i="6" s="1"/>
  <c r="C244" i="6"/>
  <c r="C211" i="6" s="1"/>
  <c r="C209" i="6"/>
  <c r="D244" i="6"/>
  <c r="D246" i="6" s="1"/>
  <c r="D211" i="6" s="1"/>
  <c r="B246" i="6"/>
  <c r="B211" i="6" s="1"/>
  <c r="B212" i="6" s="1"/>
  <c r="C64" i="8" l="1"/>
  <c r="D69" i="1"/>
  <c r="D36" i="1"/>
  <c r="D39" i="1" s="1"/>
  <c r="D5" i="1" s="1"/>
  <c r="D6" i="1" s="1"/>
  <c r="D9" i="1" s="1"/>
  <c r="U4" i="12"/>
  <c r="U6" i="12" s="1"/>
  <c r="D69" i="9"/>
  <c r="D72" i="9" s="1"/>
  <c r="D36" i="9" s="1"/>
  <c r="D37" i="9" s="1"/>
  <c r="D40" i="9" s="1"/>
  <c r="D5" i="9" s="1"/>
  <c r="D6" i="9" s="1"/>
  <c r="D9" i="9" s="1"/>
  <c r="D71" i="9"/>
  <c r="D73" i="9" s="1"/>
  <c r="U8" i="12"/>
  <c r="D76" i="7"/>
  <c r="B97" i="1"/>
  <c r="B66" i="1" s="1"/>
  <c r="B69" i="1"/>
  <c r="B85" i="8"/>
  <c r="B88" i="8" s="1"/>
  <c r="C85" i="8"/>
  <c r="C88" i="8" s="1"/>
  <c r="C61" i="8" s="1"/>
  <c r="C123" i="7"/>
  <c r="C98" i="7" s="1"/>
  <c r="C99" i="7" s="1"/>
  <c r="C101" i="7" s="1"/>
  <c r="C73" i="7" s="1"/>
  <c r="C74" i="7" s="1"/>
  <c r="C76" i="7" s="1"/>
  <c r="D86" i="8"/>
  <c r="D87" i="8" s="1"/>
  <c r="D89" i="8" s="1"/>
  <c r="D63" i="8" s="1"/>
  <c r="C68" i="13"/>
  <c r="C69" i="13" s="1"/>
  <c r="C71" i="13" s="1"/>
  <c r="B68" i="13"/>
  <c r="B69" i="13" s="1"/>
  <c r="B71" i="13" s="1"/>
  <c r="W9" i="12" s="1"/>
  <c r="B66" i="13"/>
  <c r="D108" i="8"/>
  <c r="D111" i="8" s="1"/>
  <c r="D84" i="8" s="1"/>
  <c r="D119" i="7"/>
  <c r="D122" i="7" s="1"/>
  <c r="D96" i="7" s="1"/>
  <c r="C87" i="13"/>
  <c r="B174" i="6"/>
  <c r="B176" i="6"/>
  <c r="B177" i="6" s="1"/>
  <c r="C151" i="7"/>
  <c r="C154" i="7" s="1"/>
  <c r="C118" i="7" s="1"/>
  <c r="B183" i="7"/>
  <c r="B150" i="7" s="1"/>
  <c r="B151" i="7" s="1"/>
  <c r="B154" i="7" s="1"/>
  <c r="B118" i="7" s="1"/>
  <c r="B153" i="7"/>
  <c r="B155" i="7" s="1"/>
  <c r="B120" i="7" s="1"/>
  <c r="B121" i="7" s="1"/>
  <c r="B123" i="7" s="1"/>
  <c r="B214" i="6"/>
  <c r="C210" i="6"/>
  <c r="C213" i="6" s="1"/>
  <c r="D210" i="6"/>
  <c r="D213" i="6" s="1"/>
  <c r="D174" i="6" s="1"/>
  <c r="D212" i="6"/>
  <c r="C246" i="6"/>
  <c r="C212" i="6"/>
  <c r="U9" i="12" l="1"/>
  <c r="D38" i="9"/>
  <c r="D39" i="9" s="1"/>
  <c r="D41" i="9" s="1"/>
  <c r="D7" i="9" s="1"/>
  <c r="D8" i="9" s="1"/>
  <c r="D10" i="9" s="1"/>
  <c r="X9" i="12"/>
  <c r="C47" i="13"/>
  <c r="C66" i="8"/>
  <c r="C62" i="8"/>
  <c r="C65" i="8" s="1"/>
  <c r="C33" i="8" s="1"/>
  <c r="C34" i="8" s="1"/>
  <c r="C37" i="8" s="1"/>
  <c r="C5" i="8" s="1"/>
  <c r="C6" i="8" s="1"/>
  <c r="C9" i="8" s="1"/>
  <c r="P4" i="12"/>
  <c r="P6" i="12" s="1"/>
  <c r="B63" i="8"/>
  <c r="B61" i="8"/>
  <c r="L9" i="12"/>
  <c r="D40" i="7"/>
  <c r="D41" i="7" s="1"/>
  <c r="D43" i="7" s="1"/>
  <c r="D7" i="7" s="1"/>
  <c r="D8" i="7" s="1"/>
  <c r="D10" i="7" s="1"/>
  <c r="K9" i="12"/>
  <c r="C40" i="7"/>
  <c r="C41" i="7" s="1"/>
  <c r="C43" i="7" s="1"/>
  <c r="C7" i="7" s="1"/>
  <c r="C8" i="7" s="1"/>
  <c r="C10" i="7" s="1"/>
  <c r="D71" i="1"/>
  <c r="D37" i="1" s="1"/>
  <c r="B71" i="1"/>
  <c r="B37" i="1" s="1"/>
  <c r="B38" i="1" s="1"/>
  <c r="B40" i="1" s="1"/>
  <c r="D64" i="8"/>
  <c r="B67" i="1"/>
  <c r="B70" i="1" s="1"/>
  <c r="B35" i="1" s="1"/>
  <c r="D97" i="7"/>
  <c r="D100" i="7" s="1"/>
  <c r="D71" i="7" s="1"/>
  <c r="B67" i="13"/>
  <c r="B70" i="13" s="1"/>
  <c r="W4" i="12"/>
  <c r="W6" i="12" s="1"/>
  <c r="D85" i="8"/>
  <c r="D88" i="8" s="1"/>
  <c r="D61" i="8" s="1"/>
  <c r="B119" i="7"/>
  <c r="B122" i="7" s="1"/>
  <c r="C119" i="7"/>
  <c r="C122" i="7" s="1"/>
  <c r="C96" i="7" s="1"/>
  <c r="C88" i="13"/>
  <c r="C91" i="13" s="1"/>
  <c r="C66" i="13" s="1"/>
  <c r="B179" i="6"/>
  <c r="C174" i="6"/>
  <c r="C175" i="6" s="1"/>
  <c r="C178" i="6" s="1"/>
  <c r="C137" i="6" s="1"/>
  <c r="C138" i="6" s="1"/>
  <c r="C141" i="6" s="1"/>
  <c r="B175" i="6"/>
  <c r="B178" i="6" s="1"/>
  <c r="D175" i="6"/>
  <c r="D178" i="6" s="1"/>
  <c r="D137" i="6" s="1"/>
  <c r="D138" i="6" s="1"/>
  <c r="D141" i="6" s="1"/>
  <c r="D103" i="6" s="1"/>
  <c r="C214" i="6"/>
  <c r="C176" i="6" s="1"/>
  <c r="C177" i="6" s="1"/>
  <c r="D214" i="6"/>
  <c r="D176" i="6" s="1"/>
  <c r="D177" i="6" s="1"/>
  <c r="B9" i="12" l="1"/>
  <c r="B7" i="1"/>
  <c r="B8" i="1" s="1"/>
  <c r="B10" i="1" s="1"/>
  <c r="P9" i="12"/>
  <c r="C35" i="8"/>
  <c r="C36" i="8" s="1"/>
  <c r="C38" i="8" s="1"/>
  <c r="C7" i="8" s="1"/>
  <c r="C8" i="8" s="1"/>
  <c r="C10" i="8" s="1"/>
  <c r="B4" i="12"/>
  <c r="B6" i="12" s="1"/>
  <c r="B36" i="1"/>
  <c r="B39" i="1" s="1"/>
  <c r="B5" i="1" s="1"/>
  <c r="B6" i="1" s="1"/>
  <c r="B9" i="1" s="1"/>
  <c r="D38" i="1"/>
  <c r="D40" i="1" s="1"/>
  <c r="C48" i="13"/>
  <c r="B47" i="13"/>
  <c r="B45" i="13"/>
  <c r="B46" i="13" s="1"/>
  <c r="B49" i="13" s="1"/>
  <c r="B25" i="13" s="1"/>
  <c r="B64" i="8"/>
  <c r="B66" i="8" s="1"/>
  <c r="D66" i="8"/>
  <c r="D35" i="8" s="1"/>
  <c r="B62" i="8"/>
  <c r="B65" i="8" s="1"/>
  <c r="O4" i="12"/>
  <c r="O6" i="12" s="1"/>
  <c r="D62" i="8"/>
  <c r="D65" i="8" s="1"/>
  <c r="Q4" i="12"/>
  <c r="Q6" i="12" s="1"/>
  <c r="Q8" i="12"/>
  <c r="D72" i="7"/>
  <c r="D75" i="7" s="1"/>
  <c r="D38" i="7" s="1"/>
  <c r="D39" i="7" s="1"/>
  <c r="D42" i="7" s="1"/>
  <c r="D5" i="7" s="1"/>
  <c r="D6" i="7" s="1"/>
  <c r="D9" i="7" s="1"/>
  <c r="L4" i="12"/>
  <c r="L6" i="12" s="1"/>
  <c r="L8" i="12"/>
  <c r="C97" i="7"/>
  <c r="C100" i="7" s="1"/>
  <c r="C71" i="7" s="1"/>
  <c r="C67" i="13"/>
  <c r="C70" i="13" s="1"/>
  <c r="C45" i="13" s="1"/>
  <c r="C46" i="13" s="1"/>
  <c r="C49" i="13" s="1"/>
  <c r="C25" i="13" s="1"/>
  <c r="C26" i="13" s="1"/>
  <c r="X4" i="12"/>
  <c r="X6" i="12" s="1"/>
  <c r="X8" i="12"/>
  <c r="D104" i="6"/>
  <c r="D107" i="6" s="1"/>
  <c r="C105" i="6"/>
  <c r="C106" i="6" s="1"/>
  <c r="C108" i="6" s="1"/>
  <c r="C103" i="6"/>
  <c r="B96" i="7"/>
  <c r="B98" i="7"/>
  <c r="B137" i="6"/>
  <c r="B138" i="6" s="1"/>
  <c r="B141" i="6" s="1"/>
  <c r="B139" i="6"/>
  <c r="B140" i="6" s="1"/>
  <c r="B142" i="6" s="1"/>
  <c r="C179" i="6"/>
  <c r="D179" i="6"/>
  <c r="C160" i="1"/>
  <c r="C163" i="1" s="1"/>
  <c r="C122" i="1" s="1"/>
  <c r="C123" i="1" s="1"/>
  <c r="C126" i="1" s="1"/>
  <c r="C93" i="1" s="1"/>
  <c r="C162" i="1"/>
  <c r="C29" i="13" l="1"/>
  <c r="C5" i="13"/>
  <c r="C6" i="13" s="1"/>
  <c r="C9" i="13" s="1"/>
  <c r="D33" i="8"/>
  <c r="D34" i="8" s="1"/>
  <c r="D9" i="12"/>
  <c r="D7" i="1"/>
  <c r="D8" i="1" s="1"/>
  <c r="D10" i="1" s="1"/>
  <c r="Q9" i="12"/>
  <c r="D36" i="8"/>
  <c r="D38" i="8" s="1"/>
  <c r="D7" i="8" s="1"/>
  <c r="D8" i="8" s="1"/>
  <c r="D10" i="8" s="1"/>
  <c r="O9" i="12"/>
  <c r="B35" i="8"/>
  <c r="B36" i="8" s="1"/>
  <c r="B38" i="8" s="1"/>
  <c r="B33" i="8"/>
  <c r="B34" i="8" s="1"/>
  <c r="B37" i="8" s="1"/>
  <c r="B48" i="13"/>
  <c r="B50" i="13" s="1"/>
  <c r="B27" i="13" s="1"/>
  <c r="B26" i="13"/>
  <c r="C50" i="13"/>
  <c r="C27" i="13" s="1"/>
  <c r="C73" i="6"/>
  <c r="C74" i="6" s="1"/>
  <c r="C76" i="6" s="1"/>
  <c r="C72" i="7"/>
  <c r="C75" i="7" s="1"/>
  <c r="K5" i="12"/>
  <c r="K4" i="12"/>
  <c r="B97" i="7"/>
  <c r="B100" i="7" s="1"/>
  <c r="C94" i="1"/>
  <c r="C104" i="6"/>
  <c r="C107" i="6" s="1"/>
  <c r="C71" i="6" s="1"/>
  <c r="B103" i="6"/>
  <c r="B105" i="6"/>
  <c r="B106" i="6" s="1"/>
  <c r="B108" i="6" s="1"/>
  <c r="D139" i="6"/>
  <c r="D140" i="6" s="1"/>
  <c r="D142" i="6" s="1"/>
  <c r="D105" i="6" s="1"/>
  <c r="C139" i="6"/>
  <c r="C140" i="6" s="1"/>
  <c r="C142" i="6" s="1"/>
  <c r="C164" i="1"/>
  <c r="C28" i="13" l="1"/>
  <c r="C30" i="13" s="1"/>
  <c r="C7" i="13"/>
  <c r="C8" i="13" s="1"/>
  <c r="C10" i="13" s="1"/>
  <c r="B29" i="13"/>
  <c r="B5" i="13" s="1"/>
  <c r="B6" i="13" s="1"/>
  <c r="B9" i="13" s="1"/>
  <c r="B28" i="13"/>
  <c r="B30" i="13" s="1"/>
  <c r="B7" i="13"/>
  <c r="B8" i="13" s="1"/>
  <c r="B10" i="13" s="1"/>
  <c r="D37" i="8"/>
  <c r="D5" i="8" s="1"/>
  <c r="D6" i="8" s="1"/>
  <c r="D9" i="8" s="1"/>
  <c r="B7" i="8"/>
  <c r="B8" i="8" s="1"/>
  <c r="B10" i="8" s="1"/>
  <c r="B5" i="8"/>
  <c r="B6" i="8" s="1"/>
  <c r="B9" i="8" s="1"/>
  <c r="C38" i="7"/>
  <c r="C39" i="7" s="1"/>
  <c r="C42" i="7" s="1"/>
  <c r="C5" i="7" s="1"/>
  <c r="C6" i="7" s="1"/>
  <c r="C9" i="7" s="1"/>
  <c r="H9" i="12"/>
  <c r="H8" i="12"/>
  <c r="H4" i="12"/>
  <c r="H6" i="12" s="1"/>
  <c r="G9" i="12"/>
  <c r="K6" i="12"/>
  <c r="B99" i="7"/>
  <c r="B101" i="7" s="1"/>
  <c r="B73" i="7"/>
  <c r="B71" i="7"/>
  <c r="B73" i="6"/>
  <c r="B74" i="6" s="1"/>
  <c r="B76" i="6" s="1"/>
  <c r="B71" i="6"/>
  <c r="G4" i="12"/>
  <c r="G6" i="12" s="1"/>
  <c r="C72" i="6"/>
  <c r="C75" i="6" s="1"/>
  <c r="C38" i="6" s="1"/>
  <c r="C39" i="6" s="1"/>
  <c r="C42" i="6" s="1"/>
  <c r="C97" i="1"/>
  <c r="C66" i="1" s="1"/>
  <c r="D106" i="6"/>
  <c r="D108" i="6" s="1"/>
  <c r="B104" i="6"/>
  <c r="B107" i="6" s="1"/>
  <c r="C124" i="1"/>
  <c r="C125" i="1" s="1"/>
  <c r="C127" i="1" s="1"/>
  <c r="C5" i="6" l="1"/>
  <c r="C40" i="6"/>
  <c r="C41" i="6" s="1"/>
  <c r="C43" i="6" s="1"/>
  <c r="F9" i="12"/>
  <c r="B40" i="6"/>
  <c r="B41" i="6" s="1"/>
  <c r="B43" i="6" s="1"/>
  <c r="B72" i="7"/>
  <c r="J4" i="12"/>
  <c r="J6" i="12" s="1"/>
  <c r="C67" i="1"/>
  <c r="C70" i="1" s="1"/>
  <c r="C35" i="1" s="1"/>
  <c r="C4" i="12" s="1"/>
  <c r="C6" i="12" s="1"/>
  <c r="D71" i="6"/>
  <c r="D73" i="6"/>
  <c r="D74" i="6" s="1"/>
  <c r="D76" i="6" s="1"/>
  <c r="B72" i="6"/>
  <c r="B75" i="6" s="1"/>
  <c r="B38" i="6" s="1"/>
  <c r="B39" i="6" s="1"/>
  <c r="B42" i="6" s="1"/>
  <c r="F4" i="12"/>
  <c r="F6" i="12" s="1"/>
  <c r="C95" i="1"/>
  <c r="B5" i="6" l="1"/>
  <c r="B6" i="6" s="1"/>
  <c r="B9" i="6" s="1"/>
  <c r="B7" i="6"/>
  <c r="B8" i="6" s="1"/>
  <c r="B10" i="6" s="1"/>
  <c r="C6" i="6"/>
  <c r="C9" i="6" s="1"/>
  <c r="C7" i="6"/>
  <c r="C8" i="6" s="1"/>
  <c r="C10" i="6" s="1"/>
  <c r="D40" i="6"/>
  <c r="D41" i="6" s="1"/>
  <c r="D43" i="6" s="1"/>
  <c r="D38" i="6"/>
  <c r="D39" i="6" s="1"/>
  <c r="D42" i="6" s="1"/>
  <c r="I9" i="12"/>
  <c r="B75" i="7"/>
  <c r="B38" i="7" s="1"/>
  <c r="B74" i="7"/>
  <c r="B76" i="7" s="1"/>
  <c r="J9" i="12" s="1"/>
  <c r="D72" i="6"/>
  <c r="D75" i="6" s="1"/>
  <c r="I6" i="12"/>
  <c r="I8" i="12"/>
  <c r="C96" i="1"/>
  <c r="C98" i="1" s="1"/>
  <c r="C68" i="1" s="1"/>
  <c r="D5" i="6" l="1"/>
  <c r="D6" i="6" s="1"/>
  <c r="D9" i="6" s="1"/>
  <c r="D7" i="6"/>
  <c r="D8" i="6" s="1"/>
  <c r="D10" i="6" s="1"/>
  <c r="B40" i="7"/>
  <c r="B39" i="7"/>
  <c r="C69" i="1"/>
  <c r="C36" i="1"/>
  <c r="C39" i="1" s="1"/>
  <c r="C5" i="1" s="1"/>
  <c r="C6" i="1" s="1"/>
  <c r="C9" i="1" s="1"/>
  <c r="B42" i="7" l="1"/>
  <c r="B5" i="7" s="1"/>
  <c r="B6" i="7" s="1"/>
  <c r="B41" i="7"/>
  <c r="B43" i="7" s="1"/>
  <c r="B7" i="7" s="1"/>
  <c r="C71" i="1"/>
  <c r="B8" i="7" l="1"/>
  <c r="B10" i="7" s="1"/>
  <c r="B9" i="7"/>
  <c r="C37" i="1"/>
  <c r="C38" i="1" s="1"/>
  <c r="C40" i="1" s="1"/>
  <c r="C7" i="1" l="1"/>
  <c r="C8" i="1" s="1"/>
  <c r="C10" i="1" s="1"/>
  <c r="C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5" authorId="0" shapeId="0" xr:uid="{A77FBB96-AF77-4483-B43F-83FAACBD689E}">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C40E670D-9C60-4B70-9D1C-B4434BDE6C37}">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6238D2D5-68A4-45F5-9F30-93137CE64317}">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89D3584B-7D8C-4A79-99E3-96DF8484317F}">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667FCAAC-07C6-4DD0-A706-6E63F10F38DF}">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3C1C3DDB-BB07-4478-B866-96E6EADD5631}">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5" authorId="0" shapeId="0" xr:uid="{56091956-A340-45D0-80A6-D58F9CE5EC9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6" authorId="0" shapeId="0" xr:uid="{8FB2C636-EDF9-4EB7-A069-456D04D9425B}">
      <text>
        <r>
          <rPr>
            <b/>
            <sz val="8"/>
            <color indexed="81"/>
            <rFont val="Tahoma"/>
            <family val="2"/>
          </rPr>
          <t>Mary Wiencke:</t>
        </r>
        <r>
          <rPr>
            <sz val="8"/>
            <color indexed="81"/>
            <rFont val="Tahoma"/>
            <family val="2"/>
          </rPr>
          <t xml:space="preserve">
Initial allocation plus unpaid rolled from previous year.
</t>
        </r>
      </text>
    </comment>
    <comment ref="A37" authorId="0" shapeId="0" xr:uid="{FFA854B3-E68B-4657-9799-3D47FE0330C1}">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38" authorId="0" shapeId="0" xr:uid="{9785A39C-3BDC-44E2-A58B-C168591F7F54}">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39" authorId="0" shapeId="0" xr:uid="{4C98A8B6-1AAD-4081-BF33-EBB20478B23D}">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40" authorId="0" shapeId="0" xr:uid="{2AB694AE-1B52-435C-9386-BD6537226B62}">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6" authorId="0" shapeId="0" xr:uid="{F718F7D8-BB26-407B-B9DF-B4E950B5E271}">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7" authorId="0" shapeId="0" xr:uid="{8631C2FF-79CC-4465-9276-1BCA320E6BE8}">
      <text>
        <r>
          <rPr>
            <b/>
            <sz val="8"/>
            <color indexed="81"/>
            <rFont val="Tahoma"/>
            <family val="2"/>
          </rPr>
          <t>Mary Wiencke:</t>
        </r>
        <r>
          <rPr>
            <sz val="8"/>
            <color indexed="81"/>
            <rFont val="Tahoma"/>
            <family val="2"/>
          </rPr>
          <t xml:space="preserve">
Initial allocation plus unpaid rolled from previous year.
</t>
        </r>
      </text>
    </comment>
    <comment ref="A68" authorId="0" shapeId="0" xr:uid="{E81CD188-D76B-4FA1-9B5F-4977FD389038}">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69" authorId="0" shapeId="0" xr:uid="{CC5CDB26-E134-4E29-8E71-0C29A1D38F77}">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0" authorId="0" shapeId="0" xr:uid="{EFE4602D-B921-4B76-B4BE-B063DF79CA47}">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1" authorId="0" shapeId="0" xr:uid="{CB50BCCD-CC6C-4E83-8BFA-E727F72D534E}">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93" authorId="0" shapeId="0" xr:uid="{00000000-0006-0000-0200-000001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94" authorId="0" shapeId="0" xr:uid="{00000000-0006-0000-0200-000002000000}">
      <text>
        <r>
          <rPr>
            <b/>
            <sz val="8"/>
            <color indexed="81"/>
            <rFont val="Tahoma"/>
            <family val="2"/>
          </rPr>
          <t>Mary Wiencke:</t>
        </r>
        <r>
          <rPr>
            <sz val="8"/>
            <color indexed="81"/>
            <rFont val="Tahoma"/>
            <family val="2"/>
          </rPr>
          <t xml:space="preserve">
Initial allocation plus unpaid rolled from previous year.
</t>
        </r>
      </text>
    </comment>
    <comment ref="A95" authorId="0" shapeId="0" xr:uid="{00000000-0006-0000-0200-000003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96" authorId="0" shapeId="0" xr:uid="{00000000-0006-0000-0200-000004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7" authorId="0" shapeId="0" xr:uid="{00000000-0006-0000-0200-000005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98" authorId="0" shapeId="0" xr:uid="{00000000-0006-0000-0200-000006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22" authorId="0" shapeId="0" xr:uid="{00000000-0006-0000-0200-00000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23" authorId="0" shapeId="0" xr:uid="{00000000-0006-0000-0200-000008000000}">
      <text>
        <r>
          <rPr>
            <b/>
            <sz val="8"/>
            <color indexed="81"/>
            <rFont val="Tahoma"/>
            <family val="2"/>
          </rPr>
          <t>Mary Wiencke:</t>
        </r>
        <r>
          <rPr>
            <sz val="8"/>
            <color indexed="81"/>
            <rFont val="Tahoma"/>
            <family val="2"/>
          </rPr>
          <t xml:space="preserve">
Initial allocation plus unpaid rolled from previous year.
</t>
        </r>
      </text>
    </comment>
    <comment ref="A124" authorId="0" shapeId="0" xr:uid="{00000000-0006-0000-0200-00000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25" authorId="0" shapeId="0" xr:uid="{00000000-0006-0000-0200-00000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26" authorId="0" shapeId="0" xr:uid="{00000000-0006-0000-0200-00000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27" authorId="0" shapeId="0" xr:uid="{00000000-0006-0000-0200-00000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59" authorId="0" shapeId="0" xr:uid="{00000000-0006-0000-0200-00000D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60" authorId="0" shapeId="0" xr:uid="{00000000-0006-0000-0200-00000E000000}">
      <text>
        <r>
          <rPr>
            <b/>
            <sz val="8"/>
            <color indexed="81"/>
            <rFont val="Tahoma"/>
            <family val="2"/>
          </rPr>
          <t>Mary Wiencke:</t>
        </r>
        <r>
          <rPr>
            <sz val="8"/>
            <color indexed="81"/>
            <rFont val="Tahoma"/>
            <family val="2"/>
          </rPr>
          <t xml:space="preserve">
Initial allocation plus unpaid rolled from previous year.
</t>
        </r>
      </text>
    </comment>
    <comment ref="A161" authorId="0" shapeId="0" xr:uid="{00000000-0006-0000-0200-00000F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62" authorId="0" shapeId="0" xr:uid="{00000000-0006-0000-0200-000010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63" authorId="0" shapeId="0" xr:uid="{00000000-0006-0000-0200-000011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64" authorId="0" shapeId="0" xr:uid="{00000000-0006-0000-0200-000012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91" authorId="0" shapeId="0" xr:uid="{00000000-0006-0000-0200-000013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92" authorId="0" shapeId="0" xr:uid="{00000000-0006-0000-0200-000014000000}">
      <text>
        <r>
          <rPr>
            <b/>
            <sz val="8"/>
            <color indexed="81"/>
            <rFont val="Tahoma"/>
            <family val="2"/>
          </rPr>
          <t>Mary Wiencke:</t>
        </r>
        <r>
          <rPr>
            <sz val="8"/>
            <color indexed="81"/>
            <rFont val="Tahoma"/>
            <family val="2"/>
          </rPr>
          <t xml:space="preserve">
Initial allocation plus unpaid rolled from previous year.
</t>
        </r>
      </text>
    </comment>
    <comment ref="A193" authorId="0" shapeId="0" xr:uid="{00000000-0006-0000-0200-000015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94" authorId="0" shapeId="0" xr:uid="{00000000-0006-0000-0200-000016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95" authorId="0" shapeId="0" xr:uid="{00000000-0006-0000-0200-000017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96" authorId="0" shapeId="0" xr:uid="{00000000-0006-0000-0200-000018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20" authorId="0" shapeId="0" xr:uid="{00000000-0006-0000-0200-00001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21" authorId="0" shapeId="0" xr:uid="{00000000-0006-0000-0200-00001A000000}">
      <text>
        <r>
          <rPr>
            <b/>
            <sz val="8"/>
            <color indexed="81"/>
            <rFont val="Tahoma"/>
            <family val="2"/>
          </rPr>
          <t>Mary Wiencke:</t>
        </r>
        <r>
          <rPr>
            <sz val="8"/>
            <color indexed="81"/>
            <rFont val="Tahoma"/>
            <family val="2"/>
          </rPr>
          <t xml:space="preserve">
Initial allocation plus unpaid rolled from previous year.
</t>
        </r>
      </text>
    </comment>
    <comment ref="A222" authorId="0" shapeId="0" xr:uid="{00000000-0006-0000-0200-00001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23" authorId="0" shapeId="0" xr:uid="{00000000-0006-0000-0200-00001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24" authorId="0" shapeId="0" xr:uid="{00000000-0006-0000-0200-00001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25" authorId="0" shapeId="0" xr:uid="{00000000-0006-0000-0200-00001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51" authorId="0" shapeId="0" xr:uid="{00000000-0006-0000-0200-00001F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52" authorId="0" shapeId="0" xr:uid="{00000000-0006-0000-0200-000020000000}">
      <text>
        <r>
          <rPr>
            <b/>
            <sz val="8"/>
            <color indexed="81"/>
            <rFont val="Tahoma"/>
            <family val="2"/>
          </rPr>
          <t>Mary Wiencke:</t>
        </r>
        <r>
          <rPr>
            <sz val="8"/>
            <color indexed="81"/>
            <rFont val="Tahoma"/>
            <family val="2"/>
          </rPr>
          <t xml:space="preserve">
Initial allocation plus unpaid rolled from previous year.
</t>
        </r>
      </text>
    </comment>
    <comment ref="A253" authorId="0" shapeId="0" xr:uid="{00000000-0006-0000-0200-000021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54" authorId="0" shapeId="0" xr:uid="{00000000-0006-0000-0200-000022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55" authorId="0" shapeId="0" xr:uid="{00000000-0006-0000-0200-000023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56" authorId="0" shapeId="0" xr:uid="{00000000-0006-0000-0200-000024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91" authorId="0" shapeId="0" xr:uid="{00000000-0006-0000-02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92" authorId="0" shapeId="0" xr:uid="{00000000-0006-0000-0200-000026000000}">
      <text>
        <r>
          <rPr>
            <b/>
            <sz val="8"/>
            <color indexed="81"/>
            <rFont val="Tahoma"/>
            <family val="2"/>
          </rPr>
          <t>Mary Wiencke:</t>
        </r>
        <r>
          <rPr>
            <sz val="8"/>
            <color indexed="81"/>
            <rFont val="Tahoma"/>
            <family val="2"/>
          </rPr>
          <t xml:space="preserve">
Initial allocation plus unpaid rolled from previous year.
</t>
        </r>
      </text>
    </comment>
    <comment ref="A293" authorId="0" shapeId="0" xr:uid="{00000000-0006-0000-02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94" authorId="0" shapeId="0" xr:uid="{00000000-0006-0000-02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95" authorId="0" shapeId="0" xr:uid="{00000000-0006-0000-02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96" authorId="0" shapeId="0" xr:uid="{00000000-0006-0000-02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00000000-0006-0000-0B00-000001000000}">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00000000-0006-0000-0B00-000002000000}">
      <text>
        <r>
          <rPr>
            <b/>
            <sz val="8"/>
            <color indexed="81"/>
            <rFont val="Tahoma"/>
            <family val="2"/>
          </rPr>
          <t>Mary Wiencke:</t>
        </r>
        <r>
          <rPr>
            <sz val="8"/>
            <color indexed="81"/>
            <rFont val="Tahoma"/>
            <family val="2"/>
          </rPr>
          <t xml:space="preserve">
Initial allocation plus unpaid rolled from previous year.
</t>
        </r>
      </text>
    </comment>
    <comment ref="A6" authorId="0" shapeId="0" xr:uid="{00000000-0006-0000-0B00-00000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 authorId="0" shapeId="0" xr:uid="{00000000-0006-0000-0B00-000004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5687F160-50BB-4059-9A99-E98622E7C99F}">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CCEF3ACC-943A-49B6-996B-C488B8DB4C75}">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16EEF293-CD18-4564-A063-C7CC3C0FAE2C}">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F393855C-D4FA-491D-B8D1-9FDF4766C018}">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E6FD6834-A077-4E76-B142-6568158F2112}">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C2CE9A6C-0C5B-4017-88EA-EEEA578BB2FC}">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BF598922-E121-4B14-971F-7E84D893F50A}">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7" authorId="0" shapeId="0" xr:uid="{39E44439-57B7-4765-A947-10F8F7AC2EA7}">
      <text>
        <r>
          <rPr>
            <b/>
            <sz val="8"/>
            <color indexed="81"/>
            <rFont val="Tahoma"/>
            <family val="2"/>
          </rPr>
          <t xml:space="preserve">Mary Wiencke:  Amount initially allocated to each fund each year.
</t>
        </r>
        <r>
          <rPr>
            <sz val="8"/>
            <color indexed="81"/>
            <rFont val="Tahoma"/>
            <family val="2"/>
          </rPr>
          <t xml:space="preserve">
</t>
        </r>
      </text>
    </comment>
    <comment ref="A38" authorId="0" shapeId="0" xr:uid="{0DD36B5F-1948-4163-901D-DDFD3C17C34C}">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9" authorId="0" shapeId="0" xr:uid="{A2D19005-C179-481A-A399-C50B07BA7363}">
      <text>
        <r>
          <rPr>
            <b/>
            <sz val="8"/>
            <color indexed="81"/>
            <rFont val="Tahoma"/>
            <family val="2"/>
          </rPr>
          <t>Mary Wiencke:</t>
        </r>
        <r>
          <rPr>
            <sz val="8"/>
            <color indexed="81"/>
            <rFont val="Tahoma"/>
            <family val="2"/>
          </rPr>
          <t xml:space="preserve">
Initial allocation plus unpaid rolled from previous year.
</t>
        </r>
      </text>
    </comment>
    <comment ref="A40" authorId="0" shapeId="0" xr:uid="{62164806-72BA-45BA-9F16-1A34045B364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41" authorId="0" shapeId="0" xr:uid="{216A730C-2755-439D-8502-A5E16A4D251E}">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42" authorId="0" shapeId="0" xr:uid="{E9D9E182-9BA3-47FC-BA9E-1D42BB5DC14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43" authorId="0" shapeId="0" xr:uid="{268E6D83-2B50-48D1-A6FE-9D64FB1B00B4}">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70" authorId="0" shapeId="0" xr:uid="{D224CDC8-5197-4271-BAE9-4479DBDA35B6}">
      <text>
        <r>
          <rPr>
            <b/>
            <sz val="8"/>
            <color indexed="81"/>
            <rFont val="Tahoma"/>
            <family val="2"/>
          </rPr>
          <t xml:space="preserve">Mary Wiencke:  Amount initially allocated to each fund each year.
</t>
        </r>
        <r>
          <rPr>
            <sz val="8"/>
            <color indexed="81"/>
            <rFont val="Tahoma"/>
            <family val="2"/>
          </rPr>
          <t xml:space="preserve">
</t>
        </r>
      </text>
    </comment>
    <comment ref="A71" authorId="0" shapeId="0" xr:uid="{4B2E67E9-B251-4D30-97FE-7EEB80BF79E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72" authorId="0" shapeId="0" xr:uid="{1EEA10D0-8F65-4A03-ADE7-04A682170CA9}">
      <text>
        <r>
          <rPr>
            <b/>
            <sz val="8"/>
            <color indexed="81"/>
            <rFont val="Tahoma"/>
            <family val="2"/>
          </rPr>
          <t>Mary Wiencke:</t>
        </r>
        <r>
          <rPr>
            <sz val="8"/>
            <color indexed="81"/>
            <rFont val="Tahoma"/>
            <family val="2"/>
          </rPr>
          <t xml:space="preserve">
Initial allocation plus unpaid rolled from previous year.
</t>
        </r>
      </text>
    </comment>
    <comment ref="A73" authorId="0" shapeId="0" xr:uid="{3B5264BC-0C68-4ABD-9BAE-A9EFF46B87FD}">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74" authorId="0" shapeId="0" xr:uid="{669F4CD0-ACFF-490B-8050-5FEC677A9063}">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5" authorId="0" shapeId="0" xr:uid="{DE6606CB-1AFF-4E53-B691-620AEBC2FA23}">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6" authorId="0" shapeId="0" xr:uid="{0918193D-0445-488D-85FD-05037112B2ED}">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02" authorId="0" shapeId="0" xr:uid="{00000000-0006-0000-0300-000001000000}">
      <text>
        <r>
          <rPr>
            <b/>
            <sz val="8"/>
            <color indexed="81"/>
            <rFont val="Tahoma"/>
            <family val="2"/>
          </rPr>
          <t xml:space="preserve">Mary Wiencke:  Amount initially allocated to each fund each year.
</t>
        </r>
        <r>
          <rPr>
            <sz val="8"/>
            <color indexed="81"/>
            <rFont val="Tahoma"/>
            <family val="2"/>
          </rPr>
          <t xml:space="preserve">
</t>
        </r>
      </text>
    </comment>
    <comment ref="A103" authorId="0" shapeId="0" xr:uid="{00000000-0006-0000-0300-000002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04" authorId="0" shapeId="0" xr:uid="{00000000-0006-0000-0300-000003000000}">
      <text>
        <r>
          <rPr>
            <b/>
            <sz val="8"/>
            <color indexed="81"/>
            <rFont val="Tahoma"/>
            <family val="2"/>
          </rPr>
          <t>Mary Wiencke:</t>
        </r>
        <r>
          <rPr>
            <sz val="8"/>
            <color indexed="81"/>
            <rFont val="Tahoma"/>
            <family val="2"/>
          </rPr>
          <t xml:space="preserve">
Initial allocation plus unpaid rolled from previous year.
</t>
        </r>
      </text>
    </comment>
    <comment ref="A105" authorId="0" shapeId="0" xr:uid="{00000000-0006-0000-0300-000004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06" authorId="0" shapeId="0" xr:uid="{00000000-0006-0000-0300-000005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07" authorId="0" shapeId="0" xr:uid="{00000000-0006-0000-0300-000006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8" authorId="0" shapeId="0" xr:uid="{00000000-0006-0000-0300-000007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36" authorId="0" shapeId="0" xr:uid="{00000000-0006-0000-0300-000008000000}">
      <text>
        <r>
          <rPr>
            <b/>
            <sz val="8"/>
            <color indexed="81"/>
            <rFont val="Tahoma"/>
            <family val="2"/>
          </rPr>
          <t xml:space="preserve">Mary Wiencke:  Amount initially allocated to each fund each year.
</t>
        </r>
        <r>
          <rPr>
            <sz val="8"/>
            <color indexed="81"/>
            <rFont val="Tahoma"/>
            <family val="2"/>
          </rPr>
          <t xml:space="preserve">
</t>
        </r>
      </text>
    </comment>
    <comment ref="A137" authorId="0" shapeId="0" xr:uid="{00000000-0006-0000-0300-00000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38" authorId="0" shapeId="0" xr:uid="{00000000-0006-0000-0300-00000A000000}">
      <text>
        <r>
          <rPr>
            <b/>
            <sz val="8"/>
            <color indexed="81"/>
            <rFont val="Tahoma"/>
            <family val="2"/>
          </rPr>
          <t>Mary Wiencke:</t>
        </r>
        <r>
          <rPr>
            <sz val="8"/>
            <color indexed="81"/>
            <rFont val="Tahoma"/>
            <family val="2"/>
          </rPr>
          <t xml:space="preserve">
Initial allocation plus unpaid rolled from previous year.
</t>
        </r>
      </text>
    </comment>
    <comment ref="A139" authorId="0" shapeId="0" xr:uid="{00000000-0006-0000-0300-00000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40" authorId="0" shapeId="0" xr:uid="{00000000-0006-0000-0300-00000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41" authorId="0" shapeId="0" xr:uid="{00000000-0006-0000-0300-00000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42" authorId="0" shapeId="0" xr:uid="{00000000-0006-0000-0300-00000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73" authorId="0" shapeId="0" xr:uid="{00000000-0006-0000-0300-00000F000000}">
      <text>
        <r>
          <rPr>
            <b/>
            <sz val="8"/>
            <color indexed="81"/>
            <rFont val="Tahoma"/>
            <family val="2"/>
          </rPr>
          <t xml:space="preserve">Mary Wiencke:  Amount initially allocated to each fund each year.
</t>
        </r>
        <r>
          <rPr>
            <sz val="8"/>
            <color indexed="81"/>
            <rFont val="Tahoma"/>
            <family val="2"/>
          </rPr>
          <t xml:space="preserve">
</t>
        </r>
      </text>
    </comment>
    <comment ref="A174" authorId="0" shapeId="0" xr:uid="{00000000-0006-0000-0300-000010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75" authorId="0" shapeId="0" xr:uid="{00000000-0006-0000-0300-000011000000}">
      <text>
        <r>
          <rPr>
            <b/>
            <sz val="8"/>
            <color indexed="81"/>
            <rFont val="Tahoma"/>
            <family val="2"/>
          </rPr>
          <t>Mary Wiencke:</t>
        </r>
        <r>
          <rPr>
            <sz val="8"/>
            <color indexed="81"/>
            <rFont val="Tahoma"/>
            <family val="2"/>
          </rPr>
          <t xml:space="preserve">
Initial allocation plus unpaid rolled from previous year.
</t>
        </r>
      </text>
    </comment>
    <comment ref="A176" authorId="0" shapeId="0" xr:uid="{00000000-0006-0000-0300-000012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77" authorId="0" shapeId="0" xr:uid="{00000000-0006-0000-0300-00001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78" authorId="0" shapeId="0" xr:uid="{00000000-0006-0000-0300-000014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79" authorId="0" shapeId="0" xr:uid="{00000000-0006-0000-0300-000015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08" authorId="0" shapeId="0" xr:uid="{00000000-0006-0000-0300-000016000000}">
      <text>
        <r>
          <rPr>
            <b/>
            <sz val="8"/>
            <color indexed="81"/>
            <rFont val="Tahoma"/>
            <family val="2"/>
          </rPr>
          <t xml:space="preserve">Mary Wiencke:  Amount initially allocated to each fund each year.
</t>
        </r>
        <r>
          <rPr>
            <sz val="8"/>
            <color indexed="81"/>
            <rFont val="Tahoma"/>
            <family val="2"/>
          </rPr>
          <t xml:space="preserve">
</t>
        </r>
      </text>
    </comment>
    <comment ref="A209" authorId="0" shapeId="0" xr:uid="{00000000-0006-0000-0300-00001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10" authorId="0" shapeId="0" xr:uid="{00000000-0006-0000-0300-000018000000}">
      <text>
        <r>
          <rPr>
            <b/>
            <sz val="8"/>
            <color indexed="81"/>
            <rFont val="Tahoma"/>
            <family val="2"/>
          </rPr>
          <t>Mary Wiencke:</t>
        </r>
        <r>
          <rPr>
            <sz val="8"/>
            <color indexed="81"/>
            <rFont val="Tahoma"/>
            <family val="2"/>
          </rPr>
          <t xml:space="preserve">
Initial allocation plus unpaid rolled from previous year.
</t>
        </r>
      </text>
    </comment>
    <comment ref="A211" authorId="0" shapeId="0" xr:uid="{00000000-0006-0000-0300-00001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12" authorId="0" shapeId="0" xr:uid="{00000000-0006-0000-0300-00001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13" authorId="0" shapeId="0" xr:uid="{00000000-0006-0000-0300-00001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14" authorId="0" shapeId="0" xr:uid="{00000000-0006-0000-0300-00001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40" authorId="0" shapeId="0" xr:uid="{00000000-0006-0000-0300-00001D000000}">
      <text>
        <r>
          <rPr>
            <b/>
            <sz val="8"/>
            <color indexed="81"/>
            <rFont val="Tahoma"/>
            <family val="2"/>
          </rPr>
          <t xml:space="preserve">Mary Wiencke:  Amount initially allocated to each fund each year.
</t>
        </r>
        <r>
          <rPr>
            <sz val="8"/>
            <color indexed="81"/>
            <rFont val="Tahoma"/>
            <family val="2"/>
          </rPr>
          <t xml:space="preserve">
</t>
        </r>
      </text>
    </comment>
    <comment ref="A241" authorId="0" shapeId="0" xr:uid="{00000000-0006-0000-0300-00001E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42" authorId="0" shapeId="0" xr:uid="{00000000-0006-0000-0300-00001F000000}">
      <text>
        <r>
          <rPr>
            <b/>
            <sz val="8"/>
            <color indexed="81"/>
            <rFont val="Tahoma"/>
            <family val="2"/>
          </rPr>
          <t>Mary Wiencke:</t>
        </r>
        <r>
          <rPr>
            <sz val="8"/>
            <color indexed="81"/>
            <rFont val="Tahoma"/>
            <family val="2"/>
          </rPr>
          <t xml:space="preserve">
Initial allocation plus unpaid rolled from previous year.
</t>
        </r>
      </text>
    </comment>
    <comment ref="A243" authorId="0" shapeId="0" xr:uid="{00000000-0006-0000-0300-000020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44" authorId="0" shapeId="0" xr:uid="{00000000-0006-0000-0300-000021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45" authorId="0" shapeId="0" xr:uid="{00000000-0006-0000-0300-000022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46" authorId="0" shapeId="0" xr:uid="{00000000-0006-0000-0300-000023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81" authorId="0" shapeId="0" xr:uid="{00000000-0006-0000-0300-000024000000}">
      <text>
        <r>
          <rPr>
            <b/>
            <sz val="8"/>
            <color indexed="81"/>
            <rFont val="Tahoma"/>
            <family val="2"/>
          </rPr>
          <t xml:space="preserve">Mary Wiencke:  Amount initially allocated to each fund each year.
</t>
        </r>
        <r>
          <rPr>
            <sz val="8"/>
            <color indexed="81"/>
            <rFont val="Tahoma"/>
            <family val="2"/>
          </rPr>
          <t xml:space="preserve">
</t>
        </r>
      </text>
    </comment>
    <comment ref="A282" authorId="0" shapeId="0" xr:uid="{00000000-0006-0000-03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83" authorId="0" shapeId="0" xr:uid="{00000000-0006-0000-0300-000026000000}">
      <text>
        <r>
          <rPr>
            <b/>
            <sz val="8"/>
            <color indexed="81"/>
            <rFont val="Tahoma"/>
            <family val="2"/>
          </rPr>
          <t>Mary Wiencke:</t>
        </r>
        <r>
          <rPr>
            <sz val="8"/>
            <color indexed="81"/>
            <rFont val="Tahoma"/>
            <family val="2"/>
          </rPr>
          <t xml:space="preserve">
Initial allocation plus unpaid rolled from previous year.
</t>
        </r>
      </text>
    </comment>
    <comment ref="A284" authorId="0" shapeId="0" xr:uid="{00000000-0006-0000-03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85" authorId="0" shapeId="0" xr:uid="{00000000-0006-0000-03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86" authorId="0" shapeId="0" xr:uid="{00000000-0006-0000-03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87" authorId="0" shapeId="0" xr:uid="{00000000-0006-0000-03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22" authorId="0" shapeId="0" xr:uid="{00000000-0006-0000-0300-00002B000000}">
      <text>
        <r>
          <rPr>
            <b/>
            <sz val="8"/>
            <color indexed="81"/>
            <rFont val="Tahoma"/>
            <family val="2"/>
          </rPr>
          <t xml:space="preserve">Mary Wiencke:  Amount initially allocated to each fund each year.
</t>
        </r>
        <r>
          <rPr>
            <sz val="8"/>
            <color indexed="81"/>
            <rFont val="Tahoma"/>
            <family val="2"/>
          </rPr>
          <t xml:space="preserve">
</t>
        </r>
      </text>
    </comment>
    <comment ref="A323" authorId="0" shapeId="0" xr:uid="{00000000-0006-0000-0300-00002C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24" authorId="0" shapeId="0" xr:uid="{00000000-0006-0000-0300-00002D000000}">
      <text>
        <r>
          <rPr>
            <b/>
            <sz val="8"/>
            <color indexed="81"/>
            <rFont val="Tahoma"/>
            <family val="2"/>
          </rPr>
          <t>Mary Wiencke:</t>
        </r>
        <r>
          <rPr>
            <sz val="8"/>
            <color indexed="81"/>
            <rFont val="Tahoma"/>
            <family val="2"/>
          </rPr>
          <t xml:space="preserve">
Initial allocation plus unpaid rolled from previous year.
</t>
        </r>
      </text>
    </comment>
    <comment ref="A325" authorId="0" shapeId="0" xr:uid="{00000000-0006-0000-0300-00002E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326" authorId="0" shapeId="0" xr:uid="{00000000-0006-0000-0300-00002F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327" authorId="0" shapeId="0" xr:uid="{00000000-0006-0000-0300-000030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328" authorId="0" shapeId="0" xr:uid="{00000000-0006-0000-0300-000031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E601414B-4512-45DD-B317-1670F1095604}">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381AA3CF-2DF5-479C-AD7F-EA19E93405BC}">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56A68AAC-9892-4E4A-A758-F0DA31C8A727}">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524B104A-2B68-483D-9946-9E12C0E9429C}">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BDB703A5-F048-46F4-ACB9-FC05F56463B3}">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796D7468-42B4-4330-9E65-36F6C931F4F7}">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D2D616E5-EF79-47B9-ADB2-370FC6E7372F}">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7" authorId="0" shapeId="0" xr:uid="{C1B73C3C-E5DE-4449-B17D-82B3EDA6D910}">
      <text>
        <r>
          <rPr>
            <b/>
            <sz val="8"/>
            <color indexed="81"/>
            <rFont val="Tahoma"/>
            <family val="2"/>
          </rPr>
          <t xml:space="preserve">Mary Wiencke:  Amount initially allocated to each fund each year.
</t>
        </r>
        <r>
          <rPr>
            <sz val="8"/>
            <color indexed="81"/>
            <rFont val="Tahoma"/>
            <family val="2"/>
          </rPr>
          <t xml:space="preserve">
</t>
        </r>
      </text>
    </comment>
    <comment ref="A38" authorId="0" shapeId="0" xr:uid="{FCAA5191-6917-454A-95C6-B37CCCD63D25}">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9" authorId="0" shapeId="0" xr:uid="{B9E37834-EAE3-4D18-A9B4-7BD3B384FEBC}">
      <text>
        <r>
          <rPr>
            <b/>
            <sz val="8"/>
            <color indexed="81"/>
            <rFont val="Tahoma"/>
            <family val="2"/>
          </rPr>
          <t>Mary Wiencke:</t>
        </r>
        <r>
          <rPr>
            <sz val="8"/>
            <color indexed="81"/>
            <rFont val="Tahoma"/>
            <family val="2"/>
          </rPr>
          <t xml:space="preserve">
Initial allocation plus unpaid rolled from previous year.
</t>
        </r>
      </text>
    </comment>
    <comment ref="A40" authorId="0" shapeId="0" xr:uid="{232B0E5C-480D-4C00-B841-C2B95428C32B}">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41" authorId="0" shapeId="0" xr:uid="{B6BCADEA-291A-4432-AE18-62AD82E5D461}">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42" authorId="0" shapeId="0" xr:uid="{1153B3D0-2FD3-406E-AC82-C653A0F7BBEA}">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43" authorId="0" shapeId="0" xr:uid="{48C6CE84-A4BF-4BA1-842B-BE1EE011CB7E}">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70" authorId="0" shapeId="0" xr:uid="{09800B91-EBA3-4FF5-81CB-EBDD707EE392}">
      <text>
        <r>
          <rPr>
            <b/>
            <sz val="8"/>
            <color indexed="81"/>
            <rFont val="Tahoma"/>
            <family val="2"/>
          </rPr>
          <t xml:space="preserve">Mary Wiencke:  Amount initially allocated to each fund each year.
</t>
        </r>
        <r>
          <rPr>
            <sz val="8"/>
            <color indexed="81"/>
            <rFont val="Tahoma"/>
            <family val="2"/>
          </rPr>
          <t xml:space="preserve">
</t>
        </r>
      </text>
    </comment>
    <comment ref="A71" authorId="0" shapeId="0" xr:uid="{45377596-BD17-4353-B90E-E04E5ADD1519}">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72" authorId="0" shapeId="0" xr:uid="{80C2A05D-E9E0-4D95-9F99-A63C5CEADC4C}">
      <text>
        <r>
          <rPr>
            <b/>
            <sz val="8"/>
            <color indexed="81"/>
            <rFont val="Tahoma"/>
            <family val="2"/>
          </rPr>
          <t>Mary Wiencke:</t>
        </r>
        <r>
          <rPr>
            <sz val="8"/>
            <color indexed="81"/>
            <rFont val="Tahoma"/>
            <family val="2"/>
          </rPr>
          <t xml:space="preserve">
Initial allocation plus unpaid rolled from previous year.
</t>
        </r>
      </text>
    </comment>
    <comment ref="A73" authorId="0" shapeId="0" xr:uid="{9A004B1B-BA05-421C-95AB-F2D43FD5508C}">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74" authorId="0" shapeId="0" xr:uid="{35BF4EDC-9EFA-48FD-89C1-B1C5355694C4}">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5" authorId="0" shapeId="0" xr:uid="{5BC02E15-7F0B-4A7B-B81A-0DD026113DAE}">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6" authorId="0" shapeId="0" xr:uid="{4771872E-D885-4502-8238-1137D2F412CD}">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95" authorId="0" shapeId="0" xr:uid="{00000000-0006-0000-0400-000001000000}">
      <text>
        <r>
          <rPr>
            <b/>
            <sz val="8"/>
            <color indexed="81"/>
            <rFont val="Tahoma"/>
            <family val="2"/>
          </rPr>
          <t xml:space="preserve">Mary Wiencke:  Amount initially allocated to each fund each year.
</t>
        </r>
        <r>
          <rPr>
            <sz val="8"/>
            <color indexed="81"/>
            <rFont val="Tahoma"/>
            <family val="2"/>
          </rPr>
          <t xml:space="preserve">
</t>
        </r>
      </text>
    </comment>
    <comment ref="A96" authorId="0" shapeId="0" xr:uid="{00000000-0006-0000-0400-000002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97" authorId="0" shapeId="0" xr:uid="{00000000-0006-0000-0400-000003000000}">
      <text>
        <r>
          <rPr>
            <b/>
            <sz val="8"/>
            <color indexed="81"/>
            <rFont val="Tahoma"/>
            <family val="2"/>
          </rPr>
          <t>Mary Wiencke:</t>
        </r>
        <r>
          <rPr>
            <sz val="8"/>
            <color indexed="81"/>
            <rFont val="Tahoma"/>
            <family val="2"/>
          </rPr>
          <t xml:space="preserve">
Initial allocation plus unpaid rolled from previous year.
</t>
        </r>
      </text>
    </comment>
    <comment ref="A98" authorId="0" shapeId="0" xr:uid="{00000000-0006-0000-0400-000004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99" authorId="0" shapeId="0" xr:uid="{00000000-0006-0000-0400-000005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00" authorId="0" shapeId="0" xr:uid="{00000000-0006-0000-0400-000006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1" authorId="0" shapeId="0" xr:uid="{00000000-0006-0000-0400-000007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17" authorId="0" shapeId="0" xr:uid="{00000000-0006-0000-0400-000008000000}">
      <text>
        <r>
          <rPr>
            <b/>
            <sz val="8"/>
            <color indexed="81"/>
            <rFont val="Tahoma"/>
            <family val="2"/>
          </rPr>
          <t xml:space="preserve">Mary Wiencke:  Amount initially allocated to each fund each year.
</t>
        </r>
        <r>
          <rPr>
            <sz val="8"/>
            <color indexed="81"/>
            <rFont val="Tahoma"/>
            <family val="2"/>
          </rPr>
          <t xml:space="preserve">
</t>
        </r>
      </text>
    </comment>
    <comment ref="A118" authorId="0" shapeId="0" xr:uid="{00000000-0006-0000-0400-00000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19" authorId="0" shapeId="0" xr:uid="{00000000-0006-0000-0400-00000A000000}">
      <text>
        <r>
          <rPr>
            <b/>
            <sz val="8"/>
            <color indexed="81"/>
            <rFont val="Tahoma"/>
            <family val="2"/>
          </rPr>
          <t>Mary Wiencke:</t>
        </r>
        <r>
          <rPr>
            <sz val="8"/>
            <color indexed="81"/>
            <rFont val="Tahoma"/>
            <family val="2"/>
          </rPr>
          <t xml:space="preserve">
Initial allocation plus unpaid rolled from previous year.
</t>
        </r>
      </text>
    </comment>
    <comment ref="A120" authorId="0" shapeId="0" xr:uid="{00000000-0006-0000-0400-00000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21" authorId="0" shapeId="0" xr:uid="{00000000-0006-0000-0400-00000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22" authorId="0" shapeId="0" xr:uid="{00000000-0006-0000-0400-00000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23" authorId="0" shapeId="0" xr:uid="{00000000-0006-0000-0400-00000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49" authorId="0" shapeId="0" xr:uid="{00000000-0006-0000-0400-00000F000000}">
      <text>
        <r>
          <rPr>
            <b/>
            <sz val="8"/>
            <color indexed="81"/>
            <rFont val="Tahoma"/>
            <family val="2"/>
          </rPr>
          <t xml:space="preserve">Mary Wiencke:  Amount initially allocated to each fund each year.
</t>
        </r>
        <r>
          <rPr>
            <sz val="8"/>
            <color indexed="81"/>
            <rFont val="Tahoma"/>
            <family val="2"/>
          </rPr>
          <t xml:space="preserve">
</t>
        </r>
      </text>
    </comment>
    <comment ref="A150" authorId="0" shapeId="0" xr:uid="{00000000-0006-0000-0400-000010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51" authorId="0" shapeId="0" xr:uid="{00000000-0006-0000-0400-000011000000}">
      <text>
        <r>
          <rPr>
            <b/>
            <sz val="8"/>
            <color indexed="81"/>
            <rFont val="Tahoma"/>
            <family val="2"/>
          </rPr>
          <t>Mary Wiencke:</t>
        </r>
        <r>
          <rPr>
            <sz val="8"/>
            <color indexed="81"/>
            <rFont val="Tahoma"/>
            <family val="2"/>
          </rPr>
          <t xml:space="preserve">
Initial allocation plus unpaid rolled from previous year.
</t>
        </r>
      </text>
    </comment>
    <comment ref="A152" authorId="0" shapeId="0" xr:uid="{00000000-0006-0000-0400-000012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53" authorId="0" shapeId="0" xr:uid="{00000000-0006-0000-0400-00001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54" authorId="0" shapeId="0" xr:uid="{00000000-0006-0000-0400-000014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55" authorId="0" shapeId="0" xr:uid="{00000000-0006-0000-0400-000015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78" authorId="0" shapeId="0" xr:uid="{00000000-0006-0000-0400-000016000000}">
      <text>
        <r>
          <rPr>
            <b/>
            <sz val="8"/>
            <color indexed="81"/>
            <rFont val="Tahoma"/>
            <family val="2"/>
          </rPr>
          <t xml:space="preserve">Mary Wiencke:  Amount initially allocated to each fund each year.
</t>
        </r>
        <r>
          <rPr>
            <sz val="8"/>
            <color indexed="81"/>
            <rFont val="Tahoma"/>
            <family val="2"/>
          </rPr>
          <t xml:space="preserve">
</t>
        </r>
      </text>
    </comment>
    <comment ref="A179" authorId="0" shapeId="0" xr:uid="{00000000-0006-0000-0400-00001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80" authorId="0" shapeId="0" xr:uid="{00000000-0006-0000-0400-000018000000}">
      <text>
        <r>
          <rPr>
            <b/>
            <sz val="8"/>
            <color indexed="81"/>
            <rFont val="Tahoma"/>
            <family val="2"/>
          </rPr>
          <t>Mary Wiencke:</t>
        </r>
        <r>
          <rPr>
            <sz val="8"/>
            <color indexed="81"/>
            <rFont val="Tahoma"/>
            <family val="2"/>
          </rPr>
          <t xml:space="preserve">
Initial allocation plus unpaid rolled from previous year.
</t>
        </r>
      </text>
    </comment>
    <comment ref="A181" authorId="0" shapeId="0" xr:uid="{00000000-0006-0000-0400-00001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82" authorId="0" shapeId="0" xr:uid="{00000000-0006-0000-0400-00001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83" authorId="0" shapeId="0" xr:uid="{00000000-0006-0000-0400-00001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84" authorId="0" shapeId="0" xr:uid="{00000000-0006-0000-0400-00001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10" authorId="0" shapeId="0" xr:uid="{00000000-0006-0000-0400-00001D000000}">
      <text>
        <r>
          <rPr>
            <b/>
            <sz val="8"/>
            <color indexed="81"/>
            <rFont val="Tahoma"/>
            <family val="2"/>
          </rPr>
          <t xml:space="preserve">Mary Wiencke:  Amount initially allocated to each fund each year.
</t>
        </r>
        <r>
          <rPr>
            <sz val="8"/>
            <color indexed="81"/>
            <rFont val="Tahoma"/>
            <family val="2"/>
          </rPr>
          <t xml:space="preserve">
</t>
        </r>
      </text>
    </comment>
    <comment ref="A211" authorId="0" shapeId="0" xr:uid="{00000000-0006-0000-0400-00001E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12" authorId="0" shapeId="0" xr:uid="{00000000-0006-0000-0400-00001F000000}">
      <text>
        <r>
          <rPr>
            <b/>
            <sz val="8"/>
            <color indexed="81"/>
            <rFont val="Tahoma"/>
            <family val="2"/>
          </rPr>
          <t>Mary Wiencke:</t>
        </r>
        <r>
          <rPr>
            <sz val="8"/>
            <color indexed="81"/>
            <rFont val="Tahoma"/>
            <family val="2"/>
          </rPr>
          <t xml:space="preserve">
Initial allocation plus unpaid rolled from previous year.
</t>
        </r>
      </text>
    </comment>
    <comment ref="A213" authorId="0" shapeId="0" xr:uid="{00000000-0006-0000-0400-000020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14" authorId="0" shapeId="0" xr:uid="{00000000-0006-0000-0400-000021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15" authorId="0" shapeId="0" xr:uid="{00000000-0006-0000-0400-000022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16" authorId="0" shapeId="0" xr:uid="{00000000-0006-0000-0400-000023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43" authorId="0" shapeId="0" xr:uid="{00000000-0006-0000-0400-000024000000}">
      <text>
        <r>
          <rPr>
            <b/>
            <sz val="8"/>
            <color indexed="81"/>
            <rFont val="Tahoma"/>
            <family val="2"/>
          </rPr>
          <t xml:space="preserve">Mary Wiencke:  Amount initially allocated to each fund each year.
</t>
        </r>
        <r>
          <rPr>
            <sz val="8"/>
            <color indexed="81"/>
            <rFont val="Tahoma"/>
            <family val="2"/>
          </rPr>
          <t xml:space="preserve">
</t>
        </r>
      </text>
    </comment>
    <comment ref="A244" authorId="0" shapeId="0" xr:uid="{00000000-0006-0000-04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45" authorId="0" shapeId="0" xr:uid="{00000000-0006-0000-0400-000026000000}">
      <text>
        <r>
          <rPr>
            <b/>
            <sz val="8"/>
            <color indexed="81"/>
            <rFont val="Tahoma"/>
            <family val="2"/>
          </rPr>
          <t>Mary Wiencke:</t>
        </r>
        <r>
          <rPr>
            <sz val="8"/>
            <color indexed="81"/>
            <rFont val="Tahoma"/>
            <family val="2"/>
          </rPr>
          <t xml:space="preserve">
Initial allocation plus unpaid rolled from previous year.
</t>
        </r>
      </text>
    </comment>
    <comment ref="A246" authorId="0" shapeId="0" xr:uid="{00000000-0006-0000-04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47" authorId="0" shapeId="0" xr:uid="{00000000-0006-0000-04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48" authorId="0" shapeId="0" xr:uid="{00000000-0006-0000-04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49" authorId="0" shapeId="0" xr:uid="{00000000-0006-0000-04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74" authorId="0" shapeId="0" xr:uid="{00000000-0006-0000-0400-00002B000000}">
      <text>
        <r>
          <rPr>
            <b/>
            <sz val="8"/>
            <color indexed="81"/>
            <rFont val="Tahoma"/>
            <family val="2"/>
          </rPr>
          <t xml:space="preserve">Mary Wiencke:  Amount initially allocated to each fund each year.
</t>
        </r>
        <r>
          <rPr>
            <sz val="8"/>
            <color indexed="81"/>
            <rFont val="Tahoma"/>
            <family val="2"/>
          </rPr>
          <t xml:space="preserve">
</t>
        </r>
      </text>
    </comment>
    <comment ref="A275" authorId="0" shapeId="0" xr:uid="{00000000-0006-0000-0400-00002C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76" authorId="0" shapeId="0" xr:uid="{00000000-0006-0000-0400-00002D000000}">
      <text>
        <r>
          <rPr>
            <b/>
            <sz val="8"/>
            <color indexed="81"/>
            <rFont val="Tahoma"/>
            <family val="2"/>
          </rPr>
          <t>Mary Wiencke:</t>
        </r>
        <r>
          <rPr>
            <sz val="8"/>
            <color indexed="81"/>
            <rFont val="Tahoma"/>
            <family val="2"/>
          </rPr>
          <t xml:space="preserve">
Initial allocation plus unpaid rolled from previous year.
</t>
        </r>
      </text>
    </comment>
    <comment ref="A277" authorId="0" shapeId="0" xr:uid="{00000000-0006-0000-0400-00002E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78" authorId="0" shapeId="0" xr:uid="{00000000-0006-0000-0400-00002F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79" authorId="0" shapeId="0" xr:uid="{00000000-0006-0000-0400-000030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80" authorId="0" shapeId="0" xr:uid="{00000000-0006-0000-0400-000031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766C6EE5-A19E-47A1-8CB5-D6370C7834B3}">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4095C23F-75D1-4571-94D0-EDF4E2B8D82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3EEFAEEA-6108-4DFD-90E6-39DEBAD5FDE3}">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0D1C8DFC-C215-4D3A-AB72-6EBEE904156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6BFBF90D-C40A-445D-A8A9-C988DE17A34C}">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B4189BAE-353E-470C-93CC-C5E14398196A}">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484476BB-3671-4009-9733-8ADB51485D13}">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2" authorId="0" shapeId="0" xr:uid="{7D489E71-B88B-41D6-AF43-CE6429C0FD1D}">
      <text>
        <r>
          <rPr>
            <b/>
            <sz val="8"/>
            <color indexed="81"/>
            <rFont val="Tahoma"/>
            <family val="2"/>
          </rPr>
          <t xml:space="preserve">Mary Wiencke:  Amount initially allocated to each fund each year.
</t>
        </r>
        <r>
          <rPr>
            <sz val="8"/>
            <color indexed="81"/>
            <rFont val="Tahoma"/>
            <family val="2"/>
          </rPr>
          <t xml:space="preserve">
</t>
        </r>
      </text>
    </comment>
    <comment ref="A33" authorId="0" shapeId="0" xr:uid="{970A323E-FD59-4424-9DCA-74764642B5F2}">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4" authorId="0" shapeId="0" xr:uid="{3E9920AF-8B7A-4A51-97D0-EAABF2ED769B}">
      <text>
        <r>
          <rPr>
            <b/>
            <sz val="8"/>
            <color indexed="81"/>
            <rFont val="Tahoma"/>
            <family val="2"/>
          </rPr>
          <t>Mary Wiencke:</t>
        </r>
        <r>
          <rPr>
            <sz val="8"/>
            <color indexed="81"/>
            <rFont val="Tahoma"/>
            <family val="2"/>
          </rPr>
          <t xml:space="preserve">
Initial allocation plus unpaid rolled from previous year.
</t>
        </r>
      </text>
    </comment>
    <comment ref="A35" authorId="0" shapeId="0" xr:uid="{37E81931-846E-41B8-8248-794CD04F8444}">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36" authorId="0" shapeId="0" xr:uid="{F1FF7891-510B-4334-855A-53C8DCA0343A}">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37" authorId="0" shapeId="0" xr:uid="{563DB0AE-84F4-48C9-A0F5-EAA9DDB72A77}">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38" authorId="0" shapeId="0" xr:uid="{203970DD-0B81-4D9C-8FC0-DF65739F88A2}">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0" authorId="0" shapeId="0" xr:uid="{F05F8720-C653-43F8-86EA-BECFC46EB67B}">
      <text>
        <r>
          <rPr>
            <b/>
            <sz val="8"/>
            <color indexed="81"/>
            <rFont val="Tahoma"/>
            <family val="2"/>
          </rPr>
          <t xml:space="preserve">Mary Wiencke:  Amount initially allocated to each fund each year.
</t>
        </r>
        <r>
          <rPr>
            <sz val="8"/>
            <color indexed="81"/>
            <rFont val="Tahoma"/>
            <family val="2"/>
          </rPr>
          <t xml:space="preserve">
</t>
        </r>
      </text>
    </comment>
    <comment ref="A61" authorId="0" shapeId="0" xr:uid="{2B928F97-061C-4FFE-8969-9036CFEFEA5B}">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2" authorId="0" shapeId="0" xr:uid="{33BBB8E8-D483-4EEF-9F16-76C59D1E354D}">
      <text>
        <r>
          <rPr>
            <b/>
            <sz val="8"/>
            <color indexed="81"/>
            <rFont val="Tahoma"/>
            <family val="2"/>
          </rPr>
          <t>Mary Wiencke:</t>
        </r>
        <r>
          <rPr>
            <sz val="8"/>
            <color indexed="81"/>
            <rFont val="Tahoma"/>
            <family val="2"/>
          </rPr>
          <t xml:space="preserve">
Initial allocation plus unpaid rolled from previous year.
</t>
        </r>
      </text>
    </comment>
    <comment ref="A63" authorId="0" shapeId="0" xr:uid="{380285B3-3BB3-49D1-9D45-3F7330E93066}">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64" authorId="0" shapeId="0" xr:uid="{D4F14196-B415-4127-BDE2-AFE1718AD265}">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65" authorId="0" shapeId="0" xr:uid="{6B84CE8F-C114-426E-BB78-77AE343A7AD8}">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66" authorId="0" shapeId="0" xr:uid="{7AE82554-DCFA-4BC2-844E-D39AD0E88E26}">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83" authorId="0" shapeId="0" xr:uid="{00000000-0006-0000-0500-000001000000}">
      <text>
        <r>
          <rPr>
            <b/>
            <sz val="8"/>
            <color indexed="81"/>
            <rFont val="Tahoma"/>
            <family val="2"/>
          </rPr>
          <t xml:space="preserve">Mary Wiencke:  Amount initially allocated to each fund each year.
</t>
        </r>
        <r>
          <rPr>
            <sz val="8"/>
            <color indexed="81"/>
            <rFont val="Tahoma"/>
            <family val="2"/>
          </rPr>
          <t xml:space="preserve">
</t>
        </r>
      </text>
    </comment>
    <comment ref="A84" authorId="0" shapeId="0" xr:uid="{00000000-0006-0000-0500-000002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85" authorId="0" shapeId="0" xr:uid="{00000000-0006-0000-0500-000003000000}">
      <text>
        <r>
          <rPr>
            <b/>
            <sz val="8"/>
            <color indexed="81"/>
            <rFont val="Tahoma"/>
            <family val="2"/>
          </rPr>
          <t>Mary Wiencke:</t>
        </r>
        <r>
          <rPr>
            <sz val="8"/>
            <color indexed="81"/>
            <rFont val="Tahoma"/>
            <family val="2"/>
          </rPr>
          <t xml:space="preserve">
Initial allocation plus unpaid rolled from previous year.
</t>
        </r>
      </text>
    </comment>
    <comment ref="A86" authorId="0" shapeId="0" xr:uid="{00000000-0006-0000-0500-000004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7" authorId="0" shapeId="0" xr:uid="{00000000-0006-0000-0500-000005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88" authorId="0" shapeId="0" xr:uid="{00000000-0006-0000-0500-000006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89" authorId="0" shapeId="0" xr:uid="{00000000-0006-0000-0500-000007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06" authorId="0" shapeId="0" xr:uid="{00000000-0006-0000-0500-000008000000}">
      <text>
        <r>
          <rPr>
            <b/>
            <sz val="8"/>
            <color indexed="81"/>
            <rFont val="Tahoma"/>
            <family val="2"/>
          </rPr>
          <t xml:space="preserve">Mary Wiencke:  Amount initially allocated to each fund each year.
</t>
        </r>
        <r>
          <rPr>
            <sz val="8"/>
            <color indexed="81"/>
            <rFont val="Tahoma"/>
            <family val="2"/>
          </rPr>
          <t xml:space="preserve">
</t>
        </r>
      </text>
    </comment>
    <comment ref="A107" authorId="0" shapeId="0" xr:uid="{00000000-0006-0000-0500-00000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08" authorId="0" shapeId="0" xr:uid="{00000000-0006-0000-0500-00000A000000}">
      <text>
        <r>
          <rPr>
            <b/>
            <sz val="8"/>
            <color indexed="81"/>
            <rFont val="Tahoma"/>
            <family val="2"/>
          </rPr>
          <t>Mary Wiencke:</t>
        </r>
        <r>
          <rPr>
            <sz val="8"/>
            <color indexed="81"/>
            <rFont val="Tahoma"/>
            <family val="2"/>
          </rPr>
          <t xml:space="preserve">
Initial allocation plus unpaid rolled from previous year.
</t>
        </r>
      </text>
    </comment>
    <comment ref="A109" authorId="0" shapeId="0" xr:uid="{00000000-0006-0000-0500-00000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10" authorId="0" shapeId="0" xr:uid="{00000000-0006-0000-0500-00000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11" authorId="0" shapeId="0" xr:uid="{00000000-0006-0000-0500-00000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12" authorId="0" shapeId="0" xr:uid="{00000000-0006-0000-0500-00000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33" authorId="0" shapeId="0" xr:uid="{00000000-0006-0000-0500-00000F000000}">
      <text>
        <r>
          <rPr>
            <b/>
            <sz val="8"/>
            <color indexed="81"/>
            <rFont val="Tahoma"/>
            <family val="2"/>
          </rPr>
          <t xml:space="preserve">Mary Wiencke:  Amount initially allocated to each fund each year.
</t>
        </r>
        <r>
          <rPr>
            <sz val="8"/>
            <color indexed="81"/>
            <rFont val="Tahoma"/>
            <family val="2"/>
          </rPr>
          <t xml:space="preserve">
</t>
        </r>
      </text>
    </comment>
    <comment ref="A134" authorId="0" shapeId="0" xr:uid="{00000000-0006-0000-0500-000010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35" authorId="0" shapeId="0" xr:uid="{00000000-0006-0000-0500-000011000000}">
      <text>
        <r>
          <rPr>
            <b/>
            <sz val="8"/>
            <color indexed="81"/>
            <rFont val="Tahoma"/>
            <family val="2"/>
          </rPr>
          <t>Mary Wiencke:</t>
        </r>
        <r>
          <rPr>
            <sz val="8"/>
            <color indexed="81"/>
            <rFont val="Tahoma"/>
            <family val="2"/>
          </rPr>
          <t xml:space="preserve">
Initial allocation plus unpaid rolled from previous year.
</t>
        </r>
      </text>
    </comment>
    <comment ref="A136" authorId="0" shapeId="0" xr:uid="{00000000-0006-0000-0500-000012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37" authorId="0" shapeId="0" xr:uid="{00000000-0006-0000-0500-00001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38" authorId="0" shapeId="0" xr:uid="{00000000-0006-0000-0500-000014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39" authorId="0" shapeId="0" xr:uid="{00000000-0006-0000-0500-000015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58" authorId="0" shapeId="0" xr:uid="{00000000-0006-0000-0500-000016000000}">
      <text>
        <r>
          <rPr>
            <b/>
            <sz val="8"/>
            <color indexed="81"/>
            <rFont val="Tahoma"/>
            <family val="2"/>
          </rPr>
          <t xml:space="preserve">Mary Wiencke:  Amount initially allocated to each fund each year.
</t>
        </r>
        <r>
          <rPr>
            <sz val="8"/>
            <color indexed="81"/>
            <rFont val="Tahoma"/>
            <family val="2"/>
          </rPr>
          <t xml:space="preserve">
</t>
        </r>
      </text>
    </comment>
    <comment ref="A159" authorId="0" shapeId="0" xr:uid="{00000000-0006-0000-0500-00001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60" authorId="0" shapeId="0" xr:uid="{00000000-0006-0000-0500-000018000000}">
      <text>
        <r>
          <rPr>
            <b/>
            <sz val="8"/>
            <color indexed="81"/>
            <rFont val="Tahoma"/>
            <family val="2"/>
          </rPr>
          <t>Mary Wiencke:</t>
        </r>
        <r>
          <rPr>
            <sz val="8"/>
            <color indexed="81"/>
            <rFont val="Tahoma"/>
            <family val="2"/>
          </rPr>
          <t xml:space="preserve">
Initial allocation plus unpaid rolled from previous year.
</t>
        </r>
      </text>
    </comment>
    <comment ref="A161" authorId="0" shapeId="0" xr:uid="{00000000-0006-0000-0500-00001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62" authorId="0" shapeId="0" xr:uid="{00000000-0006-0000-0500-00001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63" authorId="0" shapeId="0" xr:uid="{00000000-0006-0000-0500-00001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64" authorId="0" shapeId="0" xr:uid="{00000000-0006-0000-0500-00001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87" authorId="0" shapeId="0" xr:uid="{00000000-0006-0000-0500-00001D000000}">
      <text>
        <r>
          <rPr>
            <b/>
            <sz val="8"/>
            <color indexed="81"/>
            <rFont val="Tahoma"/>
            <family val="2"/>
          </rPr>
          <t xml:space="preserve">Mary Wiencke:  Amount initially allocated to each fund each year.
</t>
        </r>
        <r>
          <rPr>
            <sz val="8"/>
            <color indexed="81"/>
            <rFont val="Tahoma"/>
            <family val="2"/>
          </rPr>
          <t xml:space="preserve">
</t>
        </r>
      </text>
    </comment>
    <comment ref="A188" authorId="0" shapeId="0" xr:uid="{00000000-0006-0000-0500-00001E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89" authorId="0" shapeId="0" xr:uid="{00000000-0006-0000-0500-00001F000000}">
      <text>
        <r>
          <rPr>
            <b/>
            <sz val="8"/>
            <color indexed="81"/>
            <rFont val="Tahoma"/>
            <family val="2"/>
          </rPr>
          <t>Mary Wiencke:</t>
        </r>
        <r>
          <rPr>
            <sz val="8"/>
            <color indexed="81"/>
            <rFont val="Tahoma"/>
            <family val="2"/>
          </rPr>
          <t xml:space="preserve">
Initial allocation plus unpaid rolled from previous year.
</t>
        </r>
      </text>
    </comment>
    <comment ref="A190" authorId="0" shapeId="0" xr:uid="{00000000-0006-0000-0500-000020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91" authorId="0" shapeId="0" xr:uid="{00000000-0006-0000-0500-000021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92" authorId="0" shapeId="0" xr:uid="{00000000-0006-0000-0500-000022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93" authorId="0" shapeId="0" xr:uid="{00000000-0006-0000-0500-000023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10" authorId="0" shapeId="0" xr:uid="{00000000-0006-0000-0500-000024000000}">
      <text>
        <r>
          <rPr>
            <b/>
            <sz val="8"/>
            <color indexed="81"/>
            <rFont val="Tahoma"/>
            <family val="2"/>
          </rPr>
          <t xml:space="preserve">Mary Wiencke:  Amount initially allocated to each fund each year.
</t>
        </r>
        <r>
          <rPr>
            <sz val="8"/>
            <color indexed="81"/>
            <rFont val="Tahoma"/>
            <family val="2"/>
          </rPr>
          <t xml:space="preserve">
</t>
        </r>
      </text>
    </comment>
    <comment ref="A211" authorId="0" shapeId="0" xr:uid="{00000000-0006-0000-05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12" authorId="0" shapeId="0" xr:uid="{00000000-0006-0000-0500-000026000000}">
      <text>
        <r>
          <rPr>
            <b/>
            <sz val="8"/>
            <color indexed="81"/>
            <rFont val="Tahoma"/>
            <family val="2"/>
          </rPr>
          <t>Mary Wiencke:</t>
        </r>
        <r>
          <rPr>
            <sz val="8"/>
            <color indexed="81"/>
            <rFont val="Tahoma"/>
            <family val="2"/>
          </rPr>
          <t xml:space="preserve">
Initial allocation plus unpaid rolled from previous year.
</t>
        </r>
      </text>
    </comment>
    <comment ref="A213" authorId="0" shapeId="0" xr:uid="{00000000-0006-0000-05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14" authorId="0" shapeId="0" xr:uid="{00000000-0006-0000-05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15" authorId="0" shapeId="0" xr:uid="{00000000-0006-0000-05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16" authorId="0" shapeId="0" xr:uid="{00000000-0006-0000-05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38" authorId="0" shapeId="0" xr:uid="{00000000-0006-0000-0500-00002B000000}">
      <text>
        <r>
          <rPr>
            <b/>
            <sz val="8"/>
            <color indexed="81"/>
            <rFont val="Tahoma"/>
            <family val="2"/>
          </rPr>
          <t xml:space="preserve">Mary Wiencke:  Amount initially allocated to each fund each year.
</t>
        </r>
        <r>
          <rPr>
            <sz val="8"/>
            <color indexed="81"/>
            <rFont val="Tahoma"/>
            <family val="2"/>
          </rPr>
          <t xml:space="preserve">
</t>
        </r>
      </text>
    </comment>
    <comment ref="A239" authorId="0" shapeId="0" xr:uid="{00000000-0006-0000-0500-00002C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40" authorId="0" shapeId="0" xr:uid="{00000000-0006-0000-0500-00002D000000}">
      <text>
        <r>
          <rPr>
            <b/>
            <sz val="8"/>
            <color indexed="81"/>
            <rFont val="Tahoma"/>
            <family val="2"/>
          </rPr>
          <t>Mary Wiencke:</t>
        </r>
        <r>
          <rPr>
            <sz val="8"/>
            <color indexed="81"/>
            <rFont val="Tahoma"/>
            <family val="2"/>
          </rPr>
          <t xml:space="preserve">
Initial allocation plus unpaid rolled from previous year.
</t>
        </r>
      </text>
    </comment>
    <comment ref="A241" authorId="0" shapeId="0" xr:uid="{00000000-0006-0000-0500-00002E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42" authorId="0" shapeId="0" xr:uid="{00000000-0006-0000-0500-00002F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43" authorId="0" shapeId="0" xr:uid="{00000000-0006-0000-0500-000030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44" authorId="0" shapeId="0" xr:uid="{00000000-0006-0000-0500-000031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4B633DD6-CF38-4E6F-97FE-B3B6434164EA}">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3B7C8BE8-8180-45F6-885B-8E0C0F2484D3}">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A465E57C-8472-4191-AC78-A147F7720CC9}">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69F0719E-E315-40F2-8135-9B8F8EE3628A}">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D8383E53-EA24-4EAE-B8DF-94EBBA0E201B}">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82417170-854D-4582-B8DB-CA3C468E6DCF}">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1909BD1C-20E4-4BC3-8530-DF57A678F16A}">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5" authorId="0" shapeId="0" xr:uid="{BE395C90-8492-47C0-8E23-68C06B6228E2}">
      <text>
        <r>
          <rPr>
            <b/>
            <sz val="8"/>
            <color indexed="81"/>
            <rFont val="Tahoma"/>
            <family val="2"/>
          </rPr>
          <t xml:space="preserve">Mary Wiencke:  Amount initially allocated to each fund each year.
</t>
        </r>
        <r>
          <rPr>
            <sz val="8"/>
            <color indexed="81"/>
            <rFont val="Tahoma"/>
            <family val="2"/>
          </rPr>
          <t xml:space="preserve">
</t>
        </r>
      </text>
    </comment>
    <comment ref="A36" authorId="0" shapeId="0" xr:uid="{A68EE40E-CDEF-4989-810B-11EE3E6D3B77}">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7" authorId="0" shapeId="0" xr:uid="{481C90D7-0BB8-4D0A-BF2F-9B61D697B0E1}">
      <text>
        <r>
          <rPr>
            <b/>
            <sz val="8"/>
            <color indexed="81"/>
            <rFont val="Tahoma"/>
            <family val="2"/>
          </rPr>
          <t>Mary Wiencke:</t>
        </r>
        <r>
          <rPr>
            <sz val="8"/>
            <color indexed="81"/>
            <rFont val="Tahoma"/>
            <family val="2"/>
          </rPr>
          <t xml:space="preserve">
Initial allocation plus unpaid rolled from previous year.
</t>
        </r>
      </text>
    </comment>
    <comment ref="A38" authorId="0" shapeId="0" xr:uid="{287098DC-23C8-4FE2-BA59-15B7127DAF69}">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39" authorId="0" shapeId="0" xr:uid="{06FA0826-CB6A-492C-A3DC-083E2F733012}">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40" authorId="0" shapeId="0" xr:uid="{180F9FF3-8F53-4F39-BF08-6FB3A7D1D1D7}">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41" authorId="0" shapeId="0" xr:uid="{D1E06981-1433-4B6E-BE1D-65CF9459A168}">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7" authorId="0" shapeId="0" xr:uid="{AF7509C6-9139-49CE-AD97-07EF2C782411}">
      <text>
        <r>
          <rPr>
            <b/>
            <sz val="8"/>
            <color indexed="81"/>
            <rFont val="Tahoma"/>
            <family val="2"/>
          </rPr>
          <t xml:space="preserve">Mary Wiencke:  Amount initially allocated to each fund each year.
</t>
        </r>
        <r>
          <rPr>
            <sz val="8"/>
            <color indexed="81"/>
            <rFont val="Tahoma"/>
            <family val="2"/>
          </rPr>
          <t xml:space="preserve">
</t>
        </r>
      </text>
    </comment>
    <comment ref="A68" authorId="0" shapeId="0" xr:uid="{93B5795F-4832-4F56-904D-D15C859F5D7B}">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9" authorId="0" shapeId="0" xr:uid="{8A41E56A-7614-4C45-A50C-71A84B14762B}">
      <text>
        <r>
          <rPr>
            <b/>
            <sz val="8"/>
            <color indexed="81"/>
            <rFont val="Tahoma"/>
            <family val="2"/>
          </rPr>
          <t>Mary Wiencke:</t>
        </r>
        <r>
          <rPr>
            <sz val="8"/>
            <color indexed="81"/>
            <rFont val="Tahoma"/>
            <family val="2"/>
          </rPr>
          <t xml:space="preserve">
Initial allocation plus unpaid rolled from previous year.
</t>
        </r>
      </text>
    </comment>
    <comment ref="A70" authorId="0" shapeId="0" xr:uid="{6CC94884-53C7-4508-8F1A-F5068546BD42}">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71" authorId="0" shapeId="0" xr:uid="{452B8872-EF80-434C-AD72-F8C215185DDB}">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2" authorId="0" shapeId="0" xr:uid="{76DEC460-DB11-4AB1-B0FD-93B398E13E74}">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3" authorId="0" shapeId="0" xr:uid="{852165D8-AE34-4435-8FD7-3272ED702C42}">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93" authorId="0" shapeId="0" xr:uid="{00000000-0006-0000-0600-000001000000}">
      <text>
        <r>
          <rPr>
            <b/>
            <sz val="8"/>
            <color indexed="81"/>
            <rFont val="Tahoma"/>
            <family val="2"/>
          </rPr>
          <t xml:space="preserve">Mary Wiencke:  Amount initially allocated to each fund each year.
</t>
        </r>
        <r>
          <rPr>
            <sz val="8"/>
            <color indexed="81"/>
            <rFont val="Tahoma"/>
            <family val="2"/>
          </rPr>
          <t xml:space="preserve">
</t>
        </r>
      </text>
    </comment>
    <comment ref="A94" authorId="0" shapeId="0" xr:uid="{00000000-0006-0000-0600-000002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95" authorId="0" shapeId="0" xr:uid="{00000000-0006-0000-0600-000003000000}">
      <text>
        <r>
          <rPr>
            <b/>
            <sz val="8"/>
            <color indexed="81"/>
            <rFont val="Tahoma"/>
            <family val="2"/>
          </rPr>
          <t>Mary Wiencke:</t>
        </r>
        <r>
          <rPr>
            <sz val="8"/>
            <color indexed="81"/>
            <rFont val="Tahoma"/>
            <family val="2"/>
          </rPr>
          <t xml:space="preserve">
Initial allocation plus unpaid rolled from previous year.
</t>
        </r>
      </text>
    </comment>
    <comment ref="A96" authorId="0" shapeId="0" xr:uid="{00000000-0006-0000-0600-000004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97" authorId="0" shapeId="0" xr:uid="{00000000-0006-0000-0600-000005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8" authorId="0" shapeId="0" xr:uid="{00000000-0006-0000-0600-000006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99" authorId="0" shapeId="0" xr:uid="{00000000-0006-0000-0600-000007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18" authorId="0" shapeId="0" xr:uid="{B6FF49F4-614A-4997-9556-4ADD704244F6}">
      <text>
        <r>
          <rPr>
            <b/>
            <sz val="8"/>
            <color indexed="81"/>
            <rFont val="Tahoma"/>
            <family val="2"/>
          </rPr>
          <t xml:space="preserve">Mary Wiencke:  Amount initially allocated to each fund each year.
</t>
        </r>
        <r>
          <rPr>
            <sz val="8"/>
            <color indexed="81"/>
            <rFont val="Tahoma"/>
            <family val="2"/>
          </rPr>
          <t xml:space="preserve">
</t>
        </r>
      </text>
    </comment>
    <comment ref="A119" authorId="0" shapeId="0" xr:uid="{A1D80F19-7507-4E6A-BBB5-017F84F0A3C6}">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20" authorId="0" shapeId="0" xr:uid="{1FEDC983-C255-4EB2-89B4-8B2D8873FC03}">
      <text>
        <r>
          <rPr>
            <b/>
            <sz val="8"/>
            <color indexed="81"/>
            <rFont val="Tahoma"/>
            <family val="2"/>
          </rPr>
          <t>Mary Wiencke:</t>
        </r>
        <r>
          <rPr>
            <sz val="8"/>
            <color indexed="81"/>
            <rFont val="Tahoma"/>
            <family val="2"/>
          </rPr>
          <t xml:space="preserve">
Initial allocation plus unpaid rolled from previous year.
</t>
        </r>
      </text>
    </comment>
    <comment ref="A121" authorId="0" shapeId="0" xr:uid="{9C04A30E-7412-4905-B368-7ED528CCE5A2}">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22" authorId="0" shapeId="0" xr:uid="{66052BFA-3DEC-4971-BFDF-58834371176E}">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23" authorId="0" shapeId="0" xr:uid="{6E51ED96-8BC7-4110-B469-7F5A68376F7B}">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24" authorId="0" shapeId="0" xr:uid="{2544725C-89CE-48E6-906A-BF67C7B17788}">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47" authorId="0" shapeId="0" xr:uid="{00000000-0006-0000-0600-000008000000}">
      <text>
        <r>
          <rPr>
            <b/>
            <sz val="8"/>
            <color indexed="81"/>
            <rFont val="Tahoma"/>
            <family val="2"/>
          </rPr>
          <t xml:space="preserve">Mary Wiencke:  Amount initially allocated to each fund each year.
</t>
        </r>
        <r>
          <rPr>
            <sz val="8"/>
            <color indexed="81"/>
            <rFont val="Tahoma"/>
            <family val="2"/>
          </rPr>
          <t xml:space="preserve">
</t>
        </r>
      </text>
    </comment>
    <comment ref="A148" authorId="0" shapeId="0" xr:uid="{00000000-0006-0000-0600-00000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49" authorId="0" shapeId="0" xr:uid="{00000000-0006-0000-0600-00000A000000}">
      <text>
        <r>
          <rPr>
            <b/>
            <sz val="8"/>
            <color indexed="81"/>
            <rFont val="Tahoma"/>
            <family val="2"/>
          </rPr>
          <t>Mary Wiencke:</t>
        </r>
        <r>
          <rPr>
            <sz val="8"/>
            <color indexed="81"/>
            <rFont val="Tahoma"/>
            <family val="2"/>
          </rPr>
          <t xml:space="preserve">
Initial allocation plus unpaid rolled from previous year.
</t>
        </r>
      </text>
    </comment>
    <comment ref="A150" authorId="0" shapeId="0" xr:uid="{00000000-0006-0000-0600-00000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51" authorId="0" shapeId="0" xr:uid="{00000000-0006-0000-0600-00000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52" authorId="0" shapeId="0" xr:uid="{00000000-0006-0000-0600-00000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53" authorId="0" shapeId="0" xr:uid="{00000000-0006-0000-0600-00000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73" authorId="0" shapeId="0" xr:uid="{00000000-0006-0000-0600-00000F000000}">
      <text>
        <r>
          <rPr>
            <b/>
            <sz val="8"/>
            <color indexed="81"/>
            <rFont val="Tahoma"/>
            <family val="2"/>
          </rPr>
          <t xml:space="preserve">Mary Wiencke:  Amount initially allocated to each fund each year.
</t>
        </r>
        <r>
          <rPr>
            <sz val="8"/>
            <color indexed="81"/>
            <rFont val="Tahoma"/>
            <family val="2"/>
          </rPr>
          <t xml:space="preserve">
</t>
        </r>
      </text>
    </comment>
    <comment ref="A174" authorId="0" shapeId="0" xr:uid="{00000000-0006-0000-0600-000010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75" authorId="0" shapeId="0" xr:uid="{00000000-0006-0000-0600-000011000000}">
      <text>
        <r>
          <rPr>
            <b/>
            <sz val="8"/>
            <color indexed="81"/>
            <rFont val="Tahoma"/>
            <family val="2"/>
          </rPr>
          <t>Mary Wiencke:</t>
        </r>
        <r>
          <rPr>
            <sz val="8"/>
            <color indexed="81"/>
            <rFont val="Tahoma"/>
            <family val="2"/>
          </rPr>
          <t xml:space="preserve">
Initial allocation plus unpaid rolled from previous year.
</t>
        </r>
      </text>
    </comment>
    <comment ref="A176" authorId="0" shapeId="0" xr:uid="{00000000-0006-0000-0600-000012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77" authorId="0" shapeId="0" xr:uid="{00000000-0006-0000-0600-00001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78" authorId="0" shapeId="0" xr:uid="{00000000-0006-0000-0600-000014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79" authorId="0" shapeId="0" xr:uid="{00000000-0006-0000-0600-000015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98" authorId="0" shapeId="0" xr:uid="{00000000-0006-0000-0600-000016000000}">
      <text>
        <r>
          <rPr>
            <b/>
            <sz val="8"/>
            <color indexed="81"/>
            <rFont val="Tahoma"/>
            <family val="2"/>
          </rPr>
          <t xml:space="preserve">Mary Wiencke:  Amount initially allocated to each fund each year.
</t>
        </r>
        <r>
          <rPr>
            <sz val="8"/>
            <color indexed="81"/>
            <rFont val="Tahoma"/>
            <family val="2"/>
          </rPr>
          <t xml:space="preserve">
</t>
        </r>
      </text>
    </comment>
    <comment ref="A199" authorId="0" shapeId="0" xr:uid="{00000000-0006-0000-0600-00001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00" authorId="0" shapeId="0" xr:uid="{00000000-0006-0000-0600-000018000000}">
      <text>
        <r>
          <rPr>
            <b/>
            <sz val="8"/>
            <color indexed="81"/>
            <rFont val="Tahoma"/>
            <family val="2"/>
          </rPr>
          <t>Mary Wiencke:</t>
        </r>
        <r>
          <rPr>
            <sz val="8"/>
            <color indexed="81"/>
            <rFont val="Tahoma"/>
            <family val="2"/>
          </rPr>
          <t xml:space="preserve">
Initial allocation plus unpaid rolled from previous year.
</t>
        </r>
      </text>
    </comment>
    <comment ref="A201" authorId="0" shapeId="0" xr:uid="{00000000-0006-0000-0600-00001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02" authorId="0" shapeId="0" xr:uid="{00000000-0006-0000-0600-00001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03" authorId="0" shapeId="0" xr:uid="{00000000-0006-0000-0600-00001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04" authorId="0" shapeId="0" xr:uid="{00000000-0006-0000-0600-00001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23" authorId="0" shapeId="0" xr:uid="{00000000-0006-0000-0600-00001D000000}">
      <text>
        <r>
          <rPr>
            <b/>
            <sz val="8"/>
            <color indexed="81"/>
            <rFont val="Tahoma"/>
            <family val="2"/>
          </rPr>
          <t xml:space="preserve">Mary Wiencke:  Amount initially allocated to each fund each year.
</t>
        </r>
        <r>
          <rPr>
            <sz val="8"/>
            <color indexed="81"/>
            <rFont val="Tahoma"/>
            <family val="2"/>
          </rPr>
          <t xml:space="preserve">
</t>
        </r>
      </text>
    </comment>
    <comment ref="A224" authorId="0" shapeId="0" xr:uid="{00000000-0006-0000-0600-00001E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25" authorId="0" shapeId="0" xr:uid="{00000000-0006-0000-0600-00001F000000}">
      <text>
        <r>
          <rPr>
            <b/>
            <sz val="8"/>
            <color indexed="81"/>
            <rFont val="Tahoma"/>
            <family val="2"/>
          </rPr>
          <t>Mary Wiencke:</t>
        </r>
        <r>
          <rPr>
            <sz val="8"/>
            <color indexed="81"/>
            <rFont val="Tahoma"/>
            <family val="2"/>
          </rPr>
          <t xml:space="preserve">
Initial allocation plus unpaid rolled from previous year.
</t>
        </r>
      </text>
    </comment>
    <comment ref="A226" authorId="0" shapeId="0" xr:uid="{00000000-0006-0000-0600-000020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27" authorId="0" shapeId="0" xr:uid="{00000000-0006-0000-0600-000021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28" authorId="0" shapeId="0" xr:uid="{00000000-0006-0000-0600-000022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29" authorId="0" shapeId="0" xr:uid="{00000000-0006-0000-0600-000023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52" authorId="0" shapeId="0" xr:uid="{00000000-0006-0000-0600-000024000000}">
      <text>
        <r>
          <rPr>
            <b/>
            <sz val="8"/>
            <color indexed="81"/>
            <rFont val="Tahoma"/>
            <family val="2"/>
          </rPr>
          <t xml:space="preserve">Mary Wiencke:  Amount initially allocated to each fund each year.
</t>
        </r>
        <r>
          <rPr>
            <sz val="8"/>
            <color indexed="81"/>
            <rFont val="Tahoma"/>
            <family val="2"/>
          </rPr>
          <t xml:space="preserve">
</t>
        </r>
      </text>
    </comment>
    <comment ref="A253" authorId="0" shapeId="0" xr:uid="{00000000-0006-0000-06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54" authorId="0" shapeId="0" xr:uid="{00000000-0006-0000-0600-000026000000}">
      <text>
        <r>
          <rPr>
            <b/>
            <sz val="8"/>
            <color indexed="81"/>
            <rFont val="Tahoma"/>
            <family val="2"/>
          </rPr>
          <t>Mary Wiencke:</t>
        </r>
        <r>
          <rPr>
            <sz val="8"/>
            <color indexed="81"/>
            <rFont val="Tahoma"/>
            <family val="2"/>
          </rPr>
          <t xml:space="preserve">
Initial allocation plus unpaid rolled from previous year.
</t>
        </r>
      </text>
    </comment>
    <comment ref="A255" authorId="0" shapeId="0" xr:uid="{00000000-0006-0000-06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56" authorId="0" shapeId="0" xr:uid="{00000000-0006-0000-06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57" authorId="0" shapeId="0" xr:uid="{00000000-0006-0000-06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58" authorId="0" shapeId="0" xr:uid="{00000000-0006-0000-06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4E3436F0-0CC2-4417-9089-A2695BC777B8}">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0AC7EBEB-9050-4CB3-8058-EEE873428BC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78234562-09DD-4915-A6AA-2A548B6E5DB1}">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BFA138D1-8ACB-4AD2-AD4D-94C6630DA524}">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D4D5E356-F15F-4DC9-BFFC-98DD5A225C5F}">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DBD139BD-E28F-473C-A790-5E7C32EB3CA3}">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735E302A-F720-4E6D-8EA8-B13462B0D834}">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4" authorId="0" shapeId="0" xr:uid="{0D0BE4F9-E36A-406B-9C06-DAD0F3077E5E}">
      <text>
        <r>
          <rPr>
            <b/>
            <sz val="8"/>
            <color indexed="81"/>
            <rFont val="Tahoma"/>
            <family val="2"/>
          </rPr>
          <t xml:space="preserve">Mary Wiencke:  Amount initially allocated to each fund each year.
</t>
        </r>
        <r>
          <rPr>
            <sz val="8"/>
            <color indexed="81"/>
            <rFont val="Tahoma"/>
            <family val="2"/>
          </rPr>
          <t xml:space="preserve">
</t>
        </r>
      </text>
    </comment>
    <comment ref="A25" authorId="0" shapeId="0" xr:uid="{1AA8A4B0-8414-476F-A2CD-3566BBB7A6BC}">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6" authorId="0" shapeId="0" xr:uid="{C0C5B6A9-E897-459E-9E12-7B22592FB131}">
      <text>
        <r>
          <rPr>
            <b/>
            <sz val="8"/>
            <color indexed="81"/>
            <rFont val="Tahoma"/>
            <family val="2"/>
          </rPr>
          <t>Mary Wiencke:</t>
        </r>
        <r>
          <rPr>
            <sz val="8"/>
            <color indexed="81"/>
            <rFont val="Tahoma"/>
            <family val="2"/>
          </rPr>
          <t xml:space="preserve">
Initial allocation plus unpaid rolled from previous year.
</t>
        </r>
      </text>
    </comment>
    <comment ref="A27" authorId="0" shapeId="0" xr:uid="{48601794-2F7C-4638-898D-03B57790901A}">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8" authorId="0" shapeId="0" xr:uid="{29A2776F-B639-4FC3-BD65-1AC4C53F9A67}">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9" authorId="0" shapeId="0" xr:uid="{68DC6FC6-93B2-4C08-B77B-273C2B9A785D}">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30" authorId="0" shapeId="0" xr:uid="{2164FB55-F83D-4CA8-81E6-63EF34ED594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44" authorId="0" shapeId="0" xr:uid="{CE63AC83-7EFC-44FB-B8FE-091B1C31A4B8}">
      <text>
        <r>
          <rPr>
            <b/>
            <sz val="8"/>
            <color indexed="81"/>
            <rFont val="Tahoma"/>
            <family val="2"/>
          </rPr>
          <t xml:space="preserve">Mary Wiencke:  Amount initially allocated to each fund each year.
</t>
        </r>
        <r>
          <rPr>
            <sz val="8"/>
            <color indexed="81"/>
            <rFont val="Tahoma"/>
            <family val="2"/>
          </rPr>
          <t xml:space="preserve">
</t>
        </r>
      </text>
    </comment>
    <comment ref="A45" authorId="0" shapeId="0" xr:uid="{B82DEBB9-EE99-47AA-B1FE-FFD71CB926A1}">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46" authorId="0" shapeId="0" xr:uid="{59D9C82D-B78E-4D9F-A908-920BF0001043}">
      <text>
        <r>
          <rPr>
            <b/>
            <sz val="8"/>
            <color indexed="81"/>
            <rFont val="Tahoma"/>
            <family val="2"/>
          </rPr>
          <t>Mary Wiencke:</t>
        </r>
        <r>
          <rPr>
            <sz val="8"/>
            <color indexed="81"/>
            <rFont val="Tahoma"/>
            <family val="2"/>
          </rPr>
          <t xml:space="preserve">
Initial allocation plus unpaid rolled from previous year.
</t>
        </r>
      </text>
    </comment>
    <comment ref="A47" authorId="0" shapeId="0" xr:uid="{D2E01DA6-E415-4FD7-A2C8-ADE2AD3D537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48" authorId="0" shapeId="0" xr:uid="{47E92FFF-A427-4CFA-B5C8-67A313F708E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49" authorId="0" shapeId="0" xr:uid="{52E582B1-13E6-4BD6-9656-147686BC5DA3}">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50" authorId="0" shapeId="0" xr:uid="{3C3C2C1F-7350-4BBC-A17D-8A52BEB62902}">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5" authorId="0" shapeId="0" xr:uid="{00000000-0006-0000-0700-000001000000}">
      <text>
        <r>
          <rPr>
            <b/>
            <sz val="8"/>
            <color indexed="81"/>
            <rFont val="Tahoma"/>
            <family val="2"/>
          </rPr>
          <t xml:space="preserve">Mary Wiencke:  Amount initially allocated to each fund each year.
</t>
        </r>
        <r>
          <rPr>
            <sz val="8"/>
            <color indexed="81"/>
            <rFont val="Tahoma"/>
            <family val="2"/>
          </rPr>
          <t xml:space="preserve">
</t>
        </r>
      </text>
    </comment>
    <comment ref="A66" authorId="0" shapeId="0" xr:uid="{00000000-0006-0000-0700-000002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7" authorId="0" shapeId="0" xr:uid="{00000000-0006-0000-0700-000003000000}">
      <text>
        <r>
          <rPr>
            <b/>
            <sz val="8"/>
            <color indexed="81"/>
            <rFont val="Tahoma"/>
            <family val="2"/>
          </rPr>
          <t>Mary Wiencke:</t>
        </r>
        <r>
          <rPr>
            <sz val="8"/>
            <color indexed="81"/>
            <rFont val="Tahoma"/>
            <family val="2"/>
          </rPr>
          <t xml:space="preserve">
Initial allocation plus unpaid rolled from previous year.
</t>
        </r>
      </text>
    </comment>
    <comment ref="A68" authorId="0" shapeId="0" xr:uid="{00000000-0006-0000-0700-000004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69" authorId="0" shapeId="0" xr:uid="{00000000-0006-0000-0700-000005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0" authorId="0" shapeId="0" xr:uid="{00000000-0006-0000-0700-000006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1" authorId="0" shapeId="0" xr:uid="{00000000-0006-0000-0700-000007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86" authorId="0" shapeId="0" xr:uid="{00000000-0006-0000-0700-000008000000}">
      <text>
        <r>
          <rPr>
            <b/>
            <sz val="8"/>
            <color indexed="81"/>
            <rFont val="Tahoma"/>
            <family val="2"/>
          </rPr>
          <t xml:space="preserve">Mary Wiencke:  Amount initially allocated to each fund each year.
</t>
        </r>
        <r>
          <rPr>
            <sz val="8"/>
            <color indexed="81"/>
            <rFont val="Tahoma"/>
            <family val="2"/>
          </rPr>
          <t xml:space="preserve">
</t>
        </r>
      </text>
    </comment>
    <comment ref="A87" authorId="0" shapeId="0" xr:uid="{00000000-0006-0000-0700-00000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88" authorId="0" shapeId="0" xr:uid="{00000000-0006-0000-0700-00000A000000}">
      <text>
        <r>
          <rPr>
            <b/>
            <sz val="8"/>
            <color indexed="81"/>
            <rFont val="Tahoma"/>
            <family val="2"/>
          </rPr>
          <t>Mary Wiencke:</t>
        </r>
        <r>
          <rPr>
            <sz val="8"/>
            <color indexed="81"/>
            <rFont val="Tahoma"/>
            <family val="2"/>
          </rPr>
          <t xml:space="preserve">
Initial allocation plus unpaid rolled from previous year.
</t>
        </r>
      </text>
    </comment>
    <comment ref="A89" authorId="0" shapeId="0" xr:uid="{00000000-0006-0000-0700-00000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90" authorId="0" shapeId="0" xr:uid="{00000000-0006-0000-0700-00000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1" authorId="0" shapeId="0" xr:uid="{00000000-0006-0000-0700-00000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92" authorId="0" shapeId="0" xr:uid="{00000000-0006-0000-0700-00000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07" authorId="0" shapeId="0" xr:uid="{00000000-0006-0000-0700-00000F000000}">
      <text>
        <r>
          <rPr>
            <b/>
            <sz val="8"/>
            <color indexed="81"/>
            <rFont val="Tahoma"/>
            <family val="2"/>
          </rPr>
          <t xml:space="preserve">Mary Wiencke:  Amount initially allocated to each fund each year.
</t>
        </r>
        <r>
          <rPr>
            <sz val="8"/>
            <color indexed="81"/>
            <rFont val="Tahoma"/>
            <family val="2"/>
          </rPr>
          <t xml:space="preserve">
</t>
        </r>
      </text>
    </comment>
    <comment ref="A108" authorId="0" shapeId="0" xr:uid="{00000000-0006-0000-0700-000010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09" authorId="0" shapeId="0" xr:uid="{00000000-0006-0000-0700-000011000000}">
      <text>
        <r>
          <rPr>
            <b/>
            <sz val="8"/>
            <color indexed="81"/>
            <rFont val="Tahoma"/>
            <family val="2"/>
          </rPr>
          <t>Mary Wiencke:</t>
        </r>
        <r>
          <rPr>
            <sz val="8"/>
            <color indexed="81"/>
            <rFont val="Tahoma"/>
            <family val="2"/>
          </rPr>
          <t xml:space="preserve">
Initial allocation plus unpaid rolled from previous year.
</t>
        </r>
      </text>
    </comment>
    <comment ref="A110" authorId="0" shapeId="0" xr:uid="{00000000-0006-0000-0700-000012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11" authorId="0" shapeId="0" xr:uid="{00000000-0006-0000-0700-00001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12" authorId="0" shapeId="0" xr:uid="{00000000-0006-0000-0700-000014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13" authorId="0" shapeId="0" xr:uid="{00000000-0006-0000-0700-000015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27" authorId="0" shapeId="0" xr:uid="{00000000-0006-0000-0700-000016000000}">
      <text>
        <r>
          <rPr>
            <b/>
            <sz val="8"/>
            <color indexed="81"/>
            <rFont val="Tahoma"/>
            <family val="2"/>
          </rPr>
          <t xml:space="preserve">Mary Wiencke:  Amount initially allocated to each fund each year.
</t>
        </r>
        <r>
          <rPr>
            <sz val="8"/>
            <color indexed="81"/>
            <rFont val="Tahoma"/>
            <family val="2"/>
          </rPr>
          <t xml:space="preserve">
</t>
        </r>
      </text>
    </comment>
    <comment ref="A128" authorId="0" shapeId="0" xr:uid="{00000000-0006-0000-0700-00001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29" authorId="0" shapeId="0" xr:uid="{00000000-0006-0000-0700-000018000000}">
      <text>
        <r>
          <rPr>
            <b/>
            <sz val="8"/>
            <color indexed="81"/>
            <rFont val="Tahoma"/>
            <family val="2"/>
          </rPr>
          <t>Mary Wiencke:</t>
        </r>
        <r>
          <rPr>
            <sz val="8"/>
            <color indexed="81"/>
            <rFont val="Tahoma"/>
            <family val="2"/>
          </rPr>
          <t xml:space="preserve">
Initial allocation plus unpaid rolled from previous year.
</t>
        </r>
      </text>
    </comment>
    <comment ref="A130" authorId="0" shapeId="0" xr:uid="{00000000-0006-0000-0700-00001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31" authorId="0" shapeId="0" xr:uid="{00000000-0006-0000-0700-00001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32" authorId="0" shapeId="0" xr:uid="{00000000-0006-0000-0700-00001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33" authorId="0" shapeId="0" xr:uid="{00000000-0006-0000-0700-00001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45" authorId="0" shapeId="0" xr:uid="{00000000-0006-0000-0700-00001D000000}">
      <text>
        <r>
          <rPr>
            <b/>
            <sz val="8"/>
            <color indexed="81"/>
            <rFont val="Tahoma"/>
            <family val="2"/>
          </rPr>
          <t xml:space="preserve">Mary Wiencke:  Amount initially allocated to each fund each year.
</t>
        </r>
        <r>
          <rPr>
            <sz val="8"/>
            <color indexed="81"/>
            <rFont val="Tahoma"/>
            <family val="2"/>
          </rPr>
          <t xml:space="preserve">
</t>
        </r>
      </text>
    </comment>
    <comment ref="A146" authorId="0" shapeId="0" xr:uid="{00000000-0006-0000-0700-00001E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47" authorId="0" shapeId="0" xr:uid="{00000000-0006-0000-0700-00001F000000}">
      <text>
        <r>
          <rPr>
            <b/>
            <sz val="8"/>
            <color indexed="81"/>
            <rFont val="Tahoma"/>
            <family val="2"/>
          </rPr>
          <t>Mary Wiencke:</t>
        </r>
        <r>
          <rPr>
            <sz val="8"/>
            <color indexed="81"/>
            <rFont val="Tahoma"/>
            <family val="2"/>
          </rPr>
          <t xml:space="preserve">
Initial allocation plus unpaid rolled from previous year.
</t>
        </r>
      </text>
    </comment>
    <comment ref="A148" authorId="0" shapeId="0" xr:uid="{00000000-0006-0000-0700-000020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49" authorId="0" shapeId="0" xr:uid="{00000000-0006-0000-0700-000021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50" authorId="0" shapeId="0" xr:uid="{00000000-0006-0000-0700-000022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51" authorId="0" shapeId="0" xr:uid="{00000000-0006-0000-0700-000023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77" authorId="0" shapeId="0" xr:uid="{00000000-0006-0000-0700-000024000000}">
      <text>
        <r>
          <rPr>
            <b/>
            <sz val="8"/>
            <color indexed="81"/>
            <rFont val="Tahoma"/>
            <family val="2"/>
          </rPr>
          <t xml:space="preserve">Mary Wiencke:  Amount initially allocated to each fund each year.
</t>
        </r>
        <r>
          <rPr>
            <sz val="8"/>
            <color indexed="81"/>
            <rFont val="Tahoma"/>
            <family val="2"/>
          </rPr>
          <t xml:space="preserve">
</t>
        </r>
      </text>
    </comment>
    <comment ref="A178" authorId="0" shapeId="0" xr:uid="{00000000-0006-0000-07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79" authorId="0" shapeId="0" xr:uid="{00000000-0006-0000-0700-000026000000}">
      <text>
        <r>
          <rPr>
            <b/>
            <sz val="8"/>
            <color indexed="81"/>
            <rFont val="Tahoma"/>
            <family val="2"/>
          </rPr>
          <t>Mary Wiencke:</t>
        </r>
        <r>
          <rPr>
            <sz val="8"/>
            <color indexed="81"/>
            <rFont val="Tahoma"/>
            <family val="2"/>
          </rPr>
          <t xml:space="preserve">
Initial allocation plus unpaid rolled from previous year.
</t>
        </r>
      </text>
    </comment>
    <comment ref="A180" authorId="0" shapeId="0" xr:uid="{00000000-0006-0000-07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81" authorId="0" shapeId="0" xr:uid="{00000000-0006-0000-07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82" authorId="0" shapeId="0" xr:uid="{00000000-0006-0000-07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83" authorId="0" shapeId="0" xr:uid="{00000000-0006-0000-07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99" authorId="0" shapeId="0" xr:uid="{00000000-0006-0000-0700-00002B000000}">
      <text>
        <r>
          <rPr>
            <b/>
            <sz val="8"/>
            <color indexed="81"/>
            <rFont val="Tahoma"/>
            <family val="2"/>
          </rPr>
          <t xml:space="preserve">Mary Wiencke:  Amount initially allocated to each fund each year.
</t>
        </r>
        <r>
          <rPr>
            <sz val="8"/>
            <color indexed="81"/>
            <rFont val="Tahoma"/>
            <family val="2"/>
          </rPr>
          <t xml:space="preserve">
</t>
        </r>
      </text>
    </comment>
    <comment ref="A200" authorId="0" shapeId="0" xr:uid="{00000000-0006-0000-0700-00002C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01" authorId="0" shapeId="0" xr:uid="{00000000-0006-0000-0700-00002D000000}">
      <text>
        <r>
          <rPr>
            <b/>
            <sz val="8"/>
            <color indexed="81"/>
            <rFont val="Tahoma"/>
            <family val="2"/>
          </rPr>
          <t>Mary Wiencke:</t>
        </r>
        <r>
          <rPr>
            <sz val="8"/>
            <color indexed="81"/>
            <rFont val="Tahoma"/>
            <family val="2"/>
          </rPr>
          <t xml:space="preserve">
Initial allocation plus unpaid rolled from previous year.
</t>
        </r>
      </text>
    </comment>
    <comment ref="A202" authorId="0" shapeId="0" xr:uid="{00000000-0006-0000-0700-00002E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03" authorId="0" shapeId="0" xr:uid="{00000000-0006-0000-0700-00002F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04" authorId="0" shapeId="0" xr:uid="{00000000-0006-0000-0700-000030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205" authorId="0" shapeId="0" xr:uid="{00000000-0006-0000-0700-000031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5" authorId="0" shapeId="0" xr:uid="{65B9B10A-B49A-409C-8F2D-A0D9A90C799D}">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9A1D9049-68B4-45FE-8C62-32E7319FB22C}">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251A4ED9-5BD1-4EB0-8980-19982D6C9024}">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6F917DD2-30DD-4924-A209-D6D96450542E}">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1F6F33AB-422C-41DC-A50A-9AF306FD3BFF}">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0F25464B-D268-4F71-B068-B28A4E4DBD04}">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25" authorId="0" shapeId="0" xr:uid="{C8292B99-4212-41BE-8FA0-E7630CB1895D}">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26" authorId="0" shapeId="0" xr:uid="{C4EE35F2-C0B4-40F3-BA48-C8C4A2BE545C}">
      <text>
        <r>
          <rPr>
            <b/>
            <sz val="8"/>
            <color indexed="81"/>
            <rFont val="Tahoma"/>
            <family val="2"/>
          </rPr>
          <t>Mary Wiencke:</t>
        </r>
        <r>
          <rPr>
            <sz val="8"/>
            <color indexed="81"/>
            <rFont val="Tahoma"/>
            <family val="2"/>
          </rPr>
          <t xml:space="preserve">
Initial allocation plus unpaid rolled from previous year.
</t>
        </r>
      </text>
    </comment>
    <comment ref="A27" authorId="0" shapeId="0" xr:uid="{FE9CCBFA-076C-4CBA-8CEE-390E4B9E145C}">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28" authorId="0" shapeId="0" xr:uid="{F1BD9AB8-0158-4625-A9DD-A1F2497C54A6}">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29" authorId="0" shapeId="0" xr:uid="{7D6E278E-ECC0-4B00-B6D0-5C1F7D6BD9A6}">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30" authorId="0" shapeId="0" xr:uid="{C553CAF5-3492-432E-AA67-D8361ECAC8E9}">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45" authorId="0" shapeId="0" xr:uid="{10FDC761-F20B-449B-B276-0617897E730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46" authorId="0" shapeId="0" xr:uid="{88C709EC-4734-4BE2-BA79-FFAC221ED50E}">
      <text>
        <r>
          <rPr>
            <b/>
            <sz val="8"/>
            <color indexed="81"/>
            <rFont val="Tahoma"/>
            <family val="2"/>
          </rPr>
          <t>Mary Wiencke:</t>
        </r>
        <r>
          <rPr>
            <sz val="8"/>
            <color indexed="81"/>
            <rFont val="Tahoma"/>
            <family val="2"/>
          </rPr>
          <t xml:space="preserve">
Initial allocation plus unpaid rolled from previous year.
</t>
        </r>
      </text>
    </comment>
    <comment ref="A47" authorId="0" shapeId="0" xr:uid="{E9C60B51-5804-44A1-83B3-119C782691E6}">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48" authorId="0" shapeId="0" xr:uid="{981064C4-F527-4550-A1FA-7D5F1EB53F6E}">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49" authorId="0" shapeId="0" xr:uid="{B46F7572-3D5F-4646-956E-C1B15DF342FF}">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50" authorId="0" shapeId="0" xr:uid="{4599C717-623F-44B5-A8B9-91CEE183660C}">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7" authorId="0" shapeId="0" xr:uid="{00000000-0006-0000-0900-000001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8" authorId="0" shapeId="0" xr:uid="{00000000-0006-0000-0900-000002000000}">
      <text>
        <r>
          <rPr>
            <b/>
            <sz val="8"/>
            <color indexed="81"/>
            <rFont val="Tahoma"/>
            <family val="2"/>
          </rPr>
          <t>Mary Wiencke:</t>
        </r>
        <r>
          <rPr>
            <sz val="8"/>
            <color indexed="81"/>
            <rFont val="Tahoma"/>
            <family val="2"/>
          </rPr>
          <t xml:space="preserve">
Initial allocation plus unpaid rolled from previous year.
</t>
        </r>
      </text>
    </comment>
    <comment ref="A69" authorId="0" shapeId="0" xr:uid="{00000000-0006-0000-0900-000003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70" authorId="0" shapeId="0" xr:uid="{00000000-0006-0000-0900-000004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1" authorId="0" shapeId="0" xr:uid="{00000000-0006-0000-0900-000005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72" authorId="0" shapeId="0" xr:uid="{00000000-0006-0000-0900-000006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88" authorId="0" shapeId="0" xr:uid="{00000000-0006-0000-0900-000007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89" authorId="0" shapeId="0" xr:uid="{00000000-0006-0000-0900-000008000000}">
      <text>
        <r>
          <rPr>
            <b/>
            <sz val="8"/>
            <color indexed="81"/>
            <rFont val="Tahoma"/>
            <family val="2"/>
          </rPr>
          <t>Mary Wiencke:</t>
        </r>
        <r>
          <rPr>
            <sz val="8"/>
            <color indexed="81"/>
            <rFont val="Tahoma"/>
            <family val="2"/>
          </rPr>
          <t xml:space="preserve">
Initial allocation plus unpaid rolled from previous year.
</t>
        </r>
      </text>
    </comment>
    <comment ref="A90" authorId="0" shapeId="0" xr:uid="{00000000-0006-0000-0900-000009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91" authorId="0" shapeId="0" xr:uid="{00000000-0006-0000-0900-00000A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2" authorId="0" shapeId="0" xr:uid="{00000000-0006-0000-0900-00000B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93" authorId="0" shapeId="0" xr:uid="{00000000-0006-0000-0900-00000C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09" authorId="0" shapeId="0" xr:uid="{00000000-0006-0000-0900-00000D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10" authorId="0" shapeId="0" xr:uid="{00000000-0006-0000-0900-00000E000000}">
      <text>
        <r>
          <rPr>
            <b/>
            <sz val="8"/>
            <color indexed="81"/>
            <rFont val="Tahoma"/>
            <family val="2"/>
          </rPr>
          <t>Mary Wiencke:</t>
        </r>
        <r>
          <rPr>
            <sz val="8"/>
            <color indexed="81"/>
            <rFont val="Tahoma"/>
            <family val="2"/>
          </rPr>
          <t xml:space="preserve">
Initial allocation plus unpaid rolled from previous year.
</t>
        </r>
      </text>
    </comment>
    <comment ref="A111" authorId="0" shapeId="0" xr:uid="{00000000-0006-0000-0900-00000F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12" authorId="0" shapeId="0" xr:uid="{00000000-0006-0000-0900-000010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13" authorId="0" shapeId="0" xr:uid="{00000000-0006-0000-0900-000011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14" authorId="0" shapeId="0" xr:uid="{00000000-0006-0000-0900-000012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30" authorId="0" shapeId="0" xr:uid="{00000000-0006-0000-0900-000013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31" authorId="0" shapeId="0" xr:uid="{00000000-0006-0000-0900-000014000000}">
      <text>
        <r>
          <rPr>
            <b/>
            <sz val="8"/>
            <color indexed="81"/>
            <rFont val="Tahoma"/>
            <family val="2"/>
          </rPr>
          <t>Mary Wiencke:</t>
        </r>
        <r>
          <rPr>
            <sz val="8"/>
            <color indexed="81"/>
            <rFont val="Tahoma"/>
            <family val="2"/>
          </rPr>
          <t xml:space="preserve">
Initial allocation plus unpaid rolled from previous year.
</t>
        </r>
      </text>
    </comment>
    <comment ref="A132" authorId="0" shapeId="0" xr:uid="{00000000-0006-0000-0900-000015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33" authorId="0" shapeId="0" xr:uid="{00000000-0006-0000-0900-000016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34" authorId="0" shapeId="0" xr:uid="{00000000-0006-0000-0900-000017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35" authorId="0" shapeId="0" xr:uid="{00000000-0006-0000-0900-000018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51" authorId="0" shapeId="0" xr:uid="{00000000-0006-0000-0900-000019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52" authorId="0" shapeId="0" xr:uid="{00000000-0006-0000-0900-00001A000000}">
      <text>
        <r>
          <rPr>
            <b/>
            <sz val="8"/>
            <color indexed="81"/>
            <rFont val="Tahoma"/>
            <family val="2"/>
          </rPr>
          <t>Mary Wiencke:</t>
        </r>
        <r>
          <rPr>
            <sz val="8"/>
            <color indexed="81"/>
            <rFont val="Tahoma"/>
            <family val="2"/>
          </rPr>
          <t xml:space="preserve">
Initial allocation plus unpaid rolled from previous year.
</t>
        </r>
      </text>
    </comment>
    <comment ref="A153" authorId="0" shapeId="0" xr:uid="{00000000-0006-0000-0900-00001B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54" authorId="0" shapeId="0" xr:uid="{00000000-0006-0000-0900-00001C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55" authorId="0" shapeId="0" xr:uid="{00000000-0006-0000-0900-00001D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56" authorId="0" shapeId="0" xr:uid="{00000000-0006-0000-0900-00001E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72" authorId="0" shapeId="0" xr:uid="{00000000-0006-0000-0900-00001F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73" authorId="0" shapeId="0" xr:uid="{00000000-0006-0000-0900-000020000000}">
      <text>
        <r>
          <rPr>
            <b/>
            <sz val="8"/>
            <color indexed="81"/>
            <rFont val="Tahoma"/>
            <family val="2"/>
          </rPr>
          <t>Mary Wiencke:</t>
        </r>
        <r>
          <rPr>
            <sz val="8"/>
            <color indexed="81"/>
            <rFont val="Tahoma"/>
            <family val="2"/>
          </rPr>
          <t xml:space="preserve">
Initial allocation plus unpaid rolled from previous year.
</t>
        </r>
      </text>
    </comment>
    <comment ref="A174" authorId="0" shapeId="0" xr:uid="{00000000-0006-0000-0900-000021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75" authorId="0" shapeId="0" xr:uid="{00000000-0006-0000-0900-000022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76" authorId="0" shapeId="0" xr:uid="{00000000-0006-0000-0900-000023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77" authorId="0" shapeId="0" xr:uid="{00000000-0006-0000-0900-000024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192" authorId="0" shapeId="0" xr:uid="{00000000-0006-0000-0900-000025000000}">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193" authorId="0" shapeId="0" xr:uid="{00000000-0006-0000-0900-000026000000}">
      <text>
        <r>
          <rPr>
            <b/>
            <sz val="8"/>
            <color indexed="81"/>
            <rFont val="Tahoma"/>
            <family val="2"/>
          </rPr>
          <t>Mary Wiencke:</t>
        </r>
        <r>
          <rPr>
            <sz val="8"/>
            <color indexed="81"/>
            <rFont val="Tahoma"/>
            <family val="2"/>
          </rPr>
          <t xml:space="preserve">
Initial allocation plus unpaid rolled from previous year.
</t>
        </r>
      </text>
    </comment>
    <comment ref="A194" authorId="0" shapeId="0" xr:uid="{00000000-0006-0000-0900-000027000000}">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195" authorId="0" shapeId="0" xr:uid="{00000000-0006-0000-0900-000028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196" authorId="0" shapeId="0" xr:uid="{00000000-0006-0000-0900-000029000000}">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97" authorId="0" shapeId="0" xr:uid="{00000000-0006-0000-0900-00002A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4A2C9971-23A4-49FA-9668-48CE8506442A}">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B47C5E99-AE9C-4B3E-B723-B9377A76E23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 authorId="0" shapeId="0" xr:uid="{6F2DBDBA-4C6A-4F5B-8D5C-A24000A011E2}">
      <text>
        <r>
          <rPr>
            <b/>
            <sz val="8"/>
            <color indexed="81"/>
            <rFont val="Tahoma"/>
            <family val="2"/>
          </rPr>
          <t>Mary Wiencke:</t>
        </r>
        <r>
          <rPr>
            <sz val="8"/>
            <color indexed="81"/>
            <rFont val="Tahoma"/>
            <family val="2"/>
          </rPr>
          <t xml:space="preserve">
Initial allocation plus unpaid rolled from previous year.
</t>
        </r>
      </text>
    </comment>
    <comment ref="A7" authorId="0" shapeId="0" xr:uid="{29DC7FCB-4D42-4878-9DDC-AD38BF8FAC78}">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8" authorId="0" shapeId="0" xr:uid="{9CB8938D-5158-40C8-B82C-D65697E61527}">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9" authorId="0" shapeId="0" xr:uid="{A8383698-C5D4-4E0F-AD40-D7A1B88E3453}">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10" authorId="0" shapeId="0" xr:uid="{D47019E1-7040-40D9-9585-680DA8EC40E2}">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30" authorId="0" shapeId="0" xr:uid="{62E4AD8A-43FF-4E4A-8359-45C5CABC55C1}">
      <text>
        <r>
          <rPr>
            <b/>
            <sz val="8"/>
            <color indexed="81"/>
            <rFont val="Tahoma"/>
            <family val="2"/>
          </rPr>
          <t xml:space="preserve">Mary Wiencke:  Amount initially allocated to each fund each year.
</t>
        </r>
        <r>
          <rPr>
            <sz val="8"/>
            <color indexed="81"/>
            <rFont val="Tahoma"/>
            <family val="2"/>
          </rPr>
          <t xml:space="preserve">
</t>
        </r>
      </text>
    </comment>
    <comment ref="A31" authorId="0" shapeId="0" xr:uid="{F01DCC3E-5B59-4CE7-A4A8-ACD3A02648A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32" authorId="0" shapeId="0" xr:uid="{944891F7-DBDA-460F-9AC7-9651ECC20E17}">
      <text>
        <r>
          <rPr>
            <b/>
            <sz val="8"/>
            <color indexed="81"/>
            <rFont val="Tahoma"/>
            <family val="2"/>
          </rPr>
          <t>Mary Wiencke:</t>
        </r>
        <r>
          <rPr>
            <sz val="8"/>
            <color indexed="81"/>
            <rFont val="Tahoma"/>
            <family val="2"/>
          </rPr>
          <t xml:space="preserve">
Initial allocation plus unpaid rolled from previous year.
</t>
        </r>
      </text>
    </comment>
    <comment ref="A33" authorId="0" shapeId="0" xr:uid="{B4BDF734-F4C6-4899-8C29-66400196E943}">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34" authorId="0" shapeId="0" xr:uid="{8884F028-E25D-47AC-8FB4-958E1488274E}">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35" authorId="0" shapeId="0" xr:uid="{D67C369E-C032-4CE5-9DC3-1D432746B4E1}">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36" authorId="0" shapeId="0" xr:uid="{E59FB85E-3D48-452B-AB0C-0AD031939B39}">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 ref="A61" authorId="0" shapeId="0" xr:uid="{0D71E41E-A253-419E-A1EC-965CE4723246}">
      <text>
        <r>
          <rPr>
            <b/>
            <sz val="8"/>
            <color indexed="81"/>
            <rFont val="Tahoma"/>
            <family val="2"/>
          </rPr>
          <t xml:space="preserve">Mary Wiencke:  Amount initially allocated to each fund each year.
</t>
        </r>
        <r>
          <rPr>
            <sz val="8"/>
            <color indexed="81"/>
            <rFont val="Tahoma"/>
            <family val="2"/>
          </rPr>
          <t xml:space="preserve">
</t>
        </r>
      </text>
    </comment>
    <comment ref="A62" authorId="0" shapeId="0" xr:uid="{474154B2-B98D-423D-B057-8838A6FEA41A}">
      <text>
        <r>
          <rPr>
            <b/>
            <sz val="8"/>
            <color indexed="81"/>
            <rFont val="Tahoma"/>
            <family val="2"/>
          </rPr>
          <t xml:space="preserve">Mary Wiencke:
Unpaid balance rolled from previous year.  (max = initial allocation amount)
</t>
        </r>
        <r>
          <rPr>
            <sz val="8"/>
            <color indexed="81"/>
            <rFont val="Tahoma"/>
            <family val="2"/>
          </rPr>
          <t xml:space="preserve">
</t>
        </r>
      </text>
    </comment>
    <comment ref="A63" authorId="0" shapeId="0" xr:uid="{4C24CEA1-1F85-4852-98FB-FE0C9D8B940B}">
      <text>
        <r>
          <rPr>
            <b/>
            <sz val="8"/>
            <color indexed="81"/>
            <rFont val="Tahoma"/>
            <family val="2"/>
          </rPr>
          <t>Mary Wiencke:</t>
        </r>
        <r>
          <rPr>
            <sz val="8"/>
            <color indexed="81"/>
            <rFont val="Tahoma"/>
            <family val="2"/>
          </rPr>
          <t xml:space="preserve">
Initial allocation plus unpaid rolled from previous year.
</t>
        </r>
      </text>
    </comment>
    <comment ref="A64" authorId="0" shapeId="0" xr:uid="{71B125B4-7290-457B-B6DE-FCDABE951496}">
      <text>
        <r>
          <rPr>
            <b/>
            <sz val="8"/>
            <color indexed="81"/>
            <rFont val="Tahoma"/>
            <family val="2"/>
          </rPr>
          <t>Mary Wiencke:  amount rolled from previous year, minus amount committed but not paid from previous year(s).</t>
        </r>
        <r>
          <rPr>
            <sz val="8"/>
            <color indexed="81"/>
            <rFont val="Tahoma"/>
            <family val="2"/>
          </rPr>
          <t xml:space="preserve">
</t>
        </r>
      </text>
    </comment>
    <comment ref="A65" authorId="0" shapeId="0" xr:uid="{EB24DA2A-71A2-4DE1-A663-C6972379E839}">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66" authorId="0" shapeId="0" xr:uid="{9BB6716B-67CC-402C-8B2B-496D20F05D4E}">
      <text>
        <r>
          <rPr>
            <b/>
            <sz val="8"/>
            <color indexed="81"/>
            <rFont val="Tahoma"/>
            <family val="2"/>
          </rPr>
          <t>Mary Wiencke:</t>
        </r>
        <r>
          <rPr>
            <sz val="8"/>
            <color indexed="81"/>
            <rFont val="Tahoma"/>
            <family val="2"/>
          </rPr>
          <t xml:space="preserve">
Initial allocation plus amount rolled over from previous year, minus amount paid this year.</t>
        </r>
      </text>
    </comment>
    <comment ref="A67" authorId="0" shapeId="0" xr:uid="{2560B91A-3403-4594-98A6-87BA8C07A2DE}">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Mary Wienche</author>
  </authors>
  <commentList>
    <comment ref="A4" authorId="0" shapeId="0" xr:uid="{00000000-0006-0000-0A00-000001000000}">
      <text>
        <r>
          <rPr>
            <b/>
            <sz val="8"/>
            <color indexed="81"/>
            <rFont val="Tahoma"/>
            <family val="2"/>
          </rPr>
          <t xml:space="preserve">Mary Wiencke:  Amount initially allocated to each fund each year.
</t>
        </r>
        <r>
          <rPr>
            <sz val="8"/>
            <color indexed="81"/>
            <rFont val="Tahoma"/>
            <family val="2"/>
          </rPr>
          <t xml:space="preserve">
</t>
        </r>
      </text>
    </comment>
    <comment ref="A5" authorId="0" shapeId="0" xr:uid="{00000000-0006-0000-0A00-000002000000}">
      <text>
        <r>
          <rPr>
            <b/>
            <sz val="8"/>
            <color indexed="81"/>
            <rFont val="Tahoma"/>
            <family val="2"/>
          </rPr>
          <t>Mary Wiencke:</t>
        </r>
        <r>
          <rPr>
            <sz val="8"/>
            <color indexed="81"/>
            <rFont val="Tahoma"/>
            <family val="2"/>
          </rPr>
          <t xml:space="preserve">
Initial allocation plus unpaid rolled from previous year.
</t>
        </r>
      </text>
    </comment>
    <comment ref="A6" authorId="0" shapeId="0" xr:uid="{00000000-0006-0000-0A00-000003000000}">
      <text>
        <r>
          <rPr>
            <b/>
            <sz val="8"/>
            <color indexed="81"/>
            <rFont val="Tahoma"/>
            <family val="2"/>
          </rPr>
          <t>Mary Wienche:</t>
        </r>
        <r>
          <rPr>
            <sz val="8"/>
            <color indexed="81"/>
            <rFont val="Tahoma"/>
            <family val="2"/>
          </rPr>
          <t xml:space="preserve">
intial allocation plus amount rolled from previous year, minus amount committed not paid from previous year(s).  
</t>
        </r>
      </text>
    </comment>
    <comment ref="A7" authorId="0" shapeId="0" xr:uid="{00000000-0006-0000-0A00-000004000000}">
      <text>
        <r>
          <rPr>
            <b/>
            <sz val="8"/>
            <color indexed="81"/>
            <rFont val="Tahoma"/>
            <family val="2"/>
          </rPr>
          <t>Mary Wiencke:  Initial allocation plus amount rolled from previous year minus amount paid this year, minus amount committed from previous year(s) but not paid, and minus amount committed this year but not paid.</t>
        </r>
        <r>
          <rPr>
            <sz val="8"/>
            <color indexed="81"/>
            <rFont val="Tahoma"/>
            <family val="2"/>
          </rPr>
          <t xml:space="preserve">
</t>
        </r>
      </text>
    </comment>
  </commentList>
</comments>
</file>

<file path=xl/sharedStrings.xml><?xml version="1.0" encoding="utf-8"?>
<sst xmlns="http://schemas.openxmlformats.org/spreadsheetml/2006/main" count="4391" uniqueCount="1161">
  <si>
    <t>Intervenor Funding: Certifications and Deferrals</t>
  </si>
  <si>
    <t>Party Requesting</t>
  </si>
  <si>
    <t>Order No.</t>
  </si>
  <si>
    <t>Order Date</t>
  </si>
  <si>
    <t>Docket No.</t>
  </si>
  <si>
    <t>Notes</t>
  </si>
  <si>
    <t>Precertification</t>
  </si>
  <si>
    <t>Case Certification</t>
  </si>
  <si>
    <t>Deferrals</t>
  </si>
  <si>
    <t>Year</t>
  </si>
  <si>
    <t>CUB</t>
  </si>
  <si>
    <t>ICNU</t>
  </si>
  <si>
    <t>03-502</t>
  </si>
  <si>
    <t>UM 1095</t>
  </si>
  <si>
    <t>NWN</t>
  </si>
  <si>
    <t>03-559</t>
  </si>
  <si>
    <t>UM 1101</t>
  </si>
  <si>
    <t>All funds</t>
  </si>
  <si>
    <t>NWIGU</t>
  </si>
  <si>
    <t>04-055</t>
  </si>
  <si>
    <t>UM 1127</t>
  </si>
  <si>
    <t>Approved</t>
  </si>
  <si>
    <t>AOI</t>
  </si>
  <si>
    <t>04-303</t>
  </si>
  <si>
    <t>UM 1121</t>
  </si>
  <si>
    <t>NW Energy Coalition</t>
  </si>
  <si>
    <t>04-676</t>
  </si>
  <si>
    <t>UM 1169</t>
  </si>
  <si>
    <t>Denied</t>
  </si>
  <si>
    <t>UM 1050</t>
  </si>
  <si>
    <t>IFA</t>
  </si>
  <si>
    <t>UE 170</t>
  </si>
  <si>
    <t>KWUA/KOPWU</t>
  </si>
  <si>
    <t>05-134</t>
  </si>
  <si>
    <t xml:space="preserve">Party </t>
  </si>
  <si>
    <t>Uncommitted Balance</t>
  </si>
  <si>
    <t>Rollover Balance</t>
  </si>
  <si>
    <t>Payment Amount</t>
  </si>
  <si>
    <t xml:space="preserve">Docket No. </t>
  </si>
  <si>
    <t>Current Balance</t>
  </si>
  <si>
    <t>Payment Order No.</t>
  </si>
  <si>
    <t>Fund</t>
  </si>
  <si>
    <t>Issue</t>
  </si>
  <si>
    <t>TOTAL</t>
  </si>
  <si>
    <t xml:space="preserve">Matching </t>
  </si>
  <si>
    <t>Total Uncommitted</t>
  </si>
  <si>
    <t>Payment Pending</t>
  </si>
  <si>
    <t>Uncommitted Rollover</t>
  </si>
  <si>
    <t>Pending Payment</t>
  </si>
  <si>
    <t>UE 180/181</t>
  </si>
  <si>
    <t>06-264</t>
  </si>
  <si>
    <t>UE 179</t>
  </si>
  <si>
    <t>PGE</t>
  </si>
  <si>
    <t>PacifiCorp</t>
  </si>
  <si>
    <t>Matching</t>
  </si>
  <si>
    <t>Cascade</t>
  </si>
  <si>
    <t>Avista</t>
  </si>
  <si>
    <t>Annual Grant</t>
  </si>
  <si>
    <t>Cash Rollover</t>
  </si>
  <si>
    <t>Total Cash Budget</t>
  </si>
  <si>
    <t>Total Available Balance</t>
  </si>
  <si>
    <t>Committed Funds</t>
  </si>
  <si>
    <t>Intervenor Funds Summary 2008</t>
  </si>
  <si>
    <t>Date of Request or Budget Order No.</t>
  </si>
  <si>
    <t>Budget/ Request Amount</t>
  </si>
  <si>
    <t>Paid 2008</t>
  </si>
  <si>
    <t>Remainder Released</t>
  </si>
  <si>
    <t>Release remainder</t>
  </si>
  <si>
    <t>League of OR Cities</t>
  </si>
  <si>
    <t>06-267</t>
  </si>
  <si>
    <t>KWUA/Klamath Off-Project Water Users (KOPWU)</t>
  </si>
  <si>
    <t>UE 171</t>
  </si>
  <si>
    <t>UM 1103</t>
  </si>
  <si>
    <t>03-561</t>
  </si>
  <si>
    <t>PACIFIC</t>
  </si>
  <si>
    <t>03-560</t>
  </si>
  <si>
    <t>UM 1102</t>
  </si>
  <si>
    <t>CASCADE</t>
  </si>
  <si>
    <t>AVISTA</t>
  </si>
  <si>
    <t>UM 1356</t>
  </si>
  <si>
    <t>08-015</t>
  </si>
  <si>
    <t>UM 1336</t>
  </si>
  <si>
    <t>07-397</t>
  </si>
  <si>
    <t>UE 197</t>
  </si>
  <si>
    <t>Remainder released</t>
  </si>
  <si>
    <t>Docket No</t>
  </si>
  <si>
    <t>Approved Budget</t>
  </si>
  <si>
    <t>Amount Utilized</t>
  </si>
  <si>
    <t>Total</t>
  </si>
  <si>
    <t>08-328</t>
  </si>
  <si>
    <t>Final Payment</t>
  </si>
  <si>
    <t>Progress payment</t>
  </si>
  <si>
    <t>Final payment</t>
  </si>
  <si>
    <t>Partial payment</t>
  </si>
  <si>
    <t>UE 210</t>
  </si>
  <si>
    <t>Klamath Water Users Association (KWUA)</t>
  </si>
  <si>
    <t>09-173</t>
  </si>
  <si>
    <t>Amount Utilitized</t>
  </si>
  <si>
    <t xml:space="preserve">Final </t>
  </si>
  <si>
    <t>Release Remainder</t>
  </si>
  <si>
    <t>Final</t>
  </si>
  <si>
    <t>Idaho Power</t>
  </si>
  <si>
    <t>CUB MSP</t>
  </si>
  <si>
    <t>ICNU MSP</t>
  </si>
  <si>
    <t>PacifiCorp MSP</t>
  </si>
  <si>
    <t>UM 1635</t>
  </si>
  <si>
    <t>UM 1633</t>
  </si>
  <si>
    <t>Annual Grant plus rollover</t>
  </si>
  <si>
    <t>Annual Grant plus uncommitted rollover</t>
  </si>
  <si>
    <t>Total budget minus payments made</t>
  </si>
  <si>
    <t>Total Uncommitted minus payments made, minus payments pending</t>
  </si>
  <si>
    <t>Progress Payment</t>
  </si>
  <si>
    <t>UM 1654</t>
  </si>
  <si>
    <t xml:space="preserve"> </t>
  </si>
  <si>
    <t>UG 284</t>
  </si>
  <si>
    <t>14-363</t>
  </si>
  <si>
    <t>LC 60</t>
  </si>
  <si>
    <t>PGE 2015</t>
  </si>
  <si>
    <t>CUB 2015</t>
  </si>
  <si>
    <t>Matching 2015</t>
  </si>
  <si>
    <t>Issue 2015</t>
  </si>
  <si>
    <t>Total 2015 Budget</t>
  </si>
  <si>
    <t>Total 2015 Uncommitted</t>
  </si>
  <si>
    <t>PacifiCorp 2015</t>
  </si>
  <si>
    <t>2015 Annual Grant</t>
  </si>
  <si>
    <t>NWN 2015</t>
  </si>
  <si>
    <t>CASCADE 2015</t>
  </si>
  <si>
    <t>AVISTA 2015</t>
  </si>
  <si>
    <t>IDAHO POWER 2015</t>
  </si>
  <si>
    <t>PacifiCorp MSP 2015</t>
  </si>
  <si>
    <t>CUB MSP 2015</t>
  </si>
  <si>
    <t>ICNU MSP 2015</t>
  </si>
  <si>
    <t>Current Available</t>
  </si>
  <si>
    <t>2015 Uncommitted Budget</t>
  </si>
  <si>
    <t>Progress</t>
  </si>
  <si>
    <t>UM 1662</t>
  </si>
  <si>
    <t>UM 1357(53)</t>
  </si>
  <si>
    <t>UM 1504 (6)</t>
  </si>
  <si>
    <t>UM 1586(7)</t>
  </si>
  <si>
    <t>15-002</t>
  </si>
  <si>
    <t>15-003</t>
  </si>
  <si>
    <t>15-013</t>
  </si>
  <si>
    <t>UM 1712</t>
  </si>
  <si>
    <t>15-037</t>
  </si>
  <si>
    <t>UM 1586(8)</t>
  </si>
  <si>
    <t>15-047</t>
  </si>
  <si>
    <t>15-051</t>
  </si>
  <si>
    <t>UM 1663</t>
  </si>
  <si>
    <t>15-061</t>
  </si>
  <si>
    <t>14-388</t>
  </si>
  <si>
    <t>UE 294</t>
  </si>
  <si>
    <t>UM 1713</t>
  </si>
  <si>
    <t>15-097</t>
  </si>
  <si>
    <t>15-098</t>
  </si>
  <si>
    <t>15-099</t>
  </si>
  <si>
    <t>15-113</t>
  </si>
  <si>
    <t>UM 1717</t>
  </si>
  <si>
    <t>15-131</t>
  </si>
  <si>
    <t>Released Rmdr</t>
  </si>
  <si>
    <t>CUB Released Remainder</t>
  </si>
  <si>
    <t>15-171</t>
  </si>
  <si>
    <t>15-170</t>
  </si>
  <si>
    <t>UE 296</t>
  </si>
  <si>
    <t>LC 62</t>
  </si>
  <si>
    <t>15-172</t>
  </si>
  <si>
    <t>15-175</t>
  </si>
  <si>
    <t>15-176</t>
  </si>
  <si>
    <t>15-189</t>
  </si>
  <si>
    <t>15-177*</t>
  </si>
  <si>
    <r>
      <t>*</t>
    </r>
    <r>
      <rPr>
        <sz val="8"/>
        <rFont val="Arial"/>
        <family val="2"/>
      </rPr>
      <t>Docket Number corrected in Order 15-194</t>
    </r>
  </si>
  <si>
    <t>15-198</t>
  </si>
  <si>
    <t>UG 287</t>
  </si>
  <si>
    <t>15-197</t>
  </si>
  <si>
    <t>15-231</t>
  </si>
  <si>
    <t>LC 63</t>
  </si>
  <si>
    <t>15-001</t>
  </si>
  <si>
    <t>15-238</t>
  </si>
  <si>
    <t>15-240</t>
  </si>
  <si>
    <t>UM 1744</t>
  </si>
  <si>
    <t>15-257</t>
  </si>
  <si>
    <t>15-256</t>
  </si>
  <si>
    <t>15-255</t>
  </si>
  <si>
    <t>15-254</t>
  </si>
  <si>
    <t>15-252</t>
  </si>
  <si>
    <t>15-277</t>
  </si>
  <si>
    <t>15-278</t>
  </si>
  <si>
    <t>15-279</t>
  </si>
  <si>
    <t>15-302</t>
  </si>
  <si>
    <t>Partial</t>
  </si>
  <si>
    <t>Partial Payment</t>
  </si>
  <si>
    <t>15-312</t>
  </si>
  <si>
    <t>See 3rd IFA, Order #15-335</t>
  </si>
  <si>
    <t>15-316</t>
  </si>
  <si>
    <t>UM 1719</t>
  </si>
  <si>
    <t>15-253/15-377</t>
  </si>
  <si>
    <t>15-378</t>
  </si>
  <si>
    <t>15-375</t>
  </si>
  <si>
    <t>15-374</t>
  </si>
  <si>
    <t>UM 1586(8) final</t>
  </si>
  <si>
    <t>15-373</t>
  </si>
  <si>
    <t>UG 288</t>
  </si>
  <si>
    <t>$25,000 from 2016</t>
  </si>
  <si>
    <t>15-381</t>
  </si>
  <si>
    <t>15-390</t>
  </si>
  <si>
    <t>$25,000 from 2016; Pd $19800 from 2015 with $20451 from 2016</t>
  </si>
  <si>
    <t>15-391</t>
  </si>
  <si>
    <t>15-392</t>
  </si>
  <si>
    <t>PGE 2016</t>
  </si>
  <si>
    <t>CUB 2016</t>
  </si>
  <si>
    <t>Matching 2016</t>
  </si>
  <si>
    <t>Issue 2016</t>
  </si>
  <si>
    <t>Total 2016 Budget</t>
  </si>
  <si>
    <t>2016 Uncommitted Budget</t>
  </si>
  <si>
    <t>PacifiCorp 2016</t>
  </si>
  <si>
    <t>2016 Annual Grant</t>
  </si>
  <si>
    <t>NWN 2016</t>
  </si>
  <si>
    <t>CASCADE 2016</t>
  </si>
  <si>
    <t>AVISTA 2016</t>
  </si>
  <si>
    <t>$22,000 from 2015</t>
  </si>
  <si>
    <t>IDAHO POWER 2016</t>
  </si>
  <si>
    <t>PacifiCorp MSP 2016</t>
  </si>
  <si>
    <t>CUB MSP 2016</t>
  </si>
  <si>
    <t>ICNU MSP 2016</t>
  </si>
  <si>
    <t>Total 2016 Uncommitted</t>
  </si>
  <si>
    <t>UM 1586(  )</t>
  </si>
  <si>
    <t>UM  1722</t>
  </si>
  <si>
    <t>UM 1722</t>
  </si>
  <si>
    <t>16-004</t>
  </si>
  <si>
    <t>UM 1357(59)</t>
  </si>
  <si>
    <t>16-001</t>
  </si>
  <si>
    <t>16-003</t>
  </si>
  <si>
    <t>UM 1755</t>
  </si>
  <si>
    <t>UM 1754</t>
  </si>
  <si>
    <t>16-030</t>
  </si>
  <si>
    <t>16-031</t>
  </si>
  <si>
    <t>16-032</t>
  </si>
  <si>
    <t>16-043</t>
  </si>
  <si>
    <t>UM 1757 (1)</t>
  </si>
  <si>
    <t>UM 1357(60)</t>
  </si>
  <si>
    <t>UM 1357 (61)</t>
  </si>
  <si>
    <t>UM 1623</t>
  </si>
  <si>
    <t>16-058</t>
  </si>
  <si>
    <t>16-059</t>
  </si>
  <si>
    <t>$19,800 from 2015; Pd $19800 from 2015 with $25000 from 2016</t>
  </si>
  <si>
    <t>16-060</t>
  </si>
  <si>
    <t>UE 301</t>
  </si>
  <si>
    <t>UM 1720</t>
  </si>
  <si>
    <t>UM 1716</t>
  </si>
  <si>
    <t>16-077</t>
  </si>
  <si>
    <t>16-078</t>
  </si>
  <si>
    <t>16-079</t>
  </si>
  <si>
    <t>16-081</t>
  </si>
  <si>
    <t>16-084</t>
  </si>
  <si>
    <t>16-082</t>
  </si>
  <si>
    <t>16-083</t>
  </si>
  <si>
    <t>UM 1357(62)</t>
  </si>
  <si>
    <t>UM 1357(63)</t>
  </si>
  <si>
    <t>UM 1357(64)</t>
  </si>
  <si>
    <t>16-092</t>
  </si>
  <si>
    <t>16-104</t>
  </si>
  <si>
    <t>16-108</t>
  </si>
  <si>
    <t>16-106</t>
  </si>
  <si>
    <t>16-107</t>
  </si>
  <si>
    <t>SBUA</t>
  </si>
  <si>
    <t>16-125</t>
  </si>
  <si>
    <t>UE 308</t>
  </si>
  <si>
    <t>16-173</t>
  </si>
  <si>
    <t>UE 307</t>
  </si>
  <si>
    <t>16-181</t>
  </si>
  <si>
    <t>16-199</t>
  </si>
  <si>
    <t>Remainder reallocated to UE 307</t>
  </si>
  <si>
    <t>Rmdr reallocated to UE 308</t>
  </si>
  <si>
    <t>16-204</t>
  </si>
  <si>
    <t>Released by filing made 6/22/16</t>
  </si>
  <si>
    <t>UG 305</t>
  </si>
  <si>
    <t>16-253</t>
  </si>
  <si>
    <t>16-252</t>
  </si>
  <si>
    <t>16-267</t>
  </si>
  <si>
    <t>16-269</t>
  </si>
  <si>
    <t>16-275</t>
  </si>
  <si>
    <t>16-276</t>
  </si>
  <si>
    <t>Progress pymt</t>
  </si>
  <si>
    <t>16-002/16-279</t>
  </si>
  <si>
    <t>16-278</t>
  </si>
  <si>
    <t>LC 64</t>
  </si>
  <si>
    <t>Final Release Rmdr</t>
  </si>
  <si>
    <t>Release Remndr</t>
  </si>
  <si>
    <t>Final Release</t>
  </si>
  <si>
    <t>Remainder</t>
  </si>
  <si>
    <t>Final, Release Remainder</t>
  </si>
  <si>
    <t>16-281</t>
  </si>
  <si>
    <t>16-283</t>
  </si>
  <si>
    <t>16-284</t>
  </si>
  <si>
    <t>16-285</t>
  </si>
  <si>
    <t>16-040</t>
  </si>
  <si>
    <t>UM 1773</t>
  </si>
  <si>
    <t>UM 1790</t>
  </si>
  <si>
    <t>Reallocate 3785.33 to UE 307</t>
  </si>
  <si>
    <t>Allocate Rmder to UE 308</t>
  </si>
  <si>
    <t>Allocate $6412.53 to UE 308</t>
  </si>
  <si>
    <t>16-314</t>
  </si>
  <si>
    <t>16-313</t>
  </si>
  <si>
    <t>16-312</t>
  </si>
  <si>
    <t>Allocate $5000 to UM 1788</t>
  </si>
  <si>
    <t>16-308</t>
  </si>
  <si>
    <t>16-310</t>
  </si>
  <si>
    <t>amended prop bud reallocated from UM 1754</t>
  </si>
  <si>
    <t>16-309</t>
  </si>
  <si>
    <t>UM 1789</t>
  </si>
  <si>
    <t>16-350</t>
  </si>
  <si>
    <t>16-349</t>
  </si>
  <si>
    <t>16-320</t>
  </si>
  <si>
    <t>16-356</t>
  </si>
  <si>
    <t>16-357</t>
  </si>
  <si>
    <t>16-387</t>
  </si>
  <si>
    <t>16-407</t>
  </si>
  <si>
    <t>16-406</t>
  </si>
  <si>
    <t>16-201  / 16-315</t>
  </si>
  <si>
    <t>Amended budget, final reallocate remainder to LC 66</t>
  </si>
  <si>
    <t>LC 66</t>
  </si>
  <si>
    <t>16-200 / 16-311</t>
  </si>
  <si>
    <t>PGE 2017</t>
  </si>
  <si>
    <t>CUB 2017</t>
  </si>
  <si>
    <t>Matching 2017</t>
  </si>
  <si>
    <t>Issue 2017</t>
  </si>
  <si>
    <t>Total 2017 Budget</t>
  </si>
  <si>
    <t>2017 Uncommitted Budget</t>
  </si>
  <si>
    <t>PacifiCorp 2017</t>
  </si>
  <si>
    <t>2017 Annual Grant</t>
  </si>
  <si>
    <t>NWN 2017</t>
  </si>
  <si>
    <t>CASCADE 2017</t>
  </si>
  <si>
    <t>AVISTA 2017</t>
  </si>
  <si>
    <t>IDAHO POWER 2017</t>
  </si>
  <si>
    <t>PacifiCorp MSP 2017</t>
  </si>
  <si>
    <t>CUB MSP 2017</t>
  </si>
  <si>
    <t>ICNU MSP 2017</t>
  </si>
  <si>
    <t>Total 2017 Uncommitted</t>
  </si>
  <si>
    <t>16-432</t>
  </si>
  <si>
    <t>16-431</t>
  </si>
  <si>
    <t>16-430</t>
  </si>
  <si>
    <t>UM 1788</t>
  </si>
  <si>
    <t>16-443</t>
  </si>
  <si>
    <t>16-444</t>
  </si>
  <si>
    <t>UM 1586(10)</t>
  </si>
  <si>
    <t>16-455</t>
  </si>
  <si>
    <t>16-454</t>
  </si>
  <si>
    <t>16-433/16-462</t>
  </si>
  <si>
    <t>16-465</t>
  </si>
  <si>
    <t>16-500</t>
  </si>
  <si>
    <t>16-498</t>
  </si>
  <si>
    <t>16-499</t>
  </si>
  <si>
    <t>UM 1751</t>
  </si>
  <si>
    <t>17-002</t>
  </si>
  <si>
    <t>17-001</t>
  </si>
  <si>
    <t>17-003</t>
  </si>
  <si>
    <t>UM 1357(65)</t>
  </si>
  <si>
    <t>17-006</t>
  </si>
  <si>
    <t>UM 1757 (2)</t>
  </si>
  <si>
    <t>17-014</t>
  </si>
  <si>
    <t>17-013</t>
  </si>
  <si>
    <t>17-015</t>
  </si>
  <si>
    <t>See initial request in 2016</t>
  </si>
  <si>
    <t>See Amended req. in 2017</t>
  </si>
  <si>
    <t>Amended (Add'l) Budget</t>
  </si>
  <si>
    <t>UM 1815</t>
  </si>
  <si>
    <t>AR 600</t>
  </si>
  <si>
    <t>AR 603</t>
  </si>
  <si>
    <t>UM 1810</t>
  </si>
  <si>
    <t>17-032</t>
  </si>
  <si>
    <t>17-031</t>
  </si>
  <si>
    <t>17-033</t>
  </si>
  <si>
    <t>17-034</t>
  </si>
  <si>
    <t>17-035</t>
  </si>
  <si>
    <t>17-042</t>
  </si>
  <si>
    <t>UM 1812</t>
  </si>
  <si>
    <t>17-045</t>
  </si>
  <si>
    <t>UM 1586(12)</t>
  </si>
  <si>
    <t>UG 325</t>
  </si>
  <si>
    <t>17-069</t>
  </si>
  <si>
    <t>17-070</t>
  </si>
  <si>
    <t>17-067</t>
  </si>
  <si>
    <t>17-068</t>
  </si>
  <si>
    <t>UE 319</t>
  </si>
  <si>
    <t>UM 1810 etc</t>
  </si>
  <si>
    <t>17-073</t>
  </si>
  <si>
    <t>17-072</t>
  </si>
  <si>
    <t>UM 1357 (67)</t>
  </si>
  <si>
    <t>UM 1357(66)</t>
  </si>
  <si>
    <t>UM 1808</t>
  </si>
  <si>
    <t>UM 1811</t>
  </si>
  <si>
    <t>17-092</t>
  </si>
  <si>
    <t>UM 1804</t>
  </si>
  <si>
    <t>17-095</t>
  </si>
  <si>
    <t>17-094</t>
  </si>
  <si>
    <t>17-087</t>
  </si>
  <si>
    <t>UM 1357(70)</t>
  </si>
  <si>
    <t>UM 1357(69)</t>
  </si>
  <si>
    <t>UM 1357(68)</t>
  </si>
  <si>
    <t>17-128</t>
  </si>
  <si>
    <t>17-129</t>
  </si>
  <si>
    <t>17-130</t>
  </si>
  <si>
    <t>UM 1824</t>
  </si>
  <si>
    <t>UE 323</t>
  </si>
  <si>
    <t>17-134</t>
  </si>
  <si>
    <t>17-133</t>
  </si>
  <si>
    <t>conditional to $15,000; reallocated $9261.50 from UM 1662 (2014) release in Annual IF Report</t>
  </si>
  <si>
    <t>17-142</t>
  </si>
  <si>
    <t>17-143</t>
  </si>
  <si>
    <t>17-098, 17-144</t>
  </si>
  <si>
    <t>17-160</t>
  </si>
  <si>
    <t>17-163</t>
  </si>
  <si>
    <t>17-167</t>
  </si>
  <si>
    <t>Denied as Moot</t>
  </si>
  <si>
    <t>17-179</t>
  </si>
  <si>
    <t>17-183</t>
  </si>
  <si>
    <t>17-182</t>
  </si>
  <si>
    <t>LC 67</t>
  </si>
  <si>
    <t>17-230</t>
  </si>
  <si>
    <t>17-231</t>
  </si>
  <si>
    <t>17-229</t>
  </si>
  <si>
    <t>UE 316</t>
  </si>
  <si>
    <t>UE 314</t>
  </si>
  <si>
    <t>17-233</t>
  </si>
  <si>
    <t>17-234</t>
  </si>
  <si>
    <t>17-238</t>
  </si>
  <si>
    <t>UM 1586(13)</t>
  </si>
  <si>
    <t>17-278</t>
  </si>
  <si>
    <t>17-277</t>
  </si>
  <si>
    <t>$10000 Released by CUB for use in UE docket</t>
  </si>
  <si>
    <t>17-293</t>
  </si>
  <si>
    <t>17-294</t>
  </si>
  <si>
    <t>17-333</t>
  </si>
  <si>
    <t>17-334</t>
  </si>
  <si>
    <t>17-353</t>
  </si>
  <si>
    <t>17-352</t>
  </si>
  <si>
    <t>17-354</t>
  </si>
  <si>
    <t>LC 68</t>
  </si>
  <si>
    <t>17-361</t>
  </si>
  <si>
    <t>Release by email 6/27/17</t>
  </si>
  <si>
    <t>17-387</t>
  </si>
  <si>
    <t>Released by filing 10/17/17</t>
  </si>
  <si>
    <t>Released 10/17/17</t>
  </si>
  <si>
    <t>Additional requested amended budget 10/17/17</t>
  </si>
  <si>
    <t>.</t>
  </si>
  <si>
    <t>Rmdr Released</t>
  </si>
  <si>
    <t>17-421</t>
  </si>
  <si>
    <t>17-420</t>
  </si>
  <si>
    <t>17-425</t>
  </si>
  <si>
    <t>17-424</t>
  </si>
  <si>
    <t>17-423</t>
  </si>
  <si>
    <t>Partial $17983.96</t>
  </si>
  <si>
    <t>17-430</t>
  </si>
  <si>
    <t>17-422/17-432</t>
  </si>
  <si>
    <t>Reallocated from UM 1810</t>
  </si>
  <si>
    <t>Reallocated to UM 1810</t>
  </si>
  <si>
    <t>UM 1897</t>
  </si>
  <si>
    <t>17-433</t>
  </si>
  <si>
    <t>17-434</t>
  </si>
  <si>
    <t>17-435</t>
  </si>
  <si>
    <t>17-436</t>
  </si>
  <si>
    <t>17-437</t>
  </si>
  <si>
    <t>17-438</t>
  </si>
  <si>
    <t>17-439</t>
  </si>
  <si>
    <t>17-440</t>
  </si>
  <si>
    <t>17-442</t>
  </si>
  <si>
    <t>UE 333</t>
  </si>
  <si>
    <t>17-467</t>
  </si>
  <si>
    <t>17-468</t>
  </si>
  <si>
    <t>17-469</t>
  </si>
  <si>
    <t>17-475</t>
  </si>
  <si>
    <t>17-448/17-486</t>
  </si>
  <si>
    <t>PGE 2018</t>
  </si>
  <si>
    <t>CUB 2018</t>
  </si>
  <si>
    <t>Matching 2018</t>
  </si>
  <si>
    <t>Issue 2018</t>
  </si>
  <si>
    <t>Total 2018 Budget</t>
  </si>
  <si>
    <t>PacifiCorp 2018</t>
  </si>
  <si>
    <t>2018 Annual Grant</t>
  </si>
  <si>
    <t>NWN 2018</t>
  </si>
  <si>
    <t>Annual Grant + Rollover</t>
  </si>
  <si>
    <t>PacifiCorp MSP 2018</t>
  </si>
  <si>
    <t>CUB MSP 2018</t>
  </si>
  <si>
    <t>ICNU MSP 2018</t>
  </si>
  <si>
    <t>Total 2018 Uncommitted</t>
  </si>
  <si>
    <t>17-499</t>
  </si>
  <si>
    <t>17-500</t>
  </si>
  <si>
    <t>CASCADE 2018</t>
  </si>
  <si>
    <t>UM 1929</t>
  </si>
  <si>
    <t>AVISTA 2018</t>
  </si>
  <si>
    <t>IDAHO POWER 2018</t>
  </si>
  <si>
    <t>18-020</t>
  </si>
  <si>
    <t>UM 1929(1)</t>
  </si>
  <si>
    <t>18-011</t>
  </si>
  <si>
    <t>UM 1757 (3)</t>
  </si>
  <si>
    <t>18-012</t>
  </si>
  <si>
    <t>UM 1586(14)</t>
  </si>
  <si>
    <t>18-005</t>
  </si>
  <si>
    <t>UM 1357(73)</t>
  </si>
  <si>
    <t>18-003</t>
  </si>
  <si>
    <t>UM 1357(71)</t>
  </si>
  <si>
    <t>18-004</t>
  </si>
  <si>
    <t>UM 1357(72)</t>
  </si>
  <si>
    <t>17-489</t>
  </si>
  <si>
    <t>UM 1911</t>
  </si>
  <si>
    <t>18-028</t>
  </si>
  <si>
    <t>18-030</t>
  </si>
  <si>
    <t>18-048</t>
  </si>
  <si>
    <t>UG 344</t>
  </si>
  <si>
    <t>UM 1856</t>
  </si>
  <si>
    <t>18-058</t>
  </si>
  <si>
    <t>18-060</t>
  </si>
  <si>
    <t>UE 335</t>
  </si>
  <si>
    <t>18-027</t>
  </si>
  <si>
    <t>18-061</t>
  </si>
  <si>
    <t>18-062</t>
  </si>
  <si>
    <t>Released</t>
  </si>
  <si>
    <t>18-083</t>
  </si>
  <si>
    <t>18-082</t>
  </si>
  <si>
    <t>UM 1909</t>
  </si>
  <si>
    <t>LC 69</t>
  </si>
  <si>
    <t>18-101</t>
  </si>
  <si>
    <t>18-099</t>
  </si>
  <si>
    <t>18-098</t>
  </si>
  <si>
    <t>18-100</t>
  </si>
  <si>
    <t>18-009</t>
  </si>
  <si>
    <t>FINAL</t>
  </si>
  <si>
    <t>RELEASE REMAINDER</t>
  </si>
  <si>
    <t>18-102</t>
  </si>
  <si>
    <t>18-103</t>
  </si>
  <si>
    <t>UM 1357 (75)</t>
  </si>
  <si>
    <t>UM 1357(74)</t>
  </si>
  <si>
    <t>18-105</t>
  </si>
  <si>
    <t>AWEC</t>
  </si>
  <si>
    <t>UM 1933</t>
  </si>
  <si>
    <t>18-133</t>
  </si>
  <si>
    <t>UE 339</t>
  </si>
  <si>
    <t>18-146</t>
  </si>
  <si>
    <t>UM 1586(15)</t>
  </si>
  <si>
    <t>18-150</t>
  </si>
  <si>
    <t>18-151</t>
  </si>
  <si>
    <t>18-159</t>
  </si>
  <si>
    <t xml:space="preserve">See also 2016 for $5566.05 </t>
  </si>
  <si>
    <t>17-335</t>
  </si>
  <si>
    <t>Final Pymt</t>
  </si>
  <si>
    <t>18-211</t>
  </si>
  <si>
    <t>18-213</t>
  </si>
  <si>
    <t>18-217</t>
  </si>
  <si>
    <t>18-218</t>
  </si>
  <si>
    <t>UG 347</t>
  </si>
  <si>
    <t>18-219</t>
  </si>
  <si>
    <t>LC 70</t>
  </si>
  <si>
    <t>18-251</t>
  </si>
  <si>
    <t>ICNU/AWEC</t>
  </si>
  <si>
    <t>18-287</t>
  </si>
  <si>
    <t>18-286</t>
  </si>
  <si>
    <t>18-302</t>
  </si>
  <si>
    <t>18-325</t>
  </si>
  <si>
    <t>18-326</t>
  </si>
  <si>
    <t>LC 71</t>
  </si>
  <si>
    <t>Total Committed Balance</t>
  </si>
  <si>
    <t xml:space="preserve">Date of Request </t>
  </si>
  <si>
    <t>Organization</t>
  </si>
  <si>
    <t>PGE Docket UM 1965 SB 978 Issue Fund</t>
  </si>
  <si>
    <t>PACIFICORP Docket UM 1965 SB 978 Issue Fund</t>
  </si>
  <si>
    <t>18-328</t>
  </si>
  <si>
    <t>18-345</t>
  </si>
  <si>
    <t>18-350</t>
  </si>
  <si>
    <t>AWEC (ICNU)</t>
  </si>
  <si>
    <t>AWEC (NWIGU)</t>
  </si>
  <si>
    <t>Final, release remainder</t>
  </si>
  <si>
    <t>UM 1845</t>
  </si>
  <si>
    <t>18-363</t>
  </si>
  <si>
    <t>18-368</t>
  </si>
  <si>
    <t>15-365</t>
  </si>
  <si>
    <t>18-370</t>
  </si>
  <si>
    <t>UM 1968</t>
  </si>
  <si>
    <t>Partial and reallocate $15,400 to UM 1845; reallocate $10,600 to UM 1968</t>
  </si>
  <si>
    <t>Reallocated from UM 1824 budget</t>
  </si>
  <si>
    <t>final/rls rmdr</t>
  </si>
  <si>
    <t>Amended</t>
  </si>
  <si>
    <t>18-406</t>
  </si>
  <si>
    <t>18-407</t>
  </si>
  <si>
    <t>18-408</t>
  </si>
  <si>
    <t>18-409</t>
  </si>
  <si>
    <t>See 2016 for UM 1716 release</t>
  </si>
  <si>
    <t>&amp;10,600 Reallocated from UM 1824 budget</t>
  </si>
  <si>
    <t>18-36718-426</t>
  </si>
  <si>
    <t>18-426/18-427</t>
  </si>
  <si>
    <t>18-428</t>
  </si>
  <si>
    <t>AWEC(NWIGU)</t>
  </si>
  <si>
    <t>UG 344 P2</t>
  </si>
  <si>
    <t>18-446</t>
  </si>
  <si>
    <t>18-437</t>
  </si>
  <si>
    <t>18-436</t>
  </si>
  <si>
    <t>Additional in amended req</t>
  </si>
  <si>
    <t>18-265/18-364</t>
  </si>
  <si>
    <t>18-460</t>
  </si>
  <si>
    <t>18-462</t>
  </si>
  <si>
    <t>18-461</t>
  </si>
  <si>
    <t>PGE 2019</t>
  </si>
  <si>
    <t>CUB 2019</t>
  </si>
  <si>
    <t>Matching 2019</t>
  </si>
  <si>
    <t>Issue 2019</t>
  </si>
  <si>
    <t>Total 2019 Budget</t>
  </si>
  <si>
    <t>UM 1929(_)</t>
  </si>
  <si>
    <t>PacifiCorp 2019</t>
  </si>
  <si>
    <t>2019 Annual Grant</t>
  </si>
  <si>
    <t>NWN 2019</t>
  </si>
  <si>
    <t>CASCADE 2019</t>
  </si>
  <si>
    <t>AVISTA 2019</t>
  </si>
  <si>
    <t>IDAHO POWER 2019</t>
  </si>
  <si>
    <t>PacifiCorp MSP 2019</t>
  </si>
  <si>
    <t>CUB MSP 2019</t>
  </si>
  <si>
    <t>AWEC MSP 2019</t>
  </si>
  <si>
    <t>Total 2019 Uncommitted</t>
  </si>
  <si>
    <t>18-463</t>
  </si>
  <si>
    <t>VERDE</t>
  </si>
  <si>
    <t>OPAL</t>
  </si>
  <si>
    <t>CCC</t>
  </si>
  <si>
    <t>18-475</t>
  </si>
  <si>
    <t>UM 1965</t>
  </si>
  <si>
    <t>19-003</t>
  </si>
  <si>
    <t>UM 1757 (4)</t>
  </si>
  <si>
    <t>19-004</t>
  </si>
  <si>
    <t>UE 350</t>
  </si>
  <si>
    <t>19-010</t>
  </si>
  <si>
    <t>19-009</t>
  </si>
  <si>
    <t>UE 352</t>
  </si>
  <si>
    <t>19-033</t>
  </si>
  <si>
    <t>19-035</t>
  </si>
  <si>
    <t>18-379</t>
  </si>
  <si>
    <t>19-110</t>
  </si>
  <si>
    <t>UE 356</t>
  </si>
  <si>
    <t>UE 359</t>
  </si>
  <si>
    <t>UE 358</t>
  </si>
  <si>
    <t>19-123</t>
  </si>
  <si>
    <t>19-124</t>
  </si>
  <si>
    <t>19-125</t>
  </si>
  <si>
    <t>19-126</t>
  </si>
  <si>
    <t>19-127</t>
  </si>
  <si>
    <t>19-131</t>
  </si>
  <si>
    <t>final</t>
  </si>
  <si>
    <t>Rel. remdr.</t>
  </si>
  <si>
    <t>19-139</t>
  </si>
  <si>
    <t>19-140</t>
  </si>
  <si>
    <t>UG 366</t>
  </si>
  <si>
    <t>19-141</t>
  </si>
  <si>
    <t>19-142</t>
  </si>
  <si>
    <t>19-143</t>
  </si>
  <si>
    <t>19-144</t>
  </si>
  <si>
    <t>19-145</t>
  </si>
  <si>
    <t>18-104</t>
  </si>
  <si>
    <t>19-163</t>
  </si>
  <si>
    <t>19-148</t>
  </si>
  <si>
    <t>19-174</t>
  </si>
  <si>
    <t>LC 73</t>
  </si>
  <si>
    <t>19-209</t>
  </si>
  <si>
    <t>19-220</t>
  </si>
  <si>
    <t>19-014</t>
  </si>
  <si>
    <t>AWEC (fka ICNU) MSP</t>
  </si>
  <si>
    <t>UP 400</t>
  </si>
  <si>
    <t>UM 2026</t>
  </si>
  <si>
    <t>19-258</t>
  </si>
  <si>
    <t>19-259</t>
  </si>
  <si>
    <t>19-260</t>
  </si>
  <si>
    <t>19-257</t>
  </si>
  <si>
    <t>19-288</t>
  </si>
  <si>
    <t>19-287</t>
  </si>
  <si>
    <t>19-289</t>
  </si>
  <si>
    <t>19-290</t>
  </si>
  <si>
    <t>19-296</t>
  </si>
  <si>
    <t>Final Allocate remainder to LC 70</t>
  </si>
  <si>
    <t>19-319</t>
  </si>
  <si>
    <t>19-320</t>
  </si>
  <si>
    <t>19-318</t>
  </si>
  <si>
    <t>Release Rmder</t>
  </si>
  <si>
    <t>19-325</t>
  </si>
  <si>
    <t>19-138/19-327</t>
  </si>
  <si>
    <t>19-328</t>
  </si>
  <si>
    <t>19-326</t>
  </si>
  <si>
    <t>19-330</t>
  </si>
  <si>
    <t>Rel. rmdr.</t>
  </si>
  <si>
    <t>19-345</t>
  </si>
  <si>
    <t>Reallocate to LC 70</t>
  </si>
  <si>
    <t>19-382</t>
  </si>
  <si>
    <t>19-381</t>
  </si>
  <si>
    <t>19-380</t>
  </si>
  <si>
    <t>19-383</t>
  </si>
  <si>
    <t>UM 2024</t>
  </si>
  <si>
    <t>19-402</t>
  </si>
  <si>
    <t>19-413</t>
  </si>
  <si>
    <t>$8726.54 remains in LC 70 budget</t>
  </si>
  <si>
    <t>20-001</t>
  </si>
  <si>
    <t>release rmdr.</t>
  </si>
  <si>
    <t>19-417</t>
  </si>
  <si>
    <t>Intervenor Funds Summary 2020</t>
  </si>
  <si>
    <t>PGE 2020</t>
  </si>
  <si>
    <t>CUB 2020</t>
  </si>
  <si>
    <t>Matching 2020</t>
  </si>
  <si>
    <t>Issue 2020</t>
  </si>
  <si>
    <t>PacifiCorp 2020</t>
  </si>
  <si>
    <t>2020 Annual Grant</t>
  </si>
  <si>
    <t>Total 2020 Budget</t>
  </si>
  <si>
    <t>NWN 2020</t>
  </si>
  <si>
    <t>CASCADE 2020</t>
  </si>
  <si>
    <t>IDAHO POWER 2020</t>
  </si>
  <si>
    <t xml:space="preserve">UM 1757 </t>
  </si>
  <si>
    <t>Paid 2020</t>
  </si>
  <si>
    <t>20-003</t>
  </si>
  <si>
    <t>20-005</t>
  </si>
  <si>
    <t>20-006</t>
  </si>
  <si>
    <t>20-007</t>
  </si>
  <si>
    <t>20-008</t>
  </si>
  <si>
    <t>19-343</t>
  </si>
  <si>
    <t>20-010</t>
  </si>
  <si>
    <t>20-011</t>
  </si>
  <si>
    <t>UE 370/372</t>
  </si>
  <si>
    <t>20-039</t>
  </si>
  <si>
    <t>UG 388</t>
  </si>
  <si>
    <t>UM 2004</t>
  </si>
  <si>
    <t>20-042</t>
  </si>
  <si>
    <t>20-043</t>
  </si>
  <si>
    <t>20-044</t>
  </si>
  <si>
    <t>Reallocate to UM 2024 see Order No. 19-414</t>
  </si>
  <si>
    <t>(3930.14 from UM 1968, 6069.86)</t>
  </si>
  <si>
    <t>UE 374</t>
  </si>
  <si>
    <t>20-050</t>
  </si>
  <si>
    <t>20-049</t>
  </si>
  <si>
    <t>20-009</t>
  </si>
  <si>
    <t>UE 375</t>
  </si>
  <si>
    <t>20-072</t>
  </si>
  <si>
    <t>19-414/20-073</t>
  </si>
  <si>
    <t>20-074</t>
  </si>
  <si>
    <t>20-075</t>
  </si>
  <si>
    <t>20-083</t>
  </si>
  <si>
    <t>AR 632</t>
  </si>
  <si>
    <t>UG 390</t>
  </si>
  <si>
    <t>20-115</t>
  </si>
  <si>
    <t>20-116</t>
  </si>
  <si>
    <t>20-117</t>
  </si>
  <si>
    <t>20-118</t>
  </si>
  <si>
    <t>20-119</t>
  </si>
  <si>
    <t>UE 377</t>
  </si>
  <si>
    <t>20-128</t>
  </si>
  <si>
    <t>20-127</t>
  </si>
  <si>
    <t>LC 74</t>
  </si>
  <si>
    <t>20-150</t>
  </si>
  <si>
    <t>20-188</t>
  </si>
  <si>
    <t>PacifiCorp MSP 2020</t>
  </si>
  <si>
    <t>CUB MSP 2020</t>
  </si>
  <si>
    <t>AWEC MSP 2020</t>
  </si>
  <si>
    <t>Total 2020 Uncommitted</t>
  </si>
  <si>
    <t>20-191</t>
  </si>
  <si>
    <t>20-217</t>
  </si>
  <si>
    <t>20-216</t>
  </si>
  <si>
    <t>20-235</t>
  </si>
  <si>
    <t>20-236</t>
  </si>
  <si>
    <t>20-234</t>
  </si>
  <si>
    <t>20-237</t>
  </si>
  <si>
    <t>19-397</t>
  </si>
  <si>
    <t>20-267</t>
  </si>
  <si>
    <t>20-266</t>
  </si>
  <si>
    <t>Reallocate to UM 2024</t>
  </si>
  <si>
    <t>Reallocated from UE 377</t>
  </si>
  <si>
    <t>20-336</t>
  </si>
  <si>
    <t>20-337</t>
  </si>
  <si>
    <t>Final Payment request of 10/29/2020</t>
  </si>
  <si>
    <t>Release Rmdr</t>
  </si>
  <si>
    <t>20-424</t>
  </si>
  <si>
    <t>20-426</t>
  </si>
  <si>
    <t>20-422</t>
  </si>
  <si>
    <t>20-425</t>
  </si>
  <si>
    <t>20-423</t>
  </si>
  <si>
    <t>20-418</t>
  </si>
  <si>
    <t>20-420</t>
  </si>
  <si>
    <t>20-419</t>
  </si>
  <si>
    <t>20-428</t>
  </si>
  <si>
    <t>20-436</t>
  </si>
  <si>
    <t>Pending</t>
  </si>
  <si>
    <t>20-477</t>
  </si>
  <si>
    <t>CUB 2021</t>
  </si>
  <si>
    <t>Matching 2021</t>
  </si>
  <si>
    <t>Issue 2021</t>
  </si>
  <si>
    <t>PacifiCorp 2021</t>
  </si>
  <si>
    <t>2021 Annual Grant</t>
  </si>
  <si>
    <t>Total 2021 Budget</t>
  </si>
  <si>
    <t>NWN 2021</t>
  </si>
  <si>
    <t>CASCADE 2021</t>
  </si>
  <si>
    <t>AVISTA 2021</t>
  </si>
  <si>
    <t>IDAHO POWER 2021</t>
  </si>
  <si>
    <t>PacifiCorp MSP 2021</t>
  </si>
  <si>
    <t>CUB MSP 2021</t>
  </si>
  <si>
    <t>AWEC MSP 2021</t>
  </si>
  <si>
    <t>Total 2021 Uncommitted</t>
  </si>
  <si>
    <t>20-451</t>
  </si>
  <si>
    <t>20-452</t>
  </si>
  <si>
    <t>20-448</t>
  </si>
  <si>
    <t>PGE 2021 (UM 1929)</t>
  </si>
  <si>
    <t>21-025</t>
  </si>
  <si>
    <t>Available Balance</t>
  </si>
  <si>
    <t>Full Rollover from 2020 allowed</t>
  </si>
  <si>
    <t>21-101</t>
  </si>
  <si>
    <t>UE 390</t>
  </si>
  <si>
    <t>UE 391</t>
  </si>
  <si>
    <t>LC 75</t>
  </si>
  <si>
    <t>21-115</t>
  </si>
  <si>
    <t>21-149</t>
  </si>
  <si>
    <t>21-151</t>
  </si>
  <si>
    <t>21-114</t>
  </si>
  <si>
    <t>UE 394</t>
  </si>
  <si>
    <t>UM 2165</t>
  </si>
  <si>
    <t>UE 384</t>
  </si>
  <si>
    <t>21-163</t>
  </si>
  <si>
    <t>21-248</t>
  </si>
  <si>
    <t>21-249</t>
  </si>
  <si>
    <t>21-250</t>
  </si>
  <si>
    <t>UM 2152</t>
  </si>
  <si>
    <t>21-262</t>
  </si>
  <si>
    <t>Rtn Rmdr</t>
  </si>
  <si>
    <t>21-276</t>
  </si>
  <si>
    <t>21-275</t>
  </si>
  <si>
    <t>21-282</t>
  </si>
  <si>
    <t>21-110</t>
  </si>
  <si>
    <t>UM 2126</t>
  </si>
  <si>
    <t>21-024</t>
  </si>
  <si>
    <t>21-295</t>
  </si>
  <si>
    <t>Amended budget filed 9/16/2021</t>
  </si>
  <si>
    <t>3rd amendment See 2020 for other requests</t>
  </si>
  <si>
    <t>21-301</t>
  </si>
  <si>
    <t>21-303</t>
  </si>
  <si>
    <t>21-123/21-302</t>
  </si>
  <si>
    <t>21-314</t>
  </si>
  <si>
    <t>9/27/20021</t>
  </si>
  <si>
    <t>21-332</t>
  </si>
  <si>
    <t>UM 2183</t>
  </si>
  <si>
    <t>Remainder reallocated to UM 2183</t>
  </si>
  <si>
    <t>LC 77</t>
  </si>
  <si>
    <t>$3,798.21 allocated from UE 390, $26,201.79 from the 2022 PAC Issue Fund</t>
  </si>
  <si>
    <t>21-391</t>
  </si>
  <si>
    <t>21-392</t>
  </si>
  <si>
    <t>21-393</t>
  </si>
  <si>
    <t>21-394</t>
  </si>
  <si>
    <t>21-395</t>
  </si>
  <si>
    <t>21-396</t>
  </si>
  <si>
    <t>21-397</t>
  </si>
  <si>
    <t>21-398</t>
  </si>
  <si>
    <t>UG 432</t>
  </si>
  <si>
    <t>UM 2178</t>
  </si>
  <si>
    <t>21-428</t>
  </si>
  <si>
    <t>21-427</t>
  </si>
  <si>
    <t>21-426</t>
  </si>
  <si>
    <t>21-425</t>
  </si>
  <si>
    <t>21-424</t>
  </si>
  <si>
    <t>21-423</t>
  </si>
  <si>
    <t>Amended budget filed 11/16/2021</t>
  </si>
  <si>
    <t>21-479</t>
  </si>
  <si>
    <t>21-480</t>
  </si>
  <si>
    <t>Intervenor Issue Fund Usage Summary 2022</t>
  </si>
  <si>
    <t>(Applies only to Issue Fund Budgets Approved for 2022 funds)</t>
  </si>
  <si>
    <t>CUB 2022</t>
  </si>
  <si>
    <t>Matching 2022</t>
  </si>
  <si>
    <t>Issue 2022</t>
  </si>
  <si>
    <t>Total 2022 Budget</t>
  </si>
  <si>
    <t>PGE 2022 (UM 1929 in effect through 2022)</t>
  </si>
  <si>
    <t>2022 Annual Grant</t>
  </si>
  <si>
    <t>PacifiCorp 2022 (UM 1929 in effect through 2022)</t>
  </si>
  <si>
    <t>Allocated in 2021 from 2022 Issue Fund</t>
  </si>
  <si>
    <t>NWN 2022 (UM 1929 in effect through 2022)</t>
  </si>
  <si>
    <t>CASCADE 2022 (UM 1929 in effect through 2022)</t>
  </si>
  <si>
    <t>AVISTA 2020</t>
  </si>
  <si>
    <t>AVISTA 2022 (UM 1929 effective through 2022)</t>
  </si>
  <si>
    <t>IDAHO POWER 2022 (UM 2126 in effect through 2025)</t>
  </si>
  <si>
    <t>PacifiCorp MSP 2022 (UM 1586 effective through 2023)</t>
  </si>
  <si>
    <t>CUB MSP 2022</t>
  </si>
  <si>
    <t>AWEC MSP 2022</t>
  </si>
  <si>
    <t>Total 2022 Uncommitted</t>
  </si>
  <si>
    <t>AWEC/NWIGU</t>
  </si>
  <si>
    <t>UG 433</t>
  </si>
  <si>
    <t>22-002</t>
  </si>
  <si>
    <t>22-003</t>
  </si>
  <si>
    <t>22-015</t>
  </si>
  <si>
    <t>22-014</t>
  </si>
  <si>
    <t>UG 435</t>
  </si>
  <si>
    <t>Amended, see 2021 also</t>
  </si>
  <si>
    <t>See 2022 also for amended</t>
  </si>
  <si>
    <t>22-028</t>
  </si>
  <si>
    <t>22-026</t>
  </si>
  <si>
    <t>22-027</t>
  </si>
  <si>
    <t>Rogue Climate</t>
  </si>
  <si>
    <t>CAPO</t>
  </si>
  <si>
    <t>CEP</t>
  </si>
  <si>
    <t>PGE Pending Payment</t>
  </si>
  <si>
    <t>PGE  Payment Amount</t>
  </si>
  <si>
    <t xml:space="preserve">PacifiCorp Pending  Payment </t>
  </si>
  <si>
    <t>PacifiCorp Payment Amount</t>
  </si>
  <si>
    <t>NWN Pending Payment</t>
  </si>
  <si>
    <t>NWN Payment Amount</t>
  </si>
  <si>
    <t>Avista Pending Payment</t>
  </si>
  <si>
    <t>Avista Payment Amount</t>
  </si>
  <si>
    <t>Cascade Pending Payment</t>
  </si>
  <si>
    <t>Cascade Payment Amount</t>
  </si>
  <si>
    <t>Idaho Power Pending Payment</t>
  </si>
  <si>
    <t>Idaho Power Payment Amount</t>
  </si>
  <si>
    <t>UE 399</t>
  </si>
  <si>
    <t>UE 400</t>
  </si>
  <si>
    <t>21-432</t>
  </si>
  <si>
    <t>21-434</t>
  </si>
  <si>
    <t>Return this to MSP fund</t>
  </si>
  <si>
    <t>2nd Amendment</t>
  </si>
  <si>
    <t>AR 638/UM 2207</t>
  </si>
  <si>
    <t>22-149</t>
  </si>
  <si>
    <t>22-148</t>
  </si>
  <si>
    <t>22-150</t>
  </si>
  <si>
    <t>22-151</t>
  </si>
  <si>
    <t>22-152</t>
  </si>
  <si>
    <t>22-153</t>
  </si>
  <si>
    <t>22-182</t>
  </si>
  <si>
    <t>22-183</t>
  </si>
  <si>
    <t>22-222</t>
  </si>
  <si>
    <t>22-166</t>
  </si>
  <si>
    <t>UM 2211</t>
  </si>
  <si>
    <t>AR 652</t>
  </si>
  <si>
    <t>AR 653/UM 2114</t>
  </si>
  <si>
    <t>capped at 80% of grant amount</t>
  </si>
  <si>
    <t>Note:  When allocation is split across all utilities, the breakdown is 28.33 percent for PGE and NWN, 28.34 percent for PacifiCorp, and .05 percent for Avista, Cascade, and Idaho Power.</t>
  </si>
  <si>
    <t xml:space="preserve">Note:Budget/Request may not exceed 80 percent of allocation or </t>
  </si>
  <si>
    <t>22-356</t>
  </si>
  <si>
    <t>22-354</t>
  </si>
  <si>
    <t>22-357</t>
  </si>
  <si>
    <t>22-355</t>
  </si>
  <si>
    <t>22-367</t>
  </si>
  <si>
    <t>22-366</t>
  </si>
  <si>
    <t>22-369</t>
  </si>
  <si>
    <t>22-365</t>
  </si>
  <si>
    <t>22-370</t>
  </si>
  <si>
    <t>22-368</t>
  </si>
  <si>
    <t>22-417</t>
  </si>
  <si>
    <t>22-418</t>
  </si>
  <si>
    <t>21-416</t>
  </si>
  <si>
    <t>22-426</t>
  </si>
  <si>
    <t>Amendment to Budget</t>
  </si>
  <si>
    <t>UE 401</t>
  </si>
  <si>
    <t>22-441</t>
  </si>
  <si>
    <t>22-447</t>
  </si>
  <si>
    <t>22-449</t>
  </si>
  <si>
    <t>23-015</t>
  </si>
  <si>
    <t>23-022</t>
  </si>
  <si>
    <t>23-021</t>
  </si>
  <si>
    <t>23-019</t>
  </si>
  <si>
    <t>23-020</t>
  </si>
  <si>
    <t>23-018</t>
  </si>
  <si>
    <t>23-017</t>
  </si>
  <si>
    <t>LC 79</t>
  </si>
  <si>
    <t>UM 2225</t>
  </si>
  <si>
    <t>23-013</t>
  </si>
  <si>
    <t>23-037</t>
  </si>
  <si>
    <t>22-507</t>
  </si>
  <si>
    <t>LC 76</t>
  </si>
  <si>
    <t>LC 78</t>
  </si>
  <si>
    <t>23-041</t>
  </si>
  <si>
    <t>22-042</t>
  </si>
  <si>
    <t>23-043</t>
  </si>
  <si>
    <t>23-044</t>
  </si>
  <si>
    <t>PGE 2023 (UM 2264 in effect through 2027)</t>
  </si>
  <si>
    <t>CUB 2023</t>
  </si>
  <si>
    <t>Matching 2023</t>
  </si>
  <si>
    <t>Issue 2023</t>
  </si>
  <si>
    <t>Case Certified 2023</t>
  </si>
  <si>
    <t>Case-Certified</t>
  </si>
  <si>
    <t>Total 2023 Budget</t>
  </si>
  <si>
    <t>PacifiCorp 2023 (UM 2264 in effect through 2027)</t>
  </si>
  <si>
    <t>2023 Annual Grant</t>
  </si>
  <si>
    <t>CUB Fund and Issue Fund Increase by 3% each year</t>
  </si>
  <si>
    <t>Matching and Case Certified Funds do not increase</t>
  </si>
  <si>
    <t>UM 2264</t>
  </si>
  <si>
    <t>Case Certified</t>
  </si>
  <si>
    <t>NWN 2023 (UM 2264 in effect through 2027)</t>
  </si>
  <si>
    <t>CASCADE 2023 (UM 2264 in effect through 2027)</t>
  </si>
  <si>
    <t>Case-Certified 2023</t>
  </si>
  <si>
    <t>AVISTA 2023 (UM 2264 effective through 2027)</t>
  </si>
  <si>
    <t>IDAHO POWER 2023 (UM 2126 in effect through 2025)</t>
  </si>
  <si>
    <t>PacifiCorp MSP 2023 (UM 1586 effective through 2023)</t>
  </si>
  <si>
    <t>CUB MSP 2023</t>
  </si>
  <si>
    <t>AWEC MSP 2023</t>
  </si>
  <si>
    <t>Total 2023 Uncommitted</t>
  </si>
  <si>
    <t>Pre-Certification Fund</t>
  </si>
  <si>
    <t>Case Fund</t>
  </si>
  <si>
    <t xml:space="preserve">Fund Type </t>
  </si>
  <si>
    <t>Pre-Certification</t>
  </si>
  <si>
    <t>2023 JUSTICE FUNDING  (UM 2211 Order No. 23-033 through 2024)</t>
  </si>
  <si>
    <t>2022 INTERIM HB 2475 (UM 2211 Order No. 22-043)</t>
  </si>
  <si>
    <t>2024 JUSTICE FUNDING  (UM 2211 Order No. 23-033 through 2024)</t>
  </si>
  <si>
    <t>2024 Annual Grant</t>
  </si>
  <si>
    <t>Total 2024 Budget</t>
  </si>
  <si>
    <t>23-073</t>
  </si>
  <si>
    <t>21-478/ 23-073</t>
  </si>
  <si>
    <t>N/A</t>
  </si>
  <si>
    <t xml:space="preserve">AWEC </t>
  </si>
  <si>
    <t>Justice Funding -Pre-Certified</t>
  </si>
  <si>
    <t>Justice Funding Case Funds</t>
  </si>
  <si>
    <t>Intervenor Funds Summary 2023</t>
  </si>
  <si>
    <t>Paid 2023</t>
  </si>
  <si>
    <t>Case-Cert</t>
  </si>
  <si>
    <t>case fund '.4*2022 balance</t>
  </si>
  <si>
    <t>.6*2022 bal</t>
  </si>
  <si>
    <t>Case-certified</t>
  </si>
  <si>
    <t>UE 416</t>
  </si>
  <si>
    <t>LC 80</t>
  </si>
  <si>
    <t>Rel. Rmdr</t>
  </si>
  <si>
    <t>23-089</t>
  </si>
  <si>
    <t>23-090</t>
  </si>
  <si>
    <t>23-092</t>
  </si>
  <si>
    <t>23-091</t>
  </si>
  <si>
    <t>remainder released</t>
  </si>
  <si>
    <t>23-096</t>
  </si>
  <si>
    <t>23-095</t>
  </si>
  <si>
    <t>23-094</t>
  </si>
  <si>
    <t>22-226</t>
  </si>
  <si>
    <t>final payment of 22800</t>
  </si>
  <si>
    <t>23-013 and 3/13/23 amend</t>
  </si>
  <si>
    <t>Orignal $10,350.</t>
  </si>
  <si>
    <t>23-129</t>
  </si>
  <si>
    <t>23-130</t>
  </si>
  <si>
    <t>CC 22-305, budget denied 8/22/22</t>
  </si>
  <si>
    <t>Proposed Budget denied in 22-305</t>
  </si>
  <si>
    <t>Amended Proposed Budget of $22,080</t>
  </si>
  <si>
    <t>LC 82</t>
  </si>
  <si>
    <t>23-XXX</t>
  </si>
  <si>
    <t>(Acknowledgement Order)</t>
  </si>
  <si>
    <t>23-100</t>
  </si>
  <si>
    <t>UM 2114</t>
  </si>
  <si>
    <t>23-101</t>
  </si>
  <si>
    <t>23-102</t>
  </si>
  <si>
    <t>23-099</t>
  </si>
  <si>
    <t>Payment requested 3/21/23 and amend</t>
  </si>
  <si>
    <t>23-135</t>
  </si>
  <si>
    <t>23-086</t>
  </si>
  <si>
    <t>23-085</t>
  </si>
  <si>
    <t>23-087</t>
  </si>
  <si>
    <t>UE 420</t>
  </si>
  <si>
    <t>23-149</t>
  </si>
  <si>
    <t>23-150</t>
  </si>
  <si>
    <t>23-171</t>
  </si>
  <si>
    <t>23-172</t>
  </si>
  <si>
    <t>23-183</t>
  </si>
  <si>
    <t>NOTICES OF INTENT 2023</t>
  </si>
  <si>
    <t>Date</t>
  </si>
  <si>
    <t xml:space="preserve">Docket </t>
  </si>
  <si>
    <t>IF or JF</t>
  </si>
  <si>
    <t>Request Date</t>
  </si>
  <si>
    <t>Entered on Spreadsheet</t>
  </si>
  <si>
    <t>Docket</t>
  </si>
  <si>
    <t>2023 ELIGIBILITY AND CASE CERTIFICATION REQUESTS</t>
  </si>
  <si>
    <t>UG 462</t>
  </si>
  <si>
    <t>UM 2277</t>
  </si>
  <si>
    <t>IF</t>
  </si>
  <si>
    <t>UG 461</t>
  </si>
  <si>
    <t>AWEC Electric</t>
  </si>
  <si>
    <t>AWEC Gas</t>
  </si>
  <si>
    <t>JF</t>
  </si>
  <si>
    <t>UE 417</t>
  </si>
  <si>
    <t>LC 81</t>
  </si>
  <si>
    <t>Requested Date</t>
  </si>
  <si>
    <t>Not yet</t>
  </si>
  <si>
    <t>Amended Request</t>
  </si>
  <si>
    <t>23-197</t>
  </si>
  <si>
    <t>CAPO - Case Fund PGE</t>
  </si>
  <si>
    <t>23-199</t>
  </si>
  <si>
    <t>23-200</t>
  </si>
  <si>
    <t>23-203</t>
  </si>
  <si>
    <t>23-204</t>
  </si>
  <si>
    <t>23-151/23-202</t>
  </si>
  <si>
    <t>23-207</t>
  </si>
  <si>
    <t>23-165</t>
  </si>
  <si>
    <t>Errata Amended Proposed Budget $22,120, Amount available is only 7311.09</t>
  </si>
  <si>
    <t>Negative balance due to SBUA 2022 request, 6/26/23 negative balance cleared by CUB and AWEC Amendments</t>
  </si>
  <si>
    <t>23-267</t>
  </si>
  <si>
    <t>LC 83</t>
  </si>
  <si>
    <t>See amendment in 2023</t>
  </si>
  <si>
    <t>Amendment of 2022 budget, add'l 25k</t>
  </si>
  <si>
    <t>RC</t>
  </si>
  <si>
    <t>UM 2273</t>
  </si>
  <si>
    <t>OJTA</t>
  </si>
  <si>
    <t>Verde</t>
  </si>
  <si>
    <t>23-180</t>
  </si>
  <si>
    <t>RC requests 50% upfront</t>
  </si>
  <si>
    <t>23-269</t>
  </si>
  <si>
    <t>23-268</t>
  </si>
  <si>
    <t>23-270</t>
  </si>
  <si>
    <t>23-271</t>
  </si>
  <si>
    <t>Rogue Climate Case Fund PacifiCorp</t>
  </si>
  <si>
    <t>Community Energy Project, case certified Order No. 23-273</t>
  </si>
  <si>
    <t>23-272</t>
  </si>
  <si>
    <t>23-274</t>
  </si>
  <si>
    <t>23-273</t>
  </si>
  <si>
    <t>Community Energy Project</t>
  </si>
  <si>
    <t>Community Action Partnership of Oregon</t>
  </si>
  <si>
    <t>Release rmdr</t>
  </si>
  <si>
    <t>23-278</t>
  </si>
  <si>
    <t>23-279</t>
  </si>
  <si>
    <t>23-280</t>
  </si>
  <si>
    <t>amended 8/2/23</t>
  </si>
  <si>
    <t>amended 9/7/23</t>
  </si>
  <si>
    <t>CAPO/amended req. 9-7-23</t>
  </si>
  <si>
    <t>23-322</t>
  </si>
  <si>
    <t>23-323</t>
  </si>
  <si>
    <t>reallocate to UE 416 $25680.84</t>
  </si>
  <si>
    <t>Rmdr released</t>
  </si>
  <si>
    <t>23-335</t>
  </si>
  <si>
    <t>released</t>
  </si>
  <si>
    <t>23-336</t>
  </si>
  <si>
    <t>23-337</t>
  </si>
  <si>
    <t>23-343</t>
  </si>
  <si>
    <t>23-197/23-341/23-346</t>
  </si>
  <si>
    <t>23-123</t>
  </si>
  <si>
    <t>23-384</t>
  </si>
  <si>
    <t>23-201/23-304</t>
  </si>
  <si>
    <t xml:space="preserve">IF Case </t>
  </si>
  <si>
    <t>23-358</t>
  </si>
  <si>
    <t>23-368</t>
  </si>
  <si>
    <t>23-417</t>
  </si>
  <si>
    <t>9/25/23 Petition for certification</t>
  </si>
  <si>
    <t>23-381</t>
  </si>
  <si>
    <t>23-435</t>
  </si>
  <si>
    <t>23-434</t>
  </si>
  <si>
    <t>23-436</t>
  </si>
  <si>
    <t>UM 2276</t>
  </si>
  <si>
    <t>23-443</t>
  </si>
  <si>
    <t>23-444</t>
  </si>
  <si>
    <t>23-463</t>
  </si>
  <si>
    <t>23-464</t>
  </si>
  <si>
    <t>Final payment remainder released</t>
  </si>
  <si>
    <t>23-465</t>
  </si>
  <si>
    <t>23-466</t>
  </si>
  <si>
    <t>The requested amount was $731 above the available amount</t>
  </si>
  <si>
    <t>CEP PreCertification Request</t>
  </si>
  <si>
    <t>SBUA in UE 416</t>
  </si>
  <si>
    <t>Released back to Fund</t>
  </si>
  <si>
    <t>23-483</t>
  </si>
  <si>
    <t>PGE 2024 (UM 2264 in effect through 2027)</t>
  </si>
  <si>
    <t>CUB 2024</t>
  </si>
  <si>
    <t>Matching 2024</t>
  </si>
  <si>
    <t>Issue 2024</t>
  </si>
  <si>
    <t>Case Certified 2024</t>
  </si>
  <si>
    <t>PacifiCorp 2024 (UM 2264 in effect through 2027)</t>
  </si>
  <si>
    <t>NWN 2024 (UM 2264 in effect through 2027)</t>
  </si>
  <si>
    <t>CASCADE 2024 (UM 2264 in effect through 2027)</t>
  </si>
  <si>
    <t>AVISTA 2024 (UM 2264 effective through 2027)</t>
  </si>
  <si>
    <t>Case-Certified 2024</t>
  </si>
  <si>
    <t>IDAHO POWER 2024 (UM 2126 in effect through 2025)</t>
  </si>
  <si>
    <t>PacifiCorp MSP 2024 (UM 1586 effective through 2023)</t>
  </si>
  <si>
    <t>CUB MSP 2024</t>
  </si>
  <si>
    <t>AWEC MSP 2024</t>
  </si>
  <si>
    <t>Total 2024 Uncommitted</t>
  </si>
  <si>
    <t>Grant repayments in rows under grant check no. in notes</t>
  </si>
  <si>
    <t>UG 490</t>
  </si>
  <si>
    <t>UM 2312</t>
  </si>
  <si>
    <t>24-006</t>
  </si>
  <si>
    <t>24-007</t>
  </si>
  <si>
    <t>PGE PAC grant amts adjusted</t>
  </si>
  <si>
    <t>23-485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</si>
</sst>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7" x14ac:knownFonts="1">
    <font>
      <sz val="10"/>
      <name val="Arial"/>
    </font>
    <font>
      <sz val="10"/>
      <name val="Arial"/>
      <family val="2"/>
    </font>
    <font>
      <b/>
      <sz val="20"/>
      <name val="Arial"/>
      <family val="2"/>
    </font>
    <font>
      <b/>
      <u/>
      <sz val="10"/>
      <name val="Arial"/>
      <family val="2"/>
    </font>
    <font>
      <b/>
      <sz val="16"/>
      <name val="Arial"/>
      <family val="2"/>
    </font>
    <font>
      <u/>
      <sz val="10"/>
      <name val="Arial"/>
      <family val="2"/>
    </font>
    <font>
      <b/>
      <sz val="18"/>
      <name val="Arial"/>
      <family val="2"/>
    </font>
    <font>
      <sz val="8"/>
      <name val="Arial"/>
      <family val="2"/>
    </font>
    <font>
      <sz val="10"/>
      <name val="Arial"/>
      <family val="2"/>
    </font>
    <font>
      <b/>
      <sz val="10"/>
      <name val="Arial"/>
      <family val="2"/>
    </font>
    <font>
      <b/>
      <sz val="10"/>
      <name val="Arial"/>
      <family val="2"/>
    </font>
    <font>
      <sz val="10"/>
      <name val="Arial"/>
      <family val="2"/>
    </font>
    <font>
      <sz val="8"/>
      <color indexed="81"/>
      <name val="Tahoma"/>
      <family val="2"/>
    </font>
    <font>
      <b/>
      <sz val="8"/>
      <color indexed="81"/>
      <name val="Tahoma"/>
      <family val="2"/>
    </font>
    <font>
      <sz val="8"/>
      <name val="Arial"/>
      <family val="2"/>
    </font>
    <font>
      <sz val="10"/>
      <color indexed="21"/>
      <name val="Arial"/>
      <family val="2"/>
    </font>
    <font>
      <b/>
      <sz val="8"/>
      <name val="Arial"/>
      <family val="2"/>
    </font>
    <font>
      <sz val="9"/>
      <name val="Arial"/>
      <family val="2"/>
    </font>
    <font>
      <sz val="10"/>
      <color theme="8" tint="-0.249977111117893"/>
      <name val="Arial"/>
      <family val="2"/>
    </font>
    <font>
      <sz val="10"/>
      <color rgb="FF00B0F0"/>
      <name val="Arial"/>
      <family val="2"/>
    </font>
    <font>
      <sz val="8"/>
      <color rgb="FF00B0F0"/>
      <name val="Arial"/>
      <family val="2"/>
    </font>
    <font>
      <sz val="10"/>
      <color theme="8" tint="-0.499984740745262"/>
      <name val="Arial"/>
      <family val="2"/>
    </font>
    <font>
      <sz val="10"/>
      <color theme="4"/>
      <name val="Arial"/>
      <family val="2"/>
    </font>
    <font>
      <sz val="10"/>
      <name val="Arial"/>
    </font>
    <font>
      <u/>
      <sz val="10"/>
      <color rgb="FFFF0000"/>
      <name val="Arial"/>
      <family val="2"/>
    </font>
    <font>
      <u/>
      <sz val="8"/>
      <name val="Arial"/>
      <family val="2"/>
    </font>
    <font>
      <sz val="16"/>
      <name val="Arial"/>
      <family val="2"/>
    </font>
  </fonts>
  <fills count="2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00B0F0"/>
        <bgColor indexed="64"/>
      </patternFill>
    </fill>
    <fill>
      <patternFill patternType="solid">
        <fgColor theme="0"/>
        <bgColor indexed="64"/>
      </patternFill>
    </fill>
    <fill>
      <patternFill patternType="solid">
        <fgColor theme="6" tint="0.79998168889431442"/>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BDE0E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s>
  <borders count="92">
    <border>
      <left/>
      <right/>
      <top/>
      <bottom/>
      <diagonal/>
    </border>
    <border>
      <left style="thin">
        <color indexed="22"/>
      </left>
      <right style="thin">
        <color indexed="22"/>
      </right>
      <top style="thin">
        <color indexed="22"/>
      </top>
      <bottom style="thin">
        <color indexed="22"/>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medium">
        <color indexed="64"/>
      </right>
      <top style="thin">
        <color indexed="64"/>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medium">
        <color indexed="64"/>
      </right>
      <top style="thin">
        <color indexed="22"/>
      </top>
      <bottom style="thin">
        <color indexed="22"/>
      </bottom>
      <diagonal/>
    </border>
    <border>
      <left/>
      <right style="medium">
        <color indexed="64"/>
      </right>
      <top/>
      <bottom/>
      <diagonal/>
    </border>
    <border>
      <left style="medium">
        <color indexed="64"/>
      </left>
      <right/>
      <top/>
      <bottom/>
      <diagonal/>
    </border>
    <border>
      <left style="thin">
        <color indexed="22"/>
      </left>
      <right style="thin">
        <color indexed="22"/>
      </right>
      <top style="thin">
        <color indexed="22"/>
      </top>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top style="thin">
        <color indexed="22"/>
      </top>
      <bottom/>
      <diagonal/>
    </border>
    <border>
      <left/>
      <right style="medium">
        <color indexed="64"/>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diagonal/>
    </border>
    <border>
      <left style="medium">
        <color indexed="64"/>
      </left>
      <right style="thin">
        <color indexed="22"/>
      </right>
      <top/>
      <bottom/>
      <diagonal/>
    </border>
    <border>
      <left style="medium">
        <color indexed="64"/>
      </left>
      <right style="thin">
        <color indexed="22"/>
      </right>
      <top/>
      <bottom style="thin">
        <color indexed="22"/>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22"/>
      </left>
      <right style="medium">
        <color indexed="64"/>
      </right>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diagonal/>
    </border>
    <border>
      <left style="thick">
        <color indexed="64"/>
      </left>
      <right/>
      <top style="medium">
        <color indexed="64"/>
      </top>
      <bottom/>
      <diagonal/>
    </border>
    <border>
      <left style="thick">
        <color indexed="64"/>
      </left>
      <right/>
      <top/>
      <bottom style="thick">
        <color indexed="64"/>
      </bottom>
      <diagonal/>
    </border>
    <border>
      <left style="thick">
        <color indexed="64"/>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22"/>
      </left>
      <right style="medium">
        <color indexed="64"/>
      </right>
      <top/>
      <bottom/>
      <diagonal/>
    </border>
    <border>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thin">
        <color indexed="22"/>
      </left>
      <right/>
      <top style="thin">
        <color indexed="22"/>
      </top>
      <bottom style="thin">
        <color indexed="22"/>
      </bottom>
      <diagonal/>
    </border>
    <border>
      <left style="thin">
        <color indexed="22"/>
      </left>
      <right style="thin">
        <color indexed="22"/>
      </right>
      <top style="thin">
        <color theme="0" tint="-0.14999847407452621"/>
      </top>
      <bottom style="thin">
        <color indexed="22"/>
      </bottom>
      <diagonal/>
    </border>
    <border>
      <left style="thin">
        <color indexed="22"/>
      </left>
      <right/>
      <top style="thin">
        <color theme="0" tint="-0.14999847407452621"/>
      </top>
      <bottom style="thin">
        <color indexed="22"/>
      </bottom>
      <diagonal/>
    </border>
    <border>
      <left style="thin">
        <color indexed="22"/>
      </left>
      <right/>
      <top style="thin">
        <color indexed="22"/>
      </top>
      <bottom/>
      <diagonal/>
    </border>
    <border>
      <left style="thin">
        <color indexed="22"/>
      </left>
      <right style="thin">
        <color indexed="22"/>
      </right>
      <top style="thin">
        <color indexed="22"/>
      </top>
      <bottom style="thin">
        <color theme="0" tint="-0.249977111117893"/>
      </bottom>
      <diagonal/>
    </border>
    <border>
      <left style="thin">
        <color indexed="22"/>
      </left>
      <right style="medium">
        <color indexed="64"/>
      </right>
      <top style="thin">
        <color indexed="22"/>
      </top>
      <bottom style="thin">
        <color theme="0" tint="-0.249977111117893"/>
      </bottom>
      <diagonal/>
    </border>
    <border>
      <left/>
      <right style="thin">
        <color indexed="22"/>
      </right>
      <top style="thin">
        <color indexed="22"/>
      </top>
      <bottom/>
      <diagonal/>
    </border>
    <border>
      <left/>
      <right/>
      <top style="thin">
        <color indexed="22"/>
      </top>
      <bottom/>
      <diagonal/>
    </border>
    <border>
      <left/>
      <right/>
      <top style="thin">
        <color theme="0" tint="-0.249977111117893"/>
      </top>
      <bottom style="thin">
        <color indexed="22"/>
      </bottom>
      <diagonal/>
    </border>
    <border>
      <left/>
      <right/>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theme="0" tint="-0.24994659260841701"/>
      </bottom>
      <diagonal/>
    </border>
    <border>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64"/>
      </right>
      <top style="thin">
        <color indexed="64"/>
      </top>
      <bottom/>
      <diagonal/>
    </border>
    <border>
      <left style="thin">
        <color indexed="22"/>
      </left>
      <right style="thin">
        <color indexed="64"/>
      </right>
      <top style="thin">
        <color indexed="22"/>
      </top>
      <bottom style="thin">
        <color indexed="22"/>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medium">
        <color indexed="64"/>
      </left>
      <right style="medium">
        <color indexed="64"/>
      </right>
      <top/>
      <bottom style="thin">
        <color indexed="22"/>
      </bottom>
      <diagonal/>
    </border>
    <border>
      <left style="thin">
        <color indexed="22"/>
      </left>
      <right style="thin">
        <color indexed="22"/>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auto="1"/>
      </right>
      <top style="medium">
        <color theme="0" tint="-0.24994659260841701"/>
      </top>
      <bottom style="medium">
        <color theme="0" tint="-0.24994659260841701"/>
      </bottom>
      <diagonal/>
    </border>
    <border>
      <left style="thin">
        <color theme="0" tint="-0.34998626667073579"/>
      </left>
      <right style="thin">
        <color theme="0" tint="-0.34998626667073579"/>
      </right>
      <top style="thin">
        <color theme="0" tint="-0.34998626667073579"/>
      </top>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14999847407452621"/>
      </top>
      <bottom/>
      <diagonal/>
    </border>
    <border>
      <left style="thin">
        <color indexed="22"/>
      </left>
      <right/>
      <top style="thin">
        <color indexed="22"/>
      </top>
      <bottom style="medium">
        <color indexed="64"/>
      </bottom>
      <diagonal/>
    </border>
  </borders>
  <cellStyleXfs count="2">
    <xf numFmtId="0" fontId="0" fillId="0" borderId="0"/>
    <xf numFmtId="44" fontId="23" fillId="0" borderId="0" applyFont="0" applyFill="0" applyBorder="0" applyAlignment="0" applyProtection="0"/>
  </cellStyleXfs>
  <cellXfs count="539">
    <xf numFmtId="0" fontId="0" fillId="0" borderId="0" xfId="0"/>
    <xf numFmtId="0" fontId="2" fillId="0" borderId="0" xfId="0" applyFont="1"/>
    <xf numFmtId="0" fontId="3" fillId="0" borderId="0" xfId="0" applyFont="1" applyAlignment="1">
      <alignment horizontal="center"/>
    </xf>
    <xf numFmtId="0" fontId="3" fillId="0" borderId="0" xfId="0" applyFont="1"/>
    <xf numFmtId="0" fontId="0" fillId="2" borderId="2" xfId="0" applyFill="1" applyBorder="1"/>
    <xf numFmtId="0" fontId="6" fillId="2" borderId="3" xfId="0" applyFont="1" applyFill="1" applyBorder="1"/>
    <xf numFmtId="0" fontId="0" fillId="2" borderId="3" xfId="0" applyFill="1" applyBorder="1"/>
    <xf numFmtId="0" fontId="0" fillId="2" borderId="4" xfId="0" applyFill="1" applyBorder="1"/>
    <xf numFmtId="14" fontId="0" fillId="0" borderId="0" xfId="0" applyNumberFormat="1"/>
    <xf numFmtId="0" fontId="4" fillId="0" borderId="0" xfId="0" applyFont="1"/>
    <xf numFmtId="0" fontId="8"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5" fillId="0" borderId="0" xfId="0" applyFont="1" applyAlignment="1">
      <alignment horizontal="center"/>
    </xf>
    <xf numFmtId="0" fontId="4" fillId="0" borderId="0" xfId="0" applyFont="1" applyAlignment="1">
      <alignment horizontal="center"/>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164" fontId="0" fillId="0" borderId="0" xfId="0" applyNumberFormat="1" applyAlignment="1">
      <alignment horizontal="center"/>
    </xf>
    <xf numFmtId="0" fontId="9" fillId="0" borderId="8" xfId="0" applyFont="1" applyBorder="1" applyAlignment="1">
      <alignment horizontal="center" wrapText="1"/>
    </xf>
    <xf numFmtId="0" fontId="9" fillId="0" borderId="9" xfId="0" applyFont="1" applyBorder="1" applyAlignment="1">
      <alignment horizontal="center" wrapText="1"/>
    </xf>
    <xf numFmtId="0" fontId="9" fillId="0" borderId="10" xfId="0" applyFont="1" applyBorder="1" applyAlignment="1">
      <alignment horizontal="center" wrapText="1"/>
    </xf>
    <xf numFmtId="164" fontId="1" fillId="0" borderId="11" xfId="0" applyNumberFormat="1" applyFont="1" applyBorder="1" applyAlignment="1">
      <alignment horizontal="center"/>
    </xf>
    <xf numFmtId="164" fontId="1" fillId="0" borderId="12" xfId="0" applyNumberFormat="1" applyFont="1" applyBorder="1" applyAlignment="1">
      <alignment horizontal="center"/>
    </xf>
    <xf numFmtId="164" fontId="1" fillId="0" borderId="13" xfId="0" applyNumberFormat="1" applyFont="1" applyBorder="1" applyAlignment="1">
      <alignment horizontal="center"/>
    </xf>
    <xf numFmtId="164" fontId="1" fillId="0" borderId="14" xfId="0" applyNumberFormat="1" applyFont="1" applyBorder="1" applyAlignment="1">
      <alignment horizontal="center"/>
    </xf>
    <xf numFmtId="164" fontId="1" fillId="0" borderId="1" xfId="0" applyNumberFormat="1" applyFont="1" applyBorder="1" applyAlignment="1">
      <alignment horizontal="center"/>
    </xf>
    <xf numFmtId="164" fontId="1" fillId="0" borderId="15" xfId="0" applyNumberFormat="1" applyFont="1" applyBorder="1" applyAlignment="1">
      <alignment horizontal="center"/>
    </xf>
    <xf numFmtId="164" fontId="8" fillId="0" borderId="1" xfId="0" applyNumberFormat="1" applyFont="1" applyBorder="1" applyAlignment="1">
      <alignment horizontal="center"/>
    </xf>
    <xf numFmtId="164" fontId="0" fillId="0" borderId="16" xfId="0" applyNumberFormat="1"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164" fontId="9" fillId="0" borderId="11" xfId="0" applyNumberFormat="1" applyFont="1" applyBorder="1" applyAlignment="1">
      <alignment horizontal="center"/>
    </xf>
    <xf numFmtId="164" fontId="9" fillId="0" borderId="14" xfId="0" applyNumberFormat="1" applyFont="1" applyBorder="1" applyAlignment="1">
      <alignment horizontal="center"/>
    </xf>
    <xf numFmtId="164" fontId="1" fillId="3" borderId="19" xfId="0" applyNumberFormat="1" applyFont="1" applyFill="1" applyBorder="1" applyAlignment="1">
      <alignment horizontal="center"/>
    </xf>
    <xf numFmtId="164" fontId="11" fillId="0" borderId="1" xfId="0" applyNumberFormat="1" applyFont="1" applyBorder="1" applyAlignment="1">
      <alignment horizontal="center"/>
    </xf>
    <xf numFmtId="164" fontId="11" fillId="0" borderId="15" xfId="0" applyNumberFormat="1" applyFont="1" applyBorder="1" applyAlignment="1">
      <alignment horizontal="center"/>
    </xf>
    <xf numFmtId="164" fontId="11" fillId="0" borderId="14" xfId="0" applyNumberFormat="1" applyFont="1" applyBorder="1" applyAlignment="1">
      <alignment horizontal="center"/>
    </xf>
    <xf numFmtId="164" fontId="11" fillId="3" borderId="19" xfId="0" applyNumberFormat="1" applyFont="1" applyFill="1" applyBorder="1" applyAlignment="1">
      <alignment horizontal="center"/>
    </xf>
    <xf numFmtId="0" fontId="5" fillId="0" borderId="20" xfId="0" applyFont="1" applyBorder="1" applyAlignment="1">
      <alignment horizontal="center"/>
    </xf>
    <xf numFmtId="164" fontId="0" fillId="4" borderId="0" xfId="0" applyNumberFormat="1" applyFill="1" applyAlignment="1">
      <alignment horizontal="center"/>
    </xf>
    <xf numFmtId="0" fontId="5" fillId="0" borderId="21" xfId="0" applyFont="1" applyBorder="1" applyAlignment="1">
      <alignment horizontal="center"/>
    </xf>
    <xf numFmtId="164" fontId="0" fillId="0" borderId="0" xfId="0" applyNumberFormat="1"/>
    <xf numFmtId="164" fontId="1" fillId="0" borderId="1" xfId="0" applyNumberFormat="1" applyFont="1" applyBorder="1" applyAlignment="1">
      <alignment horizontal="center" vertical="center"/>
    </xf>
    <xf numFmtId="164" fontId="1" fillId="0" borderId="24" xfId="0" applyNumberFormat="1" applyFont="1" applyBorder="1" applyAlignment="1">
      <alignment horizontal="center"/>
    </xf>
    <xf numFmtId="164" fontId="1" fillId="0" borderId="15" xfId="0" applyNumberFormat="1" applyFont="1" applyBorder="1" applyAlignment="1">
      <alignment horizontal="center" wrapText="1"/>
    </xf>
    <xf numFmtId="164" fontId="11" fillId="0" borderId="25" xfId="0" applyNumberFormat="1" applyFont="1" applyBorder="1" applyAlignment="1">
      <alignment horizontal="center"/>
    </xf>
    <xf numFmtId="164" fontId="9" fillId="4" borderId="0" xfId="0" applyNumberFormat="1" applyFont="1" applyFill="1" applyAlignment="1">
      <alignment horizontal="center"/>
    </xf>
    <xf numFmtId="4" fontId="0" fillId="0" borderId="0" xfId="0" applyNumberFormat="1"/>
    <xf numFmtId="0" fontId="0" fillId="0" borderId="0" xfId="0" applyAlignment="1">
      <alignment horizontal="center" vertical="top"/>
    </xf>
    <xf numFmtId="0" fontId="14" fillId="0" borderId="0" xfId="0" applyFont="1" applyAlignment="1">
      <alignment horizontal="center"/>
    </xf>
    <xf numFmtId="0" fontId="0" fillId="0" borderId="0" xfId="0" applyAlignment="1">
      <alignment wrapText="1"/>
    </xf>
    <xf numFmtId="0" fontId="1" fillId="0" borderId="12" xfId="0" applyFont="1" applyBorder="1" applyAlignment="1">
      <alignment horizontal="center"/>
    </xf>
    <xf numFmtId="14" fontId="1" fillId="0" borderId="12" xfId="0" applyNumberFormat="1" applyFont="1" applyBorder="1" applyAlignment="1">
      <alignment horizontal="center"/>
    </xf>
    <xf numFmtId="0" fontId="1" fillId="0" borderId="1" xfId="0" applyFont="1" applyBorder="1" applyAlignment="1">
      <alignment horizontal="center"/>
    </xf>
    <xf numFmtId="0" fontId="1" fillId="0" borderId="22" xfId="0" applyFont="1" applyBorder="1" applyAlignment="1">
      <alignment horizontal="center"/>
    </xf>
    <xf numFmtId="14" fontId="1" fillId="0" borderId="22" xfId="0" applyNumberFormat="1" applyFont="1" applyBorder="1" applyAlignment="1">
      <alignment horizontal="center"/>
    </xf>
    <xf numFmtId="0" fontId="0" fillId="0" borderId="17" xfId="0" applyBorder="1" applyAlignment="1">
      <alignment horizontal="center"/>
    </xf>
    <xf numFmtId="14" fontId="1" fillId="0" borderId="1" xfId="0" applyNumberFormat="1" applyFont="1" applyBorder="1" applyAlignment="1">
      <alignment horizontal="center"/>
    </xf>
    <xf numFmtId="164" fontId="9" fillId="0" borderId="17" xfId="0" applyNumberFormat="1" applyFont="1" applyBorder="1" applyAlignment="1">
      <alignment horizontal="right"/>
    </xf>
    <xf numFmtId="164" fontId="1" fillId="0" borderId="12" xfId="0" applyNumberFormat="1" applyFont="1" applyBorder="1" applyAlignment="1">
      <alignment horizontal="right"/>
    </xf>
    <xf numFmtId="164" fontId="1" fillId="0" borderId="1" xfId="0" applyNumberFormat="1" applyFont="1" applyBorder="1" applyAlignment="1">
      <alignment horizontal="right"/>
    </xf>
    <xf numFmtId="164" fontId="1" fillId="3" borderId="19" xfId="0" applyNumberFormat="1" applyFont="1" applyFill="1" applyBorder="1" applyAlignment="1">
      <alignment horizontal="right"/>
    </xf>
    <xf numFmtId="164" fontId="9" fillId="0" borderId="1" xfId="0" applyNumberFormat="1" applyFont="1" applyBorder="1" applyAlignment="1">
      <alignment horizontal="right"/>
    </xf>
    <xf numFmtId="164" fontId="10" fillId="0" borderId="1" xfId="0" applyNumberFormat="1" applyFont="1" applyBorder="1" applyAlignment="1">
      <alignment horizontal="right"/>
    </xf>
    <xf numFmtId="164" fontId="11" fillId="0" borderId="1" xfId="0" applyNumberFormat="1" applyFont="1" applyBorder="1" applyAlignment="1">
      <alignment horizontal="right"/>
    </xf>
    <xf numFmtId="164" fontId="1" fillId="0" borderId="1" xfId="0" applyNumberFormat="1" applyFont="1" applyBorder="1" applyAlignment="1">
      <alignment horizontal="right" vertical="center"/>
    </xf>
    <xf numFmtId="164" fontId="11" fillId="0" borderId="12" xfId="0" applyNumberFormat="1" applyFont="1" applyBorder="1" applyAlignment="1">
      <alignment horizontal="right"/>
    </xf>
    <xf numFmtId="164" fontId="11" fillId="3" borderId="19" xfId="0" applyNumberFormat="1" applyFont="1" applyFill="1" applyBorder="1" applyAlignment="1">
      <alignment horizontal="right"/>
    </xf>
    <xf numFmtId="0" fontId="0" fillId="0" borderId="3" xfId="0" applyBorder="1"/>
    <xf numFmtId="0" fontId="0" fillId="0" borderId="29" xfId="0" applyBorder="1" applyAlignment="1">
      <alignment wrapText="1"/>
    </xf>
    <xf numFmtId="0" fontId="0" fillId="0" borderId="30" xfId="0" applyBorder="1" applyAlignment="1">
      <alignment wrapText="1"/>
    </xf>
    <xf numFmtId="0" fontId="0" fillId="0" borderId="29" xfId="0" applyBorder="1"/>
    <xf numFmtId="4" fontId="0" fillId="0" borderId="30" xfId="0" applyNumberFormat="1" applyBorder="1"/>
    <xf numFmtId="0" fontId="0" fillId="0" borderId="31" xfId="0" applyBorder="1"/>
    <xf numFmtId="0" fontId="0" fillId="0" borderId="32" xfId="0" applyBorder="1"/>
    <xf numFmtId="4" fontId="0" fillId="0" borderId="32" xfId="0" applyNumberFormat="1" applyBorder="1"/>
    <xf numFmtId="4" fontId="0" fillId="0" borderId="33" xfId="0" applyNumberFormat="1" applyBorder="1"/>
    <xf numFmtId="164" fontId="9" fillId="0" borderId="0" xfId="0" applyNumberFormat="1" applyFont="1" applyAlignment="1">
      <alignment horizontal="right"/>
    </xf>
    <xf numFmtId="4" fontId="1" fillId="0" borderId="0" xfId="0" applyNumberFormat="1" applyFont="1"/>
    <xf numFmtId="4" fontId="9" fillId="0" borderId="0" xfId="0" applyNumberFormat="1" applyFont="1"/>
    <xf numFmtId="0" fontId="9" fillId="0" borderId="0" xfId="0" applyFont="1" applyAlignment="1">
      <alignment wrapText="1"/>
    </xf>
    <xf numFmtId="0" fontId="0" fillId="0" borderId="34" xfId="0" applyBorder="1"/>
    <xf numFmtId="164" fontId="8" fillId="0" borderId="24" xfId="0" applyNumberFormat="1" applyFont="1" applyBorder="1" applyAlignment="1">
      <alignment horizontal="center"/>
    </xf>
    <xf numFmtId="164" fontId="8" fillId="0" borderId="15" xfId="0" applyNumberFormat="1" applyFont="1" applyBorder="1" applyAlignment="1">
      <alignment horizontal="center" wrapText="1"/>
    </xf>
    <xf numFmtId="164" fontId="8" fillId="0" borderId="24" xfId="0" applyNumberFormat="1" applyFont="1" applyBorder="1" applyAlignment="1">
      <alignment horizontal="center" wrapText="1"/>
    </xf>
    <xf numFmtId="164" fontId="8" fillId="0" borderId="22" xfId="0" applyNumberFormat="1" applyFont="1" applyBorder="1" applyAlignment="1">
      <alignment horizontal="right"/>
    </xf>
    <xf numFmtId="164" fontId="8" fillId="0" borderId="1" xfId="0" applyNumberFormat="1" applyFont="1" applyBorder="1" applyAlignment="1">
      <alignment horizontal="right"/>
    </xf>
    <xf numFmtId="0" fontId="8" fillId="0" borderId="29" xfId="0" applyFont="1" applyBorder="1"/>
    <xf numFmtId="0" fontId="8" fillId="0" borderId="15" xfId="0" applyFont="1" applyBorder="1" applyAlignment="1">
      <alignment horizontal="center" wrapText="1"/>
    </xf>
    <xf numFmtId="0" fontId="0" fillId="0" borderId="1" xfId="0" applyBorder="1" applyAlignment="1">
      <alignment horizontal="center"/>
    </xf>
    <xf numFmtId="0" fontId="5" fillId="0" borderId="0" xfId="0" applyFont="1" applyAlignment="1">
      <alignment horizontal="right"/>
    </xf>
    <xf numFmtId="164" fontId="0" fillId="0" borderId="0" xfId="0" applyNumberFormat="1" applyAlignment="1">
      <alignment horizontal="right"/>
    </xf>
    <xf numFmtId="164" fontId="0" fillId="4" borderId="0" xfId="0" applyNumberFormat="1" applyFill="1" applyAlignment="1">
      <alignment horizontal="right"/>
    </xf>
    <xf numFmtId="164" fontId="9" fillId="4" borderId="0" xfId="0" applyNumberFormat="1" applyFont="1" applyFill="1" applyAlignment="1">
      <alignment horizontal="right"/>
    </xf>
    <xf numFmtId="0" fontId="0" fillId="0" borderId="1" xfId="0" applyBorder="1"/>
    <xf numFmtId="164" fontId="0" fillId="0" borderId="24" xfId="0" applyNumberFormat="1" applyBorder="1" applyAlignment="1">
      <alignment horizontal="center"/>
    </xf>
    <xf numFmtId="0" fontId="8" fillId="0" borderId="0" xfId="0" applyFont="1"/>
    <xf numFmtId="0" fontId="0" fillId="0" borderId="37" xfId="0" applyBorder="1"/>
    <xf numFmtId="0" fontId="0" fillId="0" borderId="38" xfId="0" applyBorder="1"/>
    <xf numFmtId="0" fontId="0" fillId="0" borderId="39" xfId="0" applyBorder="1"/>
    <xf numFmtId="4" fontId="8" fillId="0" borderId="0" xfId="0" applyNumberFormat="1" applyFont="1"/>
    <xf numFmtId="14" fontId="8" fillId="0" borderId="1" xfId="0" applyNumberFormat="1" applyFont="1" applyBorder="1" applyAlignment="1">
      <alignment horizontal="center"/>
    </xf>
    <xf numFmtId="164" fontId="0" fillId="0" borderId="11" xfId="0" applyNumberFormat="1" applyBorder="1" applyAlignment="1">
      <alignment horizontal="center"/>
    </xf>
    <xf numFmtId="164" fontId="8" fillId="0" borderId="14" xfId="0" applyNumberFormat="1" applyFont="1" applyBorder="1" applyAlignment="1">
      <alignment horizontal="center"/>
    </xf>
    <xf numFmtId="164" fontId="0" fillId="0" borderId="36" xfId="0" applyNumberFormat="1" applyBorder="1" applyAlignment="1">
      <alignment horizontal="center"/>
    </xf>
    <xf numFmtId="164" fontId="1" fillId="0" borderId="27" xfId="0" applyNumberFormat="1" applyFont="1" applyBorder="1" applyAlignment="1">
      <alignment horizontal="center"/>
    </xf>
    <xf numFmtId="164" fontId="1" fillId="0" borderId="27" xfId="0" applyNumberFormat="1" applyFont="1" applyBorder="1" applyAlignment="1">
      <alignment horizontal="right"/>
    </xf>
    <xf numFmtId="164" fontId="11" fillId="0" borderId="16" xfId="0" applyNumberFormat="1" applyFont="1" applyBorder="1" applyAlignment="1">
      <alignment horizontal="center"/>
    </xf>
    <xf numFmtId="164" fontId="11" fillId="0" borderId="17" xfId="0" applyNumberFormat="1" applyFont="1" applyBorder="1" applyAlignment="1">
      <alignment horizontal="center"/>
    </xf>
    <xf numFmtId="164" fontId="11" fillId="0" borderId="18" xfId="0" applyNumberFormat="1" applyFont="1" applyBorder="1" applyAlignment="1">
      <alignment horizontal="center"/>
    </xf>
    <xf numFmtId="4" fontId="8" fillId="0" borderId="0" xfId="0" applyNumberFormat="1" applyFont="1" applyAlignment="1">
      <alignment wrapText="1"/>
    </xf>
    <xf numFmtId="4" fontId="9" fillId="0" borderId="0" xfId="0" applyNumberFormat="1" applyFont="1" applyAlignment="1">
      <alignment wrapText="1"/>
    </xf>
    <xf numFmtId="0" fontId="0" fillId="0" borderId="41" xfId="0" applyBorder="1"/>
    <xf numFmtId="0" fontId="0" fillId="0" borderId="42" xfId="0" applyBorder="1"/>
    <xf numFmtId="0" fontId="0" fillId="0" borderId="43" xfId="0" applyBorder="1"/>
    <xf numFmtId="0" fontId="0" fillId="0" borderId="6" xfId="0" applyBorder="1"/>
    <xf numFmtId="0" fontId="0" fillId="0" borderId="44" xfId="0" applyBorder="1"/>
    <xf numFmtId="0" fontId="0" fillId="0" borderId="48" xfId="0" applyBorder="1"/>
    <xf numFmtId="0" fontId="0" fillId="0" borderId="49" xfId="0" applyBorder="1"/>
    <xf numFmtId="0" fontId="8" fillId="0" borderId="0" xfId="0" applyFont="1" applyAlignment="1">
      <alignment wrapText="1"/>
    </xf>
    <xf numFmtId="0" fontId="0" fillId="0" borderId="30" xfId="0" applyBorder="1"/>
    <xf numFmtId="0" fontId="0" fillId="0" borderId="33" xfId="0" applyBorder="1"/>
    <xf numFmtId="14" fontId="1" fillId="0" borderId="1" xfId="0" applyNumberFormat="1" applyFont="1" applyBorder="1" applyAlignment="1">
      <alignment horizontal="center" vertical="center"/>
    </xf>
    <xf numFmtId="0" fontId="1" fillId="0" borderId="29" xfId="0" applyFont="1" applyBorder="1"/>
    <xf numFmtId="0" fontId="1" fillId="0" borderId="45" xfId="0" applyFont="1" applyBorder="1"/>
    <xf numFmtId="0" fontId="1" fillId="0" borderId="46" xfId="0" applyFont="1" applyBorder="1"/>
    <xf numFmtId="0" fontId="1" fillId="0" borderId="0" xfId="0" applyFont="1"/>
    <xf numFmtId="14" fontId="1" fillId="3" borderId="19" xfId="0" applyNumberFormat="1" applyFont="1" applyFill="1" applyBorder="1" applyAlignment="1">
      <alignment horizontal="center"/>
    </xf>
    <xf numFmtId="14" fontId="0" fillId="0" borderId="17" xfId="0" applyNumberFormat="1" applyBorder="1" applyAlignment="1">
      <alignment horizontal="center"/>
    </xf>
    <xf numFmtId="0" fontId="7" fillId="0" borderId="0" xfId="0" applyFont="1"/>
    <xf numFmtId="164" fontId="8" fillId="0" borderId="0" xfId="0" applyNumberFormat="1" applyFont="1" applyAlignment="1">
      <alignment horizontal="right"/>
    </xf>
    <xf numFmtId="14" fontId="1" fillId="0" borderId="12" xfId="0" applyNumberFormat="1" applyFont="1" applyBorder="1" applyAlignment="1">
      <alignment horizontal="right"/>
    </xf>
    <xf numFmtId="164" fontId="1" fillId="0" borderId="36" xfId="0" applyNumberFormat="1" applyFont="1" applyBorder="1" applyAlignment="1">
      <alignment horizontal="center"/>
    </xf>
    <xf numFmtId="14" fontId="1" fillId="0" borderId="1" xfId="0" applyNumberFormat="1" applyFont="1" applyBorder="1" applyAlignment="1">
      <alignment horizontal="right"/>
    </xf>
    <xf numFmtId="4" fontId="1" fillId="0" borderId="1" xfId="0" applyNumberFormat="1" applyFont="1" applyBorder="1" applyAlignment="1">
      <alignment horizontal="center"/>
    </xf>
    <xf numFmtId="0" fontId="0" fillId="0" borderId="14" xfId="0" applyBorder="1"/>
    <xf numFmtId="0" fontId="0" fillId="0" borderId="15" xfId="0" applyBorder="1"/>
    <xf numFmtId="164" fontId="1" fillId="0" borderId="40" xfId="0" applyNumberFormat="1" applyFont="1" applyBorder="1" applyAlignment="1">
      <alignment horizontal="center"/>
    </xf>
    <xf numFmtId="164" fontId="7" fillId="0" borderId="24" xfId="0" applyNumberFormat="1" applyFont="1" applyBorder="1" applyAlignment="1">
      <alignment horizontal="center" wrapText="1"/>
    </xf>
    <xf numFmtId="164" fontId="1" fillId="0" borderId="22" xfId="0" applyNumberFormat="1" applyFont="1" applyBorder="1" applyAlignment="1">
      <alignment horizontal="center" vertical="center"/>
    </xf>
    <xf numFmtId="14" fontId="1" fillId="0" borderId="22" xfId="0" applyNumberFormat="1" applyFont="1" applyBorder="1" applyAlignment="1">
      <alignment horizontal="center" vertical="center"/>
    </xf>
    <xf numFmtId="164" fontId="11" fillId="0" borderId="23" xfId="0" applyNumberFormat="1" applyFont="1" applyBorder="1" applyAlignment="1">
      <alignment horizontal="center"/>
    </xf>
    <xf numFmtId="164" fontId="8" fillId="0" borderId="22" xfId="0" applyNumberFormat="1" applyFont="1" applyBorder="1" applyAlignment="1">
      <alignment horizontal="center" vertical="center"/>
    </xf>
    <xf numFmtId="0" fontId="16" fillId="0" borderId="0" xfId="0" applyFont="1" applyAlignment="1">
      <alignment horizontal="left"/>
    </xf>
    <xf numFmtId="0" fontId="0" fillId="0" borderId="0" xfId="0" applyAlignment="1">
      <alignment horizontal="left"/>
    </xf>
    <xf numFmtId="0" fontId="0" fillId="0" borderId="20" xfId="0" applyBorder="1" applyAlignment="1">
      <alignment horizontal="left"/>
    </xf>
    <xf numFmtId="164" fontId="1" fillId="0" borderId="22" xfId="0" applyNumberFormat="1" applyFont="1" applyBorder="1" applyAlignment="1">
      <alignment horizontal="right" vertical="center"/>
    </xf>
    <xf numFmtId="164" fontId="11" fillId="0" borderId="22" xfId="0" applyNumberFormat="1" applyFont="1" applyBorder="1" applyAlignment="1">
      <alignment horizontal="right"/>
    </xf>
    <xf numFmtId="164" fontId="1" fillId="0" borderId="24" xfId="0" applyNumberFormat="1" applyFont="1" applyBorder="1" applyAlignment="1">
      <alignment horizontal="center" wrapText="1"/>
    </xf>
    <xf numFmtId="164" fontId="1" fillId="0" borderId="22" xfId="0" applyNumberFormat="1" applyFont="1" applyBorder="1" applyAlignment="1">
      <alignment horizontal="center"/>
    </xf>
    <xf numFmtId="0" fontId="7" fillId="0" borderId="0" xfId="0" applyFont="1" applyAlignment="1">
      <alignment horizontal="left"/>
    </xf>
    <xf numFmtId="164" fontId="9" fillId="0" borderId="23" xfId="0" applyNumberFormat="1" applyFont="1" applyBorder="1" applyAlignment="1">
      <alignment horizontal="center"/>
    </xf>
    <xf numFmtId="14" fontId="0" fillId="0" borderId="22" xfId="0" applyNumberFormat="1" applyBorder="1" applyAlignment="1">
      <alignment horizontal="center"/>
    </xf>
    <xf numFmtId="164" fontId="0" fillId="0" borderId="22" xfId="0" applyNumberFormat="1" applyBorder="1" applyAlignment="1">
      <alignment horizontal="center"/>
    </xf>
    <xf numFmtId="164" fontId="1" fillId="0" borderId="23" xfId="0" applyNumberFormat="1" applyFont="1" applyBorder="1" applyAlignment="1">
      <alignment horizontal="center"/>
    </xf>
    <xf numFmtId="164" fontId="1" fillId="0" borderId="22" xfId="0" applyNumberFormat="1" applyFont="1" applyBorder="1" applyAlignment="1">
      <alignment horizontal="right"/>
    </xf>
    <xf numFmtId="164" fontId="15" fillId="0" borderId="51" xfId="0" applyNumberFormat="1" applyFont="1" applyBorder="1" applyAlignment="1">
      <alignment horizontal="center"/>
    </xf>
    <xf numFmtId="164" fontId="11" fillId="3" borderId="52" xfId="0" applyNumberFormat="1" applyFont="1" applyFill="1" applyBorder="1" applyAlignment="1">
      <alignment horizontal="center"/>
    </xf>
    <xf numFmtId="164" fontId="15" fillId="0" borderId="26" xfId="0" applyNumberFormat="1" applyFont="1" applyBorder="1" applyAlignment="1">
      <alignment horizontal="center" wrapText="1"/>
    </xf>
    <xf numFmtId="164" fontId="1" fillId="0" borderId="26" xfId="0" applyNumberFormat="1" applyFont="1" applyBorder="1" applyAlignment="1">
      <alignment horizontal="center" wrapText="1"/>
    </xf>
    <xf numFmtId="0" fontId="7" fillId="0" borderId="0" xfId="0" applyFont="1" applyAlignment="1">
      <alignment horizontal="center"/>
    </xf>
    <xf numFmtId="14" fontId="18" fillId="0" borderId="22" xfId="0" applyNumberFormat="1" applyFont="1" applyBorder="1" applyAlignment="1">
      <alignment horizontal="center"/>
    </xf>
    <xf numFmtId="164" fontId="18" fillId="0" borderId="22" xfId="0" applyNumberFormat="1" applyFont="1" applyBorder="1" applyAlignment="1">
      <alignment horizontal="right"/>
    </xf>
    <xf numFmtId="164" fontId="18" fillId="0" borderId="22" xfId="0" applyNumberFormat="1" applyFont="1" applyBorder="1" applyAlignment="1">
      <alignment horizontal="center"/>
    </xf>
    <xf numFmtId="164" fontId="18" fillId="0" borderId="24" xfId="0" applyNumberFormat="1" applyFont="1" applyBorder="1" applyAlignment="1">
      <alignment horizontal="center"/>
    </xf>
    <xf numFmtId="164" fontId="19" fillId="0" borderId="24" xfId="0" applyNumberFormat="1" applyFont="1" applyBorder="1" applyAlignment="1">
      <alignment horizontal="center" wrapText="1"/>
    </xf>
    <xf numFmtId="164" fontId="20" fillId="0" borderId="24" xfId="0" applyNumberFormat="1" applyFont="1" applyBorder="1" applyAlignment="1">
      <alignment horizontal="center" wrapText="1"/>
    </xf>
    <xf numFmtId="164" fontId="11" fillId="0" borderId="22" xfId="0" applyNumberFormat="1" applyFont="1" applyBorder="1" applyAlignment="1">
      <alignment horizontal="right" vertical="center"/>
    </xf>
    <xf numFmtId="0" fontId="0" fillId="0" borderId="1" xfId="0" applyBorder="1" applyAlignment="1">
      <alignment horizontal="center" vertical="center"/>
    </xf>
    <xf numFmtId="164" fontId="1" fillId="0" borderId="53" xfId="0" applyNumberFormat="1" applyFont="1" applyBorder="1" applyAlignment="1">
      <alignment horizontal="center" wrapText="1"/>
    </xf>
    <xf numFmtId="14" fontId="1" fillId="0" borderId="27" xfId="0" applyNumberFormat="1" applyFont="1" applyBorder="1" applyAlignment="1">
      <alignment horizontal="right"/>
    </xf>
    <xf numFmtId="0" fontId="0" fillId="0" borderId="27" xfId="0" applyBorder="1" applyAlignment="1">
      <alignment horizontal="center" vertical="center"/>
    </xf>
    <xf numFmtId="14" fontId="1" fillId="0" borderId="22" xfId="0" applyNumberFormat="1" applyFont="1" applyBorder="1" applyAlignment="1">
      <alignment horizontal="center" wrapText="1"/>
    </xf>
    <xf numFmtId="164" fontId="8" fillId="0" borderId="22" xfId="0" applyNumberFormat="1" applyFont="1" applyBorder="1" applyAlignment="1">
      <alignment horizontal="right" vertical="center"/>
    </xf>
    <xf numFmtId="164" fontId="1" fillId="0" borderId="24" xfId="0" applyNumberFormat="1" applyFont="1" applyBorder="1" applyAlignment="1">
      <alignment horizontal="center" vertical="center" wrapText="1"/>
    </xf>
    <xf numFmtId="0" fontId="0" fillId="0" borderId="28" xfId="0" applyBorder="1" applyAlignment="1">
      <alignment horizontal="center" vertical="center"/>
    </xf>
    <xf numFmtId="164" fontId="0" fillId="0" borderId="28" xfId="0" applyNumberFormat="1" applyBorder="1" applyAlignment="1">
      <alignment horizontal="right"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0" fillId="0" borderId="50" xfId="0" applyBorder="1" applyAlignment="1">
      <alignment horizontal="center" vertical="center"/>
    </xf>
    <xf numFmtId="164" fontId="0" fillId="0" borderId="1" xfId="0" applyNumberFormat="1" applyBorder="1" applyAlignment="1">
      <alignment horizontal="right" vertical="center"/>
    </xf>
    <xf numFmtId="0" fontId="1" fillId="0" borderId="1" xfId="0" applyFont="1" applyBorder="1" applyAlignment="1">
      <alignment horizontal="center" vertical="center"/>
    </xf>
    <xf numFmtId="0" fontId="0" fillId="0" borderId="15" xfId="0" applyBorder="1" applyAlignment="1">
      <alignment horizontal="center" vertical="center"/>
    </xf>
    <xf numFmtId="0" fontId="1" fillId="0" borderId="53" xfId="0" applyFont="1" applyBorder="1" applyAlignment="1">
      <alignment horizont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xf numFmtId="0" fontId="0" fillId="0" borderId="23" xfId="0" applyBorder="1"/>
    <xf numFmtId="0" fontId="0" fillId="0" borderId="22" xfId="0" applyBorder="1"/>
    <xf numFmtId="0" fontId="0" fillId="0" borderId="24" xfId="0" applyBorder="1"/>
    <xf numFmtId="164" fontId="1" fillId="0" borderId="56" xfId="0" applyNumberFormat="1" applyFont="1" applyBorder="1" applyAlignment="1">
      <alignment horizontal="center" wrapText="1"/>
    </xf>
    <xf numFmtId="164" fontId="1" fillId="0" borderId="57" xfId="0" applyNumberFormat="1" applyFont="1" applyBorder="1" applyAlignment="1">
      <alignment horizontal="center"/>
    </xf>
    <xf numFmtId="164" fontId="1" fillId="0" borderId="58" xfId="0" applyNumberFormat="1" applyFont="1" applyBorder="1" applyAlignment="1">
      <alignment horizontal="center"/>
    </xf>
    <xf numFmtId="0" fontId="1" fillId="0" borderId="24" xfId="0" applyFont="1" applyBorder="1" applyAlignment="1">
      <alignment horizontal="center" vertical="center" wrapText="1"/>
    </xf>
    <xf numFmtId="164" fontId="0" fillId="0" borderId="22" xfId="0" applyNumberFormat="1" applyBorder="1" applyAlignment="1">
      <alignment horizontal="right" vertical="center"/>
    </xf>
    <xf numFmtId="0" fontId="0" fillId="0" borderId="28" xfId="0" applyBorder="1" applyAlignment="1">
      <alignment horizontal="right" vertical="center"/>
    </xf>
    <xf numFmtId="164" fontId="0" fillId="0" borderId="27" xfId="0" applyNumberFormat="1" applyBorder="1" applyAlignment="1">
      <alignment horizontal="right" vertical="center"/>
    </xf>
    <xf numFmtId="14" fontId="1" fillId="0" borderId="27" xfId="0" applyNumberFormat="1" applyFont="1" applyBorder="1" applyAlignment="1">
      <alignment horizontal="center" vertical="center"/>
    </xf>
    <xf numFmtId="14" fontId="1" fillId="0" borderId="28" xfId="0" applyNumberFormat="1" applyFont="1" applyBorder="1" applyAlignment="1">
      <alignment horizontal="center" vertical="center"/>
    </xf>
    <xf numFmtId="0" fontId="0" fillId="0" borderId="40" xfId="0" applyBorder="1" applyAlignment="1">
      <alignment horizontal="center" vertical="center"/>
    </xf>
    <xf numFmtId="0" fontId="1" fillId="0" borderId="27" xfId="0" applyFont="1" applyBorder="1" applyAlignment="1">
      <alignment horizontal="center" vertical="center"/>
    </xf>
    <xf numFmtId="164" fontId="11" fillId="0" borderId="60" xfId="0" applyNumberFormat="1" applyFont="1" applyBorder="1" applyAlignment="1">
      <alignment horizontal="right"/>
    </xf>
    <xf numFmtId="164" fontId="8" fillId="0" borderId="59" xfId="0" applyNumberFormat="1" applyFont="1" applyBorder="1" applyAlignment="1">
      <alignment horizontal="right"/>
    </xf>
    <xf numFmtId="164" fontId="11" fillId="0" borderId="56" xfId="0" applyNumberFormat="1" applyFont="1" applyBorder="1" applyAlignment="1">
      <alignment horizontal="right"/>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14" fontId="1" fillId="0" borderId="63" xfId="0" applyNumberFormat="1"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164" fontId="1" fillId="0" borderId="0" xfId="0" applyNumberFormat="1" applyFont="1" applyAlignment="1">
      <alignment horizontal="center"/>
    </xf>
    <xf numFmtId="4" fontId="1" fillId="0" borderId="30" xfId="0" applyNumberFormat="1" applyFont="1" applyBorder="1"/>
    <xf numFmtId="164" fontId="9" fillId="5" borderId="0" xfId="0" applyNumberFormat="1" applyFont="1" applyFill="1" applyAlignment="1">
      <alignment horizontal="right"/>
    </xf>
    <xf numFmtId="164" fontId="0" fillId="5" borderId="0" xfId="0" applyNumberFormat="1" applyFill="1" applyAlignment="1">
      <alignment horizontal="right"/>
    </xf>
    <xf numFmtId="164" fontId="0" fillId="5" borderId="0" xfId="0" applyNumberFormat="1" applyFill="1" applyAlignment="1">
      <alignment horizontal="center"/>
    </xf>
    <xf numFmtId="164" fontId="0" fillId="0" borderId="65" xfId="0" applyNumberFormat="1" applyBorder="1" applyAlignment="1">
      <alignment horizontal="center"/>
    </xf>
    <xf numFmtId="164" fontId="9" fillId="0" borderId="65" xfId="0" applyNumberFormat="1" applyFont="1" applyBorder="1" applyAlignment="1">
      <alignment horizontal="right"/>
    </xf>
    <xf numFmtId="164" fontId="0" fillId="0" borderId="66" xfId="0" applyNumberFormat="1" applyBorder="1" applyAlignment="1">
      <alignment horizontal="center"/>
    </xf>
    <xf numFmtId="164" fontId="0" fillId="0" borderId="42" xfId="0" applyNumberFormat="1" applyBorder="1" applyAlignment="1">
      <alignment horizontal="center"/>
    </xf>
    <xf numFmtId="164" fontId="7" fillId="0" borderId="24" xfId="0" applyNumberFormat="1" applyFont="1" applyBorder="1" applyAlignment="1">
      <alignment horizontal="center" vertical="top" wrapText="1"/>
    </xf>
    <xf numFmtId="0" fontId="1" fillId="0" borderId="40" xfId="0" applyFont="1" applyBorder="1" applyAlignment="1">
      <alignment horizontal="center" vertical="top" wrapText="1"/>
    </xf>
    <xf numFmtId="164" fontId="21" fillId="0" borderId="22" xfId="0" applyNumberFormat="1" applyFont="1" applyBorder="1" applyAlignment="1">
      <alignment horizontal="center" vertical="center"/>
    </xf>
    <xf numFmtId="164" fontId="21" fillId="0" borderId="22" xfId="0" applyNumberFormat="1" applyFont="1" applyBorder="1" applyAlignment="1">
      <alignment horizontal="center"/>
    </xf>
    <xf numFmtId="0" fontId="22" fillId="0" borderId="22" xfId="0" applyFont="1" applyBorder="1" applyAlignment="1">
      <alignment horizontal="center"/>
    </xf>
    <xf numFmtId="164" fontId="9" fillId="0" borderId="0" xfId="0" applyNumberFormat="1" applyFont="1" applyAlignment="1">
      <alignment horizontal="center"/>
    </xf>
    <xf numFmtId="0" fontId="9" fillId="0" borderId="67" xfId="0" applyFont="1" applyBorder="1"/>
    <xf numFmtId="164" fontId="7" fillId="0" borderId="1" xfId="0" applyNumberFormat="1" applyFont="1" applyBorder="1" applyAlignment="1">
      <alignment horizontal="center"/>
    </xf>
    <xf numFmtId="0" fontId="1" fillId="0" borderId="64" xfId="0" applyFont="1" applyBorder="1" applyAlignment="1">
      <alignment horizontal="center" vertical="center"/>
    </xf>
    <xf numFmtId="0" fontId="1" fillId="6" borderId="22" xfId="0" applyFont="1" applyFill="1" applyBorder="1" applyAlignment="1">
      <alignment horizontal="center"/>
    </xf>
    <xf numFmtId="164" fontId="1" fillId="6" borderId="22" xfId="0" applyNumberFormat="1" applyFont="1" applyFill="1" applyBorder="1" applyAlignment="1">
      <alignment horizontal="center"/>
    </xf>
    <xf numFmtId="164" fontId="1" fillId="6" borderId="22" xfId="0" applyNumberFormat="1" applyFont="1" applyFill="1" applyBorder="1" applyAlignment="1">
      <alignment horizontal="center" vertical="center"/>
    </xf>
    <xf numFmtId="164" fontId="8" fillId="7" borderId="22" xfId="0" applyNumberFormat="1" applyFont="1" applyFill="1" applyBorder="1" applyAlignment="1">
      <alignment horizontal="right"/>
    </xf>
    <xf numFmtId="0" fontId="1" fillId="0" borderId="30" xfId="0" applyFont="1" applyBorder="1" applyAlignment="1">
      <alignment wrapText="1"/>
    </xf>
    <xf numFmtId="164" fontId="7" fillId="0" borderId="22" xfId="0" applyNumberFormat="1" applyFont="1" applyBorder="1" applyAlignment="1">
      <alignment horizont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8" fontId="1" fillId="0" borderId="1" xfId="0" applyNumberFormat="1" applyFont="1" applyBorder="1" applyAlignment="1">
      <alignment horizontal="center"/>
    </xf>
    <xf numFmtId="0" fontId="1" fillId="8" borderId="22" xfId="0" applyFont="1" applyFill="1" applyBorder="1" applyAlignment="1">
      <alignment horizontal="center"/>
    </xf>
    <xf numFmtId="0" fontId="1" fillId="0" borderId="40" xfId="0" applyFont="1" applyBorder="1" applyAlignment="1">
      <alignment horizontal="center" vertical="center"/>
    </xf>
    <xf numFmtId="14" fontId="1" fillId="0" borderId="28" xfId="0" applyNumberFormat="1" applyFont="1" applyBorder="1" applyAlignment="1">
      <alignment horizontal="center"/>
    </xf>
    <xf numFmtId="164" fontId="1" fillId="0" borderId="68" xfId="0" applyNumberFormat="1" applyFont="1" applyBorder="1" applyAlignment="1">
      <alignment horizontal="center"/>
    </xf>
    <xf numFmtId="164" fontId="1" fillId="0" borderId="20" xfId="0" applyNumberFormat="1" applyFont="1" applyBorder="1" applyAlignment="1">
      <alignment horizontal="center"/>
    </xf>
    <xf numFmtId="14" fontId="1" fillId="0" borderId="69" xfId="0" applyNumberFormat="1" applyFont="1" applyBorder="1" applyAlignment="1">
      <alignment horizontal="center" vertical="center"/>
    </xf>
    <xf numFmtId="0" fontId="0" fillId="0" borderId="70" xfId="0" applyBorder="1"/>
    <xf numFmtId="0" fontId="0" fillId="0" borderId="27" xfId="0" applyBorder="1"/>
    <xf numFmtId="0" fontId="0" fillId="0" borderId="71" xfId="0" applyBorder="1"/>
    <xf numFmtId="164" fontId="1" fillId="8" borderId="24" xfId="0" applyNumberFormat="1" applyFont="1" applyFill="1" applyBorder="1" applyAlignment="1">
      <alignment horizontal="center"/>
    </xf>
    <xf numFmtId="164" fontId="1" fillId="9" borderId="22" xfId="0" applyNumberFormat="1" applyFont="1" applyFill="1" applyBorder="1" applyAlignment="1">
      <alignment horizontal="center"/>
    </xf>
    <xf numFmtId="14" fontId="1" fillId="9" borderId="22" xfId="0" applyNumberFormat="1" applyFont="1" applyFill="1" applyBorder="1" applyAlignment="1">
      <alignment horizontal="center"/>
    </xf>
    <xf numFmtId="164" fontId="1" fillId="9" borderId="0" xfId="0" applyNumberFormat="1" applyFont="1" applyFill="1" applyAlignment="1">
      <alignment horizontal="center"/>
    </xf>
    <xf numFmtId="0" fontId="1" fillId="9" borderId="22" xfId="0" applyFont="1" applyFill="1" applyBorder="1" applyAlignment="1">
      <alignment horizontal="center"/>
    </xf>
    <xf numFmtId="164" fontId="1" fillId="0" borderId="0" xfId="0" applyNumberFormat="1" applyFont="1" applyAlignment="1">
      <alignment horizontal="center" vertical="center"/>
    </xf>
    <xf numFmtId="164" fontId="1" fillId="0" borderId="0" xfId="0" applyNumberFormat="1" applyFont="1" applyAlignment="1">
      <alignment horizontal="right" vertical="center"/>
    </xf>
    <xf numFmtId="14" fontId="1" fillId="0" borderId="0" xfId="0" applyNumberFormat="1" applyFont="1" applyAlignment="1">
      <alignment horizontal="center" vertical="center"/>
    </xf>
    <xf numFmtId="164" fontId="1" fillId="0" borderId="0" xfId="0" applyNumberFormat="1" applyFont="1" applyAlignment="1">
      <alignment horizontal="right"/>
    </xf>
    <xf numFmtId="44" fontId="0" fillId="0" borderId="0" xfId="1" applyFont="1"/>
    <xf numFmtId="0" fontId="0" fillId="0" borderId="72" xfId="0" applyBorder="1"/>
    <xf numFmtId="0" fontId="0" fillId="0" borderId="73" xfId="0" applyBorder="1"/>
    <xf numFmtId="0" fontId="1" fillId="0" borderId="50" xfId="0" applyFont="1" applyBorder="1" applyAlignment="1">
      <alignment horizontal="center" vertical="center"/>
    </xf>
    <xf numFmtId="0" fontId="1" fillId="0" borderId="74" xfId="0" applyFont="1" applyBorder="1" applyAlignment="1">
      <alignment horizontal="center" vertical="center"/>
    </xf>
    <xf numFmtId="14" fontId="1" fillId="0" borderId="74" xfId="0" applyNumberFormat="1" applyFont="1" applyBorder="1" applyAlignment="1">
      <alignment horizontal="center" vertical="center"/>
    </xf>
    <xf numFmtId="164" fontId="1" fillId="0" borderId="28" xfId="0" applyNumberFormat="1" applyFont="1" applyBorder="1" applyAlignment="1">
      <alignment horizontal="center"/>
    </xf>
    <xf numFmtId="164" fontId="11" fillId="0" borderId="28" xfId="0" applyNumberFormat="1" applyFont="1" applyBorder="1" applyAlignment="1">
      <alignment horizontal="right"/>
    </xf>
    <xf numFmtId="164" fontId="8" fillId="0" borderId="28" xfId="0" applyNumberFormat="1" applyFont="1" applyBorder="1" applyAlignment="1">
      <alignment horizontal="right"/>
    </xf>
    <xf numFmtId="164" fontId="1" fillId="0" borderId="50" xfId="0" applyNumberFormat="1" applyFont="1" applyBorder="1" applyAlignment="1">
      <alignment horizontal="center"/>
    </xf>
    <xf numFmtId="0" fontId="1" fillId="0" borderId="75" xfId="0" applyFont="1" applyBorder="1" applyAlignment="1">
      <alignment horizontal="center" vertical="center"/>
    </xf>
    <xf numFmtId="164" fontId="11" fillId="0" borderId="75" xfId="0" applyNumberFormat="1" applyFont="1" applyBorder="1" applyAlignment="1">
      <alignment horizontal="right"/>
    </xf>
    <xf numFmtId="14" fontId="1" fillId="0" borderId="75" xfId="0" applyNumberFormat="1" applyFont="1" applyBorder="1" applyAlignment="1">
      <alignment horizontal="center" vertical="center"/>
    </xf>
    <xf numFmtId="164" fontId="8" fillId="0" borderId="75" xfId="0" applyNumberFormat="1" applyFont="1" applyBorder="1" applyAlignment="1">
      <alignment horizontal="right"/>
    </xf>
    <xf numFmtId="0" fontId="0" fillId="0" borderId="75" xfId="0" applyBorder="1" applyAlignment="1">
      <alignment horizontal="center" vertical="center"/>
    </xf>
    <xf numFmtId="0" fontId="1" fillId="0" borderId="77" xfId="0" applyFont="1" applyBorder="1" applyAlignment="1">
      <alignment horizontal="center" vertical="center"/>
    </xf>
    <xf numFmtId="0" fontId="1" fillId="0" borderId="76" xfId="0" applyFont="1" applyBorder="1" applyAlignment="1">
      <alignment horizontal="center" vertical="center"/>
    </xf>
    <xf numFmtId="8" fontId="1" fillId="0" borderId="0" xfId="0" applyNumberFormat="1" applyFont="1"/>
    <xf numFmtId="14" fontId="1" fillId="0" borderId="27" xfId="0" applyNumberFormat="1" applyFont="1" applyBorder="1" applyAlignment="1">
      <alignment horizontal="center"/>
    </xf>
    <xf numFmtId="0" fontId="0" fillId="0" borderId="28" xfId="0" applyBorder="1" applyAlignment="1">
      <alignment horizontal="center"/>
    </xf>
    <xf numFmtId="164" fontId="0" fillId="0" borderId="78" xfId="0" applyNumberFormat="1" applyBorder="1" applyAlignment="1">
      <alignment horizontal="center"/>
    </xf>
    <xf numFmtId="164" fontId="10" fillId="0" borderId="53" xfId="0" applyNumberFormat="1" applyFont="1" applyBorder="1" applyAlignment="1">
      <alignment horizontal="right"/>
    </xf>
    <xf numFmtId="164" fontId="10" fillId="0" borderId="80" xfId="0" applyNumberFormat="1" applyFont="1" applyBorder="1" applyAlignment="1">
      <alignment horizontal="right"/>
    </xf>
    <xf numFmtId="164" fontId="1" fillId="3" borderId="81" xfId="0" applyNumberFormat="1" applyFont="1" applyFill="1" applyBorder="1" applyAlignment="1">
      <alignment horizontal="right"/>
    </xf>
    <xf numFmtId="0" fontId="0" fillId="0" borderId="79" xfId="0" applyBorder="1"/>
    <xf numFmtId="14" fontId="0" fillId="0" borderId="0" xfId="0" applyNumberFormat="1" applyAlignment="1">
      <alignment horizontal="right"/>
    </xf>
    <xf numFmtId="0" fontId="1" fillId="0" borderId="0" xfId="0" applyFont="1" applyAlignment="1">
      <alignment horizontal="left"/>
    </xf>
    <xf numFmtId="164" fontId="1" fillId="6" borderId="24" xfId="0" applyNumberFormat="1" applyFont="1" applyFill="1" applyBorder="1" applyAlignment="1">
      <alignment horizontal="center" wrapText="1"/>
    </xf>
    <xf numFmtId="0" fontId="1" fillId="6" borderId="22" xfId="0" applyFont="1" applyFill="1" applyBorder="1" applyAlignment="1">
      <alignment horizontal="center" vertical="center"/>
    </xf>
    <xf numFmtId="0" fontId="1" fillId="6" borderId="75" xfId="0" applyFont="1" applyFill="1" applyBorder="1" applyAlignment="1">
      <alignment horizontal="center" vertical="center"/>
    </xf>
    <xf numFmtId="0" fontId="1" fillId="0" borderId="0" xfId="0" applyFont="1" applyAlignment="1">
      <alignment horizontal="center" vertical="center"/>
    </xf>
    <xf numFmtId="164" fontId="11" fillId="0" borderId="0" xfId="0" applyNumberFormat="1" applyFont="1" applyAlignment="1">
      <alignment horizontal="right"/>
    </xf>
    <xf numFmtId="0" fontId="0" fillId="0" borderId="0" xfId="0" applyAlignment="1">
      <alignment horizontal="center" vertical="center"/>
    </xf>
    <xf numFmtId="0" fontId="1" fillId="0" borderId="20" xfId="0" applyFont="1" applyBorder="1" applyAlignment="1">
      <alignment horizontal="center" vertical="center"/>
    </xf>
    <xf numFmtId="8" fontId="0" fillId="0" borderId="0" xfId="0" applyNumberFormat="1"/>
    <xf numFmtId="164" fontId="1" fillId="0" borderId="53" xfId="0" applyNumberFormat="1" applyFont="1" applyBorder="1" applyAlignment="1">
      <alignment horizontal="center" vertical="center"/>
    </xf>
    <xf numFmtId="0" fontId="0" fillId="0" borderId="21" xfId="0" applyBorder="1"/>
    <xf numFmtId="0" fontId="0" fillId="0" borderId="20" xfId="0" applyBorder="1"/>
    <xf numFmtId="4" fontId="0" fillId="0" borderId="21" xfId="0" applyNumberFormat="1" applyBorder="1"/>
    <xf numFmtId="4" fontId="0" fillId="0" borderId="20" xfId="0" applyNumberFormat="1" applyBorder="1"/>
    <xf numFmtId="4" fontId="9" fillId="0" borderId="78" xfId="0" applyNumberFormat="1" applyFont="1" applyBorder="1"/>
    <xf numFmtId="4" fontId="9" fillId="0" borderId="65" xfId="0" applyNumberFormat="1" applyFont="1" applyBorder="1"/>
    <xf numFmtId="4" fontId="9" fillId="0" borderId="66" xfId="0" applyNumberFormat="1" applyFont="1" applyBorder="1"/>
    <xf numFmtId="0" fontId="1" fillId="0" borderId="12" xfId="0" applyFont="1" applyBorder="1" applyAlignment="1">
      <alignment horizontal="right"/>
    </xf>
    <xf numFmtId="0" fontId="10" fillId="0" borderId="80" xfId="0" applyFont="1" applyBorder="1" applyAlignment="1">
      <alignment horizontal="right"/>
    </xf>
    <xf numFmtId="164" fontId="7" fillId="0" borderId="53" xfId="0" applyNumberFormat="1" applyFont="1" applyBorder="1" applyAlignment="1">
      <alignment horizontal="center" vertical="center"/>
    </xf>
    <xf numFmtId="0" fontId="1" fillId="0" borderId="0" xfId="0" applyFont="1" applyAlignment="1">
      <alignment horizontal="center"/>
    </xf>
    <xf numFmtId="0" fontId="5" fillId="0" borderId="20" xfId="0" applyFont="1" applyBorder="1" applyAlignment="1">
      <alignment horizontal="center" wrapText="1"/>
    </xf>
    <xf numFmtId="164" fontId="5" fillId="0" borderId="0" xfId="0" applyNumberFormat="1" applyFont="1" applyAlignment="1">
      <alignment horizontal="center"/>
    </xf>
    <xf numFmtId="164" fontId="1" fillId="10" borderId="22" xfId="0" applyNumberFormat="1" applyFont="1" applyFill="1" applyBorder="1" applyAlignment="1">
      <alignment horizontal="center"/>
    </xf>
    <xf numFmtId="164" fontId="11" fillId="10" borderId="22" xfId="0" applyNumberFormat="1" applyFont="1" applyFill="1" applyBorder="1" applyAlignment="1">
      <alignment horizontal="right"/>
    </xf>
    <xf numFmtId="164" fontId="1" fillId="10" borderId="24" xfId="0" applyNumberFormat="1" applyFont="1" applyFill="1" applyBorder="1" applyAlignment="1">
      <alignment horizontal="center" wrapText="1"/>
    </xf>
    <xf numFmtId="164" fontId="0" fillId="10" borderId="0" xfId="0" applyNumberFormat="1" applyFill="1" applyAlignment="1">
      <alignment horizontal="right"/>
    </xf>
    <xf numFmtId="164" fontId="9" fillId="10" borderId="0" xfId="0" applyNumberFormat="1" applyFont="1" applyFill="1" applyAlignment="1">
      <alignment horizontal="right"/>
    </xf>
    <xf numFmtId="0" fontId="24" fillId="0" borderId="20" xfId="0" applyFont="1" applyBorder="1" applyAlignment="1">
      <alignment horizontal="center"/>
    </xf>
    <xf numFmtId="164" fontId="9" fillId="11" borderId="17" xfId="0" applyNumberFormat="1" applyFont="1" applyFill="1" applyBorder="1" applyAlignment="1">
      <alignment horizontal="right"/>
    </xf>
    <xf numFmtId="164" fontId="0" fillId="11" borderId="0" xfId="0" applyNumberFormat="1" applyFill="1"/>
    <xf numFmtId="164" fontId="1" fillId="11" borderId="23" xfId="0" applyNumberFormat="1" applyFont="1" applyFill="1" applyBorder="1" applyAlignment="1">
      <alignment horizontal="center"/>
    </xf>
    <xf numFmtId="0" fontId="17" fillId="0" borderId="0" xfId="0" applyFont="1" applyAlignment="1">
      <alignment horizontal="center"/>
    </xf>
    <xf numFmtId="164" fontId="1" fillId="5" borderId="0" xfId="0" applyNumberFormat="1" applyFont="1" applyFill="1" applyAlignment="1">
      <alignment horizontal="right"/>
    </xf>
    <xf numFmtId="164" fontId="11" fillId="12" borderId="23" xfId="0" applyNumberFormat="1" applyFont="1" applyFill="1" applyBorder="1" applyAlignment="1">
      <alignment horizontal="center"/>
    </xf>
    <xf numFmtId="164" fontId="1" fillId="12" borderId="22" xfId="0" applyNumberFormat="1" applyFont="1" applyFill="1" applyBorder="1" applyAlignment="1">
      <alignment horizontal="center"/>
    </xf>
    <xf numFmtId="164" fontId="11" fillId="12" borderId="22" xfId="0" applyNumberFormat="1" applyFont="1" applyFill="1" applyBorder="1" applyAlignment="1">
      <alignment horizontal="right"/>
    </xf>
    <xf numFmtId="14" fontId="1" fillId="12" borderId="22" xfId="0" applyNumberFormat="1" applyFont="1" applyFill="1" applyBorder="1" applyAlignment="1">
      <alignment horizontal="center"/>
    </xf>
    <xf numFmtId="164" fontId="8" fillId="12" borderId="22" xfId="0" applyNumberFormat="1" applyFont="1" applyFill="1" applyBorder="1" applyAlignment="1">
      <alignment horizontal="right"/>
    </xf>
    <xf numFmtId="164" fontId="1" fillId="12" borderId="24" xfId="0" applyNumberFormat="1" applyFont="1" applyFill="1" applyBorder="1" applyAlignment="1">
      <alignment horizontal="center" wrapText="1"/>
    </xf>
    <xf numFmtId="164" fontId="9" fillId="13" borderId="0" xfId="0" applyNumberFormat="1" applyFont="1" applyFill="1" applyAlignment="1">
      <alignment horizontal="right"/>
    </xf>
    <xf numFmtId="0" fontId="0" fillId="0" borderId="82" xfId="0" applyBorder="1"/>
    <xf numFmtId="164" fontId="0" fillId="12" borderId="0" xfId="0" applyNumberFormat="1" applyFill="1" applyAlignment="1">
      <alignment horizontal="center"/>
    </xf>
    <xf numFmtId="164" fontId="9" fillId="12" borderId="0" xfId="0" applyNumberFormat="1" applyFont="1" applyFill="1" applyAlignment="1">
      <alignment horizontal="right"/>
    </xf>
    <xf numFmtId="0" fontId="0" fillId="12" borderId="0" xfId="0" applyFill="1" applyAlignment="1">
      <alignment horizontal="center"/>
    </xf>
    <xf numFmtId="0" fontId="0" fillId="12" borderId="0" xfId="0" applyFill="1"/>
    <xf numFmtId="0" fontId="25" fillId="0" borderId="0" xfId="0" applyFont="1" applyAlignment="1">
      <alignment horizontal="center"/>
    </xf>
    <xf numFmtId="164" fontId="9" fillId="0" borderId="22" xfId="0" applyNumberFormat="1" applyFont="1" applyBorder="1" applyAlignment="1">
      <alignment horizontal="right"/>
    </xf>
    <xf numFmtId="14" fontId="1" fillId="0" borderId="56" xfId="0" applyNumberFormat="1" applyFont="1" applyBorder="1" applyAlignment="1">
      <alignment horizontal="center" vertical="center"/>
    </xf>
    <xf numFmtId="164" fontId="1" fillId="0" borderId="59" xfId="0" applyNumberFormat="1" applyFont="1" applyBorder="1" applyAlignment="1">
      <alignment horizontal="right" vertical="center"/>
    </xf>
    <xf numFmtId="164" fontId="1" fillId="3" borderId="52" xfId="0" applyNumberFormat="1" applyFont="1" applyFill="1" applyBorder="1" applyAlignment="1">
      <alignment horizontal="right"/>
    </xf>
    <xf numFmtId="164" fontId="1" fillId="12" borderId="23" xfId="0" applyNumberFormat="1" applyFont="1" applyFill="1" applyBorder="1" applyAlignment="1">
      <alignment horizontal="center"/>
    </xf>
    <xf numFmtId="164" fontId="1" fillId="12" borderId="22" xfId="0" applyNumberFormat="1" applyFont="1" applyFill="1" applyBorder="1" applyAlignment="1">
      <alignment horizontal="right"/>
    </xf>
    <xf numFmtId="164" fontId="1" fillId="12" borderId="22" xfId="0" applyNumberFormat="1" applyFont="1" applyFill="1" applyBorder="1" applyAlignment="1">
      <alignment horizontal="center" vertical="center"/>
    </xf>
    <xf numFmtId="164" fontId="0" fillId="12" borderId="24" xfId="0" applyNumberFormat="1" applyFill="1" applyBorder="1" applyAlignment="1">
      <alignment horizontal="center"/>
    </xf>
    <xf numFmtId="164" fontId="0" fillId="12" borderId="22" xfId="0" applyNumberFormat="1" applyFill="1" applyBorder="1" applyAlignment="1">
      <alignment horizontal="center"/>
    </xf>
    <xf numFmtId="164" fontId="1" fillId="12" borderId="24" xfId="0" applyNumberFormat="1" applyFont="1" applyFill="1" applyBorder="1" applyAlignment="1">
      <alignment horizontal="center"/>
    </xf>
    <xf numFmtId="164" fontId="7" fillId="0" borderId="53" xfId="0" applyNumberFormat="1" applyFont="1" applyBorder="1" applyAlignment="1">
      <alignment horizontal="center"/>
    </xf>
    <xf numFmtId="14" fontId="1" fillId="0" borderId="59" xfId="0" applyNumberFormat="1" applyFont="1" applyBorder="1" applyAlignment="1">
      <alignment horizontal="center"/>
    </xf>
    <xf numFmtId="164" fontId="9" fillId="0" borderId="27" xfId="0" applyNumberFormat="1" applyFont="1" applyBorder="1" applyAlignment="1">
      <alignment horizontal="right"/>
    </xf>
    <xf numFmtId="164" fontId="1" fillId="12" borderId="53" xfId="0" applyNumberFormat="1" applyFont="1" applyFill="1" applyBorder="1" applyAlignment="1">
      <alignment horizontal="center" wrapText="1"/>
    </xf>
    <xf numFmtId="164" fontId="1" fillId="12" borderId="1" xfId="0" applyNumberFormat="1" applyFont="1" applyFill="1" applyBorder="1" applyAlignment="1">
      <alignment horizontal="right"/>
    </xf>
    <xf numFmtId="14" fontId="1" fillId="12" borderId="22" xfId="0" applyNumberFormat="1" applyFont="1" applyFill="1" applyBorder="1" applyAlignment="1">
      <alignment horizontal="center" wrapText="1"/>
    </xf>
    <xf numFmtId="164" fontId="8" fillId="12" borderId="1" xfId="0" applyNumberFormat="1" applyFont="1" applyFill="1" applyBorder="1" applyAlignment="1">
      <alignment horizontal="right"/>
    </xf>
    <xf numFmtId="0" fontId="3" fillId="15" borderId="21" xfId="0" applyFont="1" applyFill="1" applyBorder="1" applyAlignment="1">
      <alignment horizontal="center"/>
    </xf>
    <xf numFmtId="0" fontId="1" fillId="12" borderId="0" xfId="0" applyFont="1" applyFill="1" applyAlignment="1">
      <alignment horizontal="center"/>
    </xf>
    <xf numFmtId="164" fontId="1" fillId="12" borderId="22" xfId="0" applyNumberFormat="1" applyFont="1" applyFill="1" applyBorder="1" applyAlignment="1">
      <alignment horizontal="right" vertical="center"/>
    </xf>
    <xf numFmtId="14" fontId="0" fillId="12" borderId="0" xfId="0" applyNumberFormat="1" applyFill="1" applyAlignment="1">
      <alignment horizontal="center"/>
    </xf>
    <xf numFmtId="164" fontId="8" fillId="12" borderId="0" xfId="0" applyNumberFormat="1" applyFont="1" applyFill="1" applyAlignment="1">
      <alignment horizontal="right"/>
    </xf>
    <xf numFmtId="164" fontId="9" fillId="0" borderId="22" xfId="0" applyNumberFormat="1" applyFont="1" applyBorder="1" applyAlignment="1">
      <alignment horizontal="right" vertical="center"/>
    </xf>
    <xf numFmtId="164" fontId="9" fillId="0" borderId="16" xfId="0" applyNumberFormat="1" applyFont="1" applyBorder="1" applyAlignment="1">
      <alignment horizontal="center"/>
    </xf>
    <xf numFmtId="164" fontId="9" fillId="15" borderId="14" xfId="0" applyNumberFormat="1" applyFont="1" applyFill="1" applyBorder="1" applyAlignment="1">
      <alignment horizontal="center"/>
    </xf>
    <xf numFmtId="164" fontId="9" fillId="16" borderId="23" xfId="0" applyNumberFormat="1" applyFont="1" applyFill="1" applyBorder="1" applyAlignment="1">
      <alignment horizontal="center"/>
    </xf>
    <xf numFmtId="0" fontId="9" fillId="0" borderId="0" xfId="0" applyFont="1" applyAlignment="1">
      <alignment horizontal="center"/>
    </xf>
    <xf numFmtId="0" fontId="5" fillId="0" borderId="20" xfId="0" quotePrefix="1" applyFont="1" applyBorder="1" applyAlignment="1">
      <alignment horizontal="center"/>
    </xf>
    <xf numFmtId="0" fontId="1" fillId="0" borderId="20" xfId="0" applyFont="1" applyBorder="1"/>
    <xf numFmtId="0" fontId="0" fillId="0" borderId="66" xfId="0" applyBorder="1"/>
    <xf numFmtId="4" fontId="9" fillId="0" borderId="32" xfId="0" applyNumberFormat="1" applyFont="1" applyBorder="1"/>
    <xf numFmtId="164" fontId="11" fillId="14" borderId="23" xfId="0" applyNumberFormat="1" applyFont="1" applyFill="1" applyBorder="1" applyAlignment="1">
      <alignment horizontal="center"/>
    </xf>
    <xf numFmtId="164" fontId="1" fillId="14" borderId="28" xfId="0" applyNumberFormat="1" applyFont="1" applyFill="1" applyBorder="1" applyAlignment="1">
      <alignment horizontal="center"/>
    </xf>
    <xf numFmtId="164" fontId="11" fillId="14" borderId="28" xfId="0" applyNumberFormat="1" applyFont="1" applyFill="1" applyBorder="1" applyAlignment="1">
      <alignment horizontal="right"/>
    </xf>
    <xf numFmtId="14" fontId="1" fillId="14" borderId="28" xfId="0" applyNumberFormat="1" applyFont="1" applyFill="1" applyBorder="1" applyAlignment="1">
      <alignment horizontal="center"/>
    </xf>
    <xf numFmtId="164" fontId="8" fillId="14" borderId="28" xfId="0" applyNumberFormat="1" applyFont="1" applyFill="1" applyBorder="1" applyAlignment="1">
      <alignment horizontal="right"/>
    </xf>
    <xf numFmtId="164" fontId="1" fillId="14" borderId="15" xfId="0" applyNumberFormat="1" applyFont="1" applyFill="1" applyBorder="1" applyAlignment="1">
      <alignment horizontal="center"/>
    </xf>
    <xf numFmtId="164" fontId="1" fillId="14" borderId="24" xfId="0" applyNumberFormat="1" applyFont="1" applyFill="1" applyBorder="1" applyAlignment="1">
      <alignment horizontal="center"/>
    </xf>
    <xf numFmtId="164" fontId="1" fillId="14" borderId="22" xfId="0" applyNumberFormat="1" applyFont="1" applyFill="1" applyBorder="1" applyAlignment="1">
      <alignment horizontal="center"/>
    </xf>
    <xf numFmtId="164" fontId="11" fillId="14" borderId="22" xfId="0" applyNumberFormat="1" applyFont="1" applyFill="1" applyBorder="1" applyAlignment="1">
      <alignment horizontal="right"/>
    </xf>
    <xf numFmtId="14" fontId="1" fillId="14" borderId="22" xfId="0" applyNumberFormat="1" applyFont="1" applyFill="1" applyBorder="1" applyAlignment="1">
      <alignment horizontal="center"/>
    </xf>
    <xf numFmtId="164" fontId="8" fillId="14" borderId="22" xfId="0" applyNumberFormat="1" applyFont="1" applyFill="1" applyBorder="1" applyAlignment="1">
      <alignment horizontal="right"/>
    </xf>
    <xf numFmtId="0" fontId="1" fillId="14" borderId="22" xfId="0" applyFont="1" applyFill="1" applyBorder="1" applyAlignment="1">
      <alignment horizontal="center"/>
    </xf>
    <xf numFmtId="164" fontId="1" fillId="14" borderId="24" xfId="0" applyNumberFormat="1" applyFont="1" applyFill="1" applyBorder="1" applyAlignment="1">
      <alignment horizontal="center" wrapText="1"/>
    </xf>
    <xf numFmtId="164" fontId="1" fillId="14" borderId="53" xfId="0" applyNumberFormat="1" applyFont="1" applyFill="1" applyBorder="1" applyAlignment="1">
      <alignment horizontal="center" vertical="center"/>
    </xf>
    <xf numFmtId="164" fontId="1" fillId="14" borderId="22" xfId="0" applyNumberFormat="1" applyFont="1" applyFill="1" applyBorder="1" applyAlignment="1">
      <alignment horizontal="right"/>
    </xf>
    <xf numFmtId="164" fontId="8" fillId="14" borderId="1" xfId="0" applyNumberFormat="1" applyFont="1" applyFill="1" applyBorder="1" applyAlignment="1">
      <alignment horizontal="right"/>
    </xf>
    <xf numFmtId="0" fontId="0" fillId="14" borderId="27" xfId="0" applyFill="1" applyBorder="1" applyAlignment="1">
      <alignment horizontal="center" vertical="center"/>
    </xf>
    <xf numFmtId="164" fontId="1" fillId="14" borderId="22" xfId="0" applyNumberFormat="1" applyFont="1" applyFill="1" applyBorder="1" applyAlignment="1">
      <alignment horizontal="center" vertical="center"/>
    </xf>
    <xf numFmtId="164" fontId="1" fillId="14" borderId="15" xfId="0" applyNumberFormat="1" applyFont="1" applyFill="1" applyBorder="1" applyAlignment="1">
      <alignment horizontal="center" wrapText="1"/>
    </xf>
    <xf numFmtId="164" fontId="1" fillId="14" borderId="53" xfId="0" applyNumberFormat="1" applyFont="1" applyFill="1" applyBorder="1" applyAlignment="1">
      <alignment horizontal="center" wrapText="1"/>
    </xf>
    <xf numFmtId="164" fontId="1" fillId="14" borderId="1" xfId="0" applyNumberFormat="1" applyFont="1" applyFill="1" applyBorder="1" applyAlignment="1">
      <alignment horizontal="right"/>
    </xf>
    <xf numFmtId="14" fontId="1" fillId="14" borderId="22" xfId="0" applyNumberFormat="1" applyFont="1" applyFill="1" applyBorder="1" applyAlignment="1">
      <alignment horizontal="center" wrapText="1"/>
    </xf>
    <xf numFmtId="164" fontId="8" fillId="0" borderId="23" xfId="0" applyNumberFormat="1" applyFont="1" applyBorder="1" applyAlignment="1">
      <alignment horizontal="center"/>
    </xf>
    <xf numFmtId="164" fontId="11" fillId="0" borderId="22" xfId="0" applyNumberFormat="1" applyFont="1" applyBorder="1" applyAlignment="1">
      <alignment horizontal="center"/>
    </xf>
    <xf numFmtId="14" fontId="1" fillId="0" borderId="22" xfId="0" applyNumberFormat="1" applyFont="1" applyBorder="1" applyAlignment="1">
      <alignment horizontal="right"/>
    </xf>
    <xf numFmtId="8" fontId="1" fillId="0" borderId="22" xfId="0" applyNumberFormat="1" applyFont="1" applyBorder="1" applyAlignment="1">
      <alignment horizontal="center"/>
    </xf>
    <xf numFmtId="164" fontId="1" fillId="17" borderId="22" xfId="0" applyNumberFormat="1" applyFont="1" applyFill="1" applyBorder="1" applyAlignment="1">
      <alignment horizontal="center"/>
    </xf>
    <xf numFmtId="164" fontId="11" fillId="17" borderId="22" xfId="0" applyNumberFormat="1" applyFont="1" applyFill="1" applyBorder="1" applyAlignment="1">
      <alignment horizontal="right"/>
    </xf>
    <xf numFmtId="14" fontId="1" fillId="17" borderId="22" xfId="0" applyNumberFormat="1" applyFont="1" applyFill="1" applyBorder="1" applyAlignment="1">
      <alignment horizontal="center"/>
    </xf>
    <xf numFmtId="164" fontId="8" fillId="17" borderId="22" xfId="0" applyNumberFormat="1" applyFont="1" applyFill="1" applyBorder="1" applyAlignment="1">
      <alignment horizontal="right"/>
    </xf>
    <xf numFmtId="164" fontId="1" fillId="17" borderId="24" xfId="0" applyNumberFormat="1" applyFont="1" applyFill="1" applyBorder="1" applyAlignment="1">
      <alignment horizontal="center"/>
    </xf>
    <xf numFmtId="0" fontId="1" fillId="17" borderId="75" xfId="0" applyFont="1" applyFill="1" applyBorder="1" applyAlignment="1">
      <alignment horizontal="center" vertical="center"/>
    </xf>
    <xf numFmtId="164" fontId="11" fillId="17" borderId="75" xfId="0" applyNumberFormat="1" applyFont="1" applyFill="1" applyBorder="1" applyAlignment="1">
      <alignment horizontal="right"/>
    </xf>
    <xf numFmtId="14" fontId="1" fillId="17" borderId="75" xfId="0" applyNumberFormat="1" applyFont="1" applyFill="1" applyBorder="1" applyAlignment="1">
      <alignment horizontal="center" vertical="center"/>
    </xf>
    <xf numFmtId="164" fontId="8" fillId="17" borderId="75" xfId="0" applyNumberFormat="1" applyFont="1" applyFill="1" applyBorder="1" applyAlignment="1">
      <alignment horizontal="right"/>
    </xf>
    <xf numFmtId="0" fontId="0" fillId="17" borderId="75" xfId="0" applyFill="1" applyBorder="1" applyAlignment="1">
      <alignment horizontal="center" vertical="center"/>
    </xf>
    <xf numFmtId="0" fontId="1" fillId="17" borderId="76" xfId="0" applyFont="1" applyFill="1" applyBorder="1" applyAlignment="1">
      <alignment horizontal="center" vertical="center"/>
    </xf>
    <xf numFmtId="164" fontId="1" fillId="17" borderId="24" xfId="0" applyNumberFormat="1" applyFont="1" applyFill="1" applyBorder="1" applyAlignment="1">
      <alignment horizontal="center" wrapText="1"/>
    </xf>
    <xf numFmtId="14" fontId="1" fillId="18" borderId="22" xfId="0" applyNumberFormat="1" applyFont="1" applyFill="1" applyBorder="1" applyAlignment="1">
      <alignment horizontal="center"/>
    </xf>
    <xf numFmtId="164" fontId="9" fillId="18" borderId="0" xfId="0" applyNumberFormat="1" applyFont="1" applyFill="1" applyAlignment="1">
      <alignment horizontal="right"/>
    </xf>
    <xf numFmtId="164" fontId="0" fillId="18" borderId="0" xfId="0" applyNumberFormat="1" applyFill="1" applyAlignment="1">
      <alignment horizontal="right"/>
    </xf>
    <xf numFmtId="0" fontId="7" fillId="18" borderId="20" xfId="0" applyFont="1" applyFill="1" applyBorder="1" applyAlignment="1">
      <alignment horizontal="center"/>
    </xf>
    <xf numFmtId="164" fontId="11" fillId="18" borderId="22" xfId="0" applyNumberFormat="1" applyFont="1" applyFill="1" applyBorder="1" applyAlignment="1">
      <alignment horizontal="right"/>
    </xf>
    <xf numFmtId="164" fontId="1" fillId="18" borderId="24" xfId="0" applyNumberFormat="1" applyFont="1" applyFill="1" applyBorder="1" applyAlignment="1">
      <alignment horizontal="center" wrapText="1"/>
    </xf>
    <xf numFmtId="14" fontId="1" fillId="0" borderId="0" xfId="0" applyNumberFormat="1" applyFont="1" applyAlignment="1">
      <alignment horizontal="center" vertical="center" wrapText="1"/>
    </xf>
    <xf numFmtId="164" fontId="1" fillId="10" borderId="23" xfId="0" applyNumberFormat="1" applyFont="1" applyFill="1" applyBorder="1" applyAlignment="1">
      <alignment horizontal="center"/>
    </xf>
    <xf numFmtId="164" fontId="1" fillId="11" borderId="35" xfId="0" applyNumberFormat="1" applyFont="1" applyFill="1" applyBorder="1" applyAlignment="1">
      <alignment horizontal="center"/>
    </xf>
    <xf numFmtId="164" fontId="1" fillId="10" borderId="83" xfId="0" applyNumberFormat="1" applyFont="1" applyFill="1" applyBorder="1" applyAlignment="1">
      <alignment horizontal="center"/>
    </xf>
    <xf numFmtId="0" fontId="1" fillId="10" borderId="83" xfId="0" applyFont="1" applyFill="1" applyBorder="1" applyAlignment="1">
      <alignment horizontal="center"/>
    </xf>
    <xf numFmtId="164" fontId="1" fillId="10" borderId="83" xfId="0" applyNumberFormat="1" applyFont="1" applyFill="1" applyBorder="1" applyAlignment="1">
      <alignment horizontal="right" vertical="center"/>
    </xf>
    <xf numFmtId="14" fontId="0" fillId="10" borderId="83" xfId="0" applyNumberFormat="1" applyFill="1" applyBorder="1" applyAlignment="1">
      <alignment horizontal="center"/>
    </xf>
    <xf numFmtId="164" fontId="8" fillId="10" borderId="83" xfId="0" applyNumberFormat="1" applyFont="1" applyFill="1" applyBorder="1" applyAlignment="1">
      <alignment horizontal="right"/>
    </xf>
    <xf numFmtId="0" fontId="0" fillId="10" borderId="83" xfId="0" applyFill="1" applyBorder="1"/>
    <xf numFmtId="0" fontId="0" fillId="10" borderId="83" xfId="0" applyFill="1" applyBorder="1" applyAlignment="1">
      <alignment horizontal="center"/>
    </xf>
    <xf numFmtId="164" fontId="1" fillId="10" borderId="84" xfId="0" applyNumberFormat="1" applyFont="1" applyFill="1" applyBorder="1" applyAlignment="1">
      <alignment horizontal="center" wrapText="1"/>
    </xf>
    <xf numFmtId="0" fontId="1" fillId="11" borderId="0" xfId="0" applyFont="1" applyFill="1" applyAlignment="1">
      <alignment horizontal="center"/>
    </xf>
    <xf numFmtId="164" fontId="1" fillId="11" borderId="28" xfId="0" applyNumberFormat="1" applyFont="1" applyFill="1" applyBorder="1" applyAlignment="1">
      <alignment horizontal="right" vertical="center"/>
    </xf>
    <xf numFmtId="14" fontId="0" fillId="11" borderId="0" xfId="0" applyNumberFormat="1" applyFill="1" applyAlignment="1">
      <alignment horizontal="center"/>
    </xf>
    <xf numFmtId="164" fontId="8" fillId="11" borderId="28" xfId="0" applyNumberFormat="1" applyFont="1" applyFill="1" applyBorder="1" applyAlignment="1">
      <alignment horizontal="right"/>
    </xf>
    <xf numFmtId="164" fontId="8" fillId="11" borderId="0" xfId="0" applyNumberFormat="1" applyFont="1" applyFill="1" applyAlignment="1">
      <alignment horizontal="right"/>
    </xf>
    <xf numFmtId="0" fontId="0" fillId="11" borderId="0" xfId="0" applyFill="1"/>
    <xf numFmtId="0" fontId="0" fillId="11" borderId="0" xfId="0" applyFill="1" applyAlignment="1">
      <alignment horizontal="center"/>
    </xf>
    <xf numFmtId="164" fontId="1" fillId="11" borderId="50" xfId="0" applyNumberFormat="1" applyFont="1" applyFill="1" applyBorder="1" applyAlignment="1">
      <alignment horizontal="center" wrapText="1"/>
    </xf>
    <xf numFmtId="164" fontId="1" fillId="11" borderId="22" xfId="0" applyNumberFormat="1" applyFont="1" applyFill="1" applyBorder="1" applyAlignment="1">
      <alignment horizontal="right" vertical="center"/>
    </xf>
    <xf numFmtId="164" fontId="8" fillId="11" borderId="22" xfId="0" applyNumberFormat="1" applyFont="1" applyFill="1" applyBorder="1" applyAlignment="1">
      <alignment horizontal="right"/>
    </xf>
    <xf numFmtId="164" fontId="1" fillId="11" borderId="24" xfId="0" applyNumberFormat="1" applyFont="1" applyFill="1" applyBorder="1" applyAlignment="1">
      <alignment horizontal="center" wrapText="1"/>
    </xf>
    <xf numFmtId="14" fontId="0" fillId="0" borderId="79" xfId="0" applyNumberFormat="1" applyBorder="1"/>
    <xf numFmtId="0" fontId="9" fillId="0" borderId="0" xfId="0" applyFont="1"/>
    <xf numFmtId="0" fontId="1" fillId="0" borderId="79" xfId="0" applyFont="1" applyBorder="1"/>
    <xf numFmtId="14" fontId="0" fillId="19" borderId="79" xfId="0" applyNumberFormat="1" applyFill="1" applyBorder="1"/>
    <xf numFmtId="0" fontId="0" fillId="19" borderId="79" xfId="0" applyFill="1" applyBorder="1"/>
    <xf numFmtId="0" fontId="7" fillId="18" borderId="20" xfId="0" applyFont="1" applyFill="1" applyBorder="1" applyAlignment="1">
      <alignment horizontal="center" wrapText="1"/>
    </xf>
    <xf numFmtId="14" fontId="1" fillId="19" borderId="79" xfId="0" applyNumberFormat="1" applyFont="1" applyFill="1" applyBorder="1"/>
    <xf numFmtId="14" fontId="0" fillId="0" borderId="0" xfId="0" applyNumberFormat="1" applyAlignment="1">
      <alignment horizontal="center" wrapText="1"/>
    </xf>
    <xf numFmtId="164" fontId="1" fillId="4" borderId="0" xfId="0" applyNumberFormat="1" applyFont="1" applyFill="1" applyAlignment="1">
      <alignment horizontal="center"/>
    </xf>
    <xf numFmtId="164" fontId="0" fillId="20" borderId="0" xfId="0" applyNumberFormat="1" applyFill="1" applyAlignment="1">
      <alignment horizontal="center"/>
    </xf>
    <xf numFmtId="164" fontId="1" fillId="20" borderId="22" xfId="0" applyNumberFormat="1" applyFont="1" applyFill="1" applyBorder="1" applyAlignment="1">
      <alignment horizontal="right" vertical="center"/>
    </xf>
    <xf numFmtId="164" fontId="8" fillId="16" borderId="22" xfId="0" applyNumberFormat="1" applyFont="1" applyFill="1" applyBorder="1" applyAlignment="1">
      <alignment horizontal="right"/>
    </xf>
    <xf numFmtId="0" fontId="1" fillId="16" borderId="22" xfId="0" applyFont="1" applyFill="1" applyBorder="1" applyAlignment="1">
      <alignment horizontal="center"/>
    </xf>
    <xf numFmtId="0" fontId="1" fillId="19" borderId="79" xfId="0" applyFont="1" applyFill="1" applyBorder="1"/>
    <xf numFmtId="0" fontId="1" fillId="19" borderId="79" xfId="0" applyFont="1" applyFill="1" applyBorder="1" applyAlignment="1">
      <alignment wrapText="1"/>
    </xf>
    <xf numFmtId="0" fontId="1" fillId="0" borderId="85" xfId="0" applyFont="1" applyBorder="1" applyAlignment="1">
      <alignment horizontal="center" vertical="center"/>
    </xf>
    <xf numFmtId="164" fontId="11" fillId="0" borderId="85" xfId="0" applyNumberFormat="1" applyFont="1" applyBorder="1" applyAlignment="1">
      <alignment horizontal="right"/>
    </xf>
    <xf numFmtId="14" fontId="1" fillId="0" borderId="85" xfId="0" applyNumberFormat="1" applyFont="1" applyBorder="1" applyAlignment="1">
      <alignment horizontal="center" vertical="center"/>
    </xf>
    <xf numFmtId="164" fontId="8" fillId="0" borderId="85" xfId="0" applyNumberFormat="1" applyFont="1" applyBorder="1" applyAlignment="1">
      <alignment horizontal="right"/>
    </xf>
    <xf numFmtId="0" fontId="0" fillId="0" borderId="85" xfId="0" applyBorder="1" applyAlignment="1">
      <alignment horizontal="center" vertical="center"/>
    </xf>
    <xf numFmtId="164" fontId="0" fillId="0" borderId="86" xfId="0" applyNumberFormat="1" applyBorder="1" applyAlignment="1">
      <alignment horizontal="center"/>
    </xf>
    <xf numFmtId="164" fontId="0" fillId="0" borderId="87" xfId="0" applyNumberFormat="1" applyBorder="1" applyAlignment="1">
      <alignment horizontal="center"/>
    </xf>
    <xf numFmtId="164" fontId="9" fillId="0" borderId="87" xfId="0" applyNumberFormat="1" applyFont="1" applyBorder="1" applyAlignment="1">
      <alignment horizontal="right"/>
    </xf>
    <xf numFmtId="0" fontId="1" fillId="0" borderId="88" xfId="0" applyFont="1" applyBorder="1" applyAlignment="1">
      <alignment horizontal="center" vertical="center"/>
    </xf>
    <xf numFmtId="0" fontId="0" fillId="0" borderId="89" xfId="0" applyBorder="1" applyAlignment="1">
      <alignment horizontal="center" vertical="center"/>
    </xf>
    <xf numFmtId="164" fontId="11" fillId="0" borderId="89" xfId="0" applyNumberFormat="1" applyFont="1" applyBorder="1" applyAlignment="1">
      <alignment horizontal="right"/>
    </xf>
    <xf numFmtId="14" fontId="1" fillId="0" borderId="90" xfId="0" applyNumberFormat="1" applyFont="1" applyBorder="1" applyAlignment="1">
      <alignment horizontal="center" vertical="center"/>
    </xf>
    <xf numFmtId="14" fontId="1" fillId="0" borderId="89" xfId="0" applyNumberFormat="1" applyFont="1" applyBorder="1" applyAlignment="1">
      <alignment horizontal="center" vertical="center"/>
    </xf>
    <xf numFmtId="0" fontId="1" fillId="0" borderId="89" xfId="0" applyFont="1" applyBorder="1" applyAlignment="1">
      <alignment horizontal="center" vertical="center"/>
    </xf>
    <xf numFmtId="164" fontId="11" fillId="0" borderId="89" xfId="0" applyNumberFormat="1" applyFont="1" applyBorder="1" applyAlignment="1">
      <alignment horizontal="center"/>
    </xf>
    <xf numFmtId="164" fontId="11" fillId="0" borderId="89" xfId="0" applyNumberFormat="1" applyFont="1" applyBorder="1" applyAlignment="1">
      <alignment horizontal="right" vertical="center"/>
    </xf>
    <xf numFmtId="164" fontId="8" fillId="0" borderId="89" xfId="0" applyNumberFormat="1" applyFont="1" applyBorder="1" applyAlignment="1">
      <alignment horizontal="right" vertical="center"/>
    </xf>
    <xf numFmtId="164" fontId="1" fillId="0" borderId="16" xfId="0" applyNumberFormat="1" applyFont="1" applyBorder="1" applyAlignment="1">
      <alignment horizontal="center"/>
    </xf>
    <xf numFmtId="164" fontId="1" fillId="0" borderId="17" xfId="0" applyNumberFormat="1" applyFont="1" applyBorder="1" applyAlignment="1">
      <alignment horizontal="center"/>
    </xf>
    <xf numFmtId="164" fontId="1" fillId="0" borderId="18" xfId="0" applyNumberFormat="1" applyFont="1" applyBorder="1" applyAlignment="1">
      <alignment horizontal="center"/>
    </xf>
    <xf numFmtId="164" fontId="1" fillId="0" borderId="91" xfId="0" applyNumberFormat="1" applyFont="1" applyBorder="1" applyAlignment="1">
      <alignment horizontal="center" wrapText="1"/>
    </xf>
    <xf numFmtId="164" fontId="1" fillId="0" borderId="17" xfId="0" applyNumberFormat="1" applyFont="1" applyBorder="1" applyAlignment="1">
      <alignment horizontal="right"/>
    </xf>
    <xf numFmtId="14" fontId="1" fillId="0" borderId="17" xfId="0" applyNumberFormat="1" applyFont="1" applyBorder="1" applyAlignment="1">
      <alignment horizontal="center" wrapText="1"/>
    </xf>
    <xf numFmtId="14" fontId="1" fillId="0" borderId="17" xfId="0" applyNumberFormat="1" applyFont="1" applyBorder="1" applyAlignment="1">
      <alignment horizontal="center"/>
    </xf>
    <xf numFmtId="164" fontId="1" fillId="0" borderId="18" xfId="0" applyNumberFormat="1" applyFont="1" applyBorder="1" applyAlignment="1">
      <alignment horizontal="center" wrapText="1"/>
    </xf>
    <xf numFmtId="0" fontId="26" fillId="0" borderId="0" xfId="0" applyFont="1" applyAlignment="1">
      <alignment horizontal="center"/>
    </xf>
    <xf numFmtId="0" fontId="0" fillId="0" borderId="0" xfId="0" applyAlignment="1">
      <alignment horizontal="center"/>
    </xf>
    <xf numFmtId="0" fontId="0" fillId="0" borderId="0" xfId="0" applyAlignment="1">
      <alignment horizontal="center" vertical="top"/>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46" xfId="0" applyFont="1"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 fillId="0" borderId="47" xfId="0" applyFont="1" applyBorder="1" applyAlignment="1">
      <alignment horizontal="center"/>
    </xf>
    <xf numFmtId="0" fontId="0" fillId="0" borderId="34" xfId="0" applyBorder="1" applyAlignment="1">
      <alignment horizontal="center"/>
    </xf>
    <xf numFmtId="0" fontId="0" fillId="0" borderId="37" xfId="0" applyBorder="1" applyAlignment="1">
      <alignment horizontal="center"/>
    </xf>
    <xf numFmtId="0" fontId="1" fillId="0" borderId="0" xfId="0" applyFont="1" applyAlignment="1">
      <alignment horizontal="center" vertical="top"/>
    </xf>
    <xf numFmtId="0" fontId="0" fillId="0" borderId="0" xfId="0"/>
    <xf numFmtId="0" fontId="9" fillId="0" borderId="29" xfId="0" applyFont="1" applyBorder="1" applyAlignment="1">
      <alignment horizontal="center"/>
    </xf>
    <xf numFmtId="0" fontId="9" fillId="0" borderId="0" xfId="0" applyFont="1" applyAlignment="1">
      <alignment horizontal="center"/>
    </xf>
    <xf numFmtId="0" fontId="9" fillId="0" borderId="30" xfId="0" applyFont="1" applyBorder="1" applyAlignment="1">
      <alignment horizontal="center"/>
    </xf>
    <xf numFmtId="0" fontId="9" fillId="0" borderId="48" xfId="0" applyFont="1" applyBorder="1" applyAlignment="1">
      <alignment horizontal="center"/>
    </xf>
    <xf numFmtId="0" fontId="9" fillId="0" borderId="34" xfId="0" applyFont="1" applyBorder="1" applyAlignment="1">
      <alignment horizontal="center"/>
    </xf>
    <xf numFmtId="0" fontId="9" fillId="0" borderId="49" xfId="0" applyFont="1" applyBorder="1" applyAlignment="1">
      <alignment horizont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17" fillId="0" borderId="0" xfId="0" applyFont="1" applyAlignment="1">
      <alignment horizontal="center"/>
    </xf>
    <xf numFmtId="0" fontId="7" fillId="0" borderId="0" xfId="0" applyFont="1" applyAlignment="1">
      <alignment horizontal="left"/>
    </xf>
    <xf numFmtId="164" fontId="1" fillId="0" borderId="22" xfId="0" applyNumberFormat="1" applyFont="1" applyBorder="1" applyAlignment="1">
      <alignment horizontal="center" vertical="center"/>
    </xf>
    <xf numFmtId="0" fontId="0" fillId="0" borderId="27" xfId="0" applyBorder="1" applyAlignment="1">
      <alignment horizontal="center" vertical="center"/>
    </xf>
    <xf numFmtId="164" fontId="11" fillId="0" borderId="22" xfId="0" applyNumberFormat="1" applyFont="1" applyBorder="1" applyAlignment="1">
      <alignment horizontal="right" vertical="center"/>
    </xf>
    <xf numFmtId="0" fontId="0" fillId="0" borderId="27" xfId="0" applyBorder="1" applyAlignment="1">
      <alignment horizontal="right" vertical="center"/>
    </xf>
    <xf numFmtId="14" fontId="1" fillId="0" borderId="22" xfId="0" applyNumberFormat="1" applyFont="1" applyBorder="1" applyAlignment="1">
      <alignment horizontal="center" vertical="center"/>
    </xf>
    <xf numFmtId="164" fontId="8" fillId="0" borderId="22" xfId="0" applyNumberFormat="1" applyFont="1" applyBorder="1" applyAlignment="1">
      <alignment horizontal="right" vertical="center"/>
    </xf>
    <xf numFmtId="164" fontId="1" fillId="0" borderId="24" xfId="0" applyNumberFormat="1" applyFont="1" applyBorder="1" applyAlignment="1">
      <alignment horizontal="center" vertical="center"/>
    </xf>
    <xf numFmtId="0" fontId="0" fillId="0" borderId="40" xfId="0" applyBorder="1" applyAlignment="1">
      <alignment horizontal="center" vertical="center"/>
    </xf>
    <xf numFmtId="164" fontId="1" fillId="0" borderId="22" xfId="0" applyNumberFormat="1" applyFont="1" applyBorder="1" applyAlignment="1">
      <alignment horizontal="right" vertical="center"/>
    </xf>
    <xf numFmtId="0" fontId="0" fillId="0" borderId="0" xfId="0" applyAlignment="1">
      <alignment horizontal="left"/>
    </xf>
    <xf numFmtId="164" fontId="1" fillId="0" borderId="23" xfId="0" applyNumberFormat="1"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28" xfId="0" applyBorder="1" applyAlignment="1">
      <alignment horizontal="center" vertical="center"/>
    </xf>
    <xf numFmtId="0" fontId="0" fillId="0" borderId="28" xfId="0" applyBorder="1" applyAlignment="1">
      <alignment horizontal="right" vertical="center"/>
    </xf>
    <xf numFmtId="164" fontId="18" fillId="0" borderId="22" xfId="0" applyNumberFormat="1" applyFont="1" applyBorder="1" applyAlignment="1">
      <alignment horizontal="right"/>
    </xf>
    <xf numFmtId="0" fontId="0" fillId="0" borderId="27" xfId="0" applyBorder="1" applyAlignment="1">
      <alignment horizontal="right"/>
    </xf>
    <xf numFmtId="0" fontId="18" fillId="0" borderId="22" xfId="0" applyFont="1" applyBorder="1" applyAlignment="1">
      <alignment horizontal="center" vertical="center"/>
    </xf>
    <xf numFmtId="0" fontId="7" fillId="0" borderId="20" xfId="0" applyFont="1" applyBorder="1" applyAlignment="1">
      <alignment horizontal="left"/>
    </xf>
    <xf numFmtId="0" fontId="1" fillId="0" borderId="22" xfId="0" applyFont="1" applyBorder="1" applyAlignment="1">
      <alignment horizontal="center" vertical="center"/>
    </xf>
    <xf numFmtId="14" fontId="18" fillId="0" borderId="22" xfId="0" applyNumberFormat="1" applyFont="1" applyBorder="1" applyAlignment="1">
      <alignment horizontal="center" vertical="center"/>
    </xf>
    <xf numFmtId="0" fontId="18" fillId="0" borderId="27" xfId="0" applyFont="1" applyBorder="1" applyAlignment="1">
      <alignment horizontal="center" vertical="center"/>
    </xf>
    <xf numFmtId="164" fontId="1" fillId="0" borderId="22" xfId="0" applyNumberFormat="1" applyFont="1" applyBorder="1" applyAlignment="1">
      <alignment horizontal="center" vertical="center" wrapText="1"/>
    </xf>
    <xf numFmtId="0" fontId="0" fillId="0" borderId="27" xfId="0" applyBorder="1" applyAlignment="1">
      <alignment horizontal="center" vertical="center" wrapText="1"/>
    </xf>
    <xf numFmtId="164" fontId="18" fillId="0" borderId="22" xfId="0" applyNumberFormat="1" applyFont="1" applyBorder="1" applyAlignment="1">
      <alignment horizontal="right" vertical="center"/>
    </xf>
    <xf numFmtId="0" fontId="18" fillId="0" borderId="27" xfId="0" applyFont="1" applyBorder="1" applyAlignment="1">
      <alignment horizontal="right" vertical="center"/>
    </xf>
    <xf numFmtId="164" fontId="1" fillId="0" borderId="22" xfId="0" applyNumberFormat="1" applyFont="1" applyBorder="1" applyAlignment="1">
      <alignment horizontal="center"/>
    </xf>
    <xf numFmtId="0" fontId="0" fillId="0" borderId="27" xfId="0" applyBorder="1" applyAlignment="1">
      <alignment horizontal="center"/>
    </xf>
    <xf numFmtId="164" fontId="18" fillId="0" borderId="22" xfId="0" applyNumberFormat="1" applyFont="1" applyBorder="1" applyAlignment="1">
      <alignment horizontal="center" vertical="center"/>
    </xf>
    <xf numFmtId="164" fontId="1" fillId="0" borderId="23" xfId="0" applyNumberFormat="1" applyFont="1" applyBorder="1" applyAlignment="1">
      <alignment horizontal="center" vertical="center"/>
    </xf>
    <xf numFmtId="0" fontId="0" fillId="0" borderId="36" xfId="0" applyBorder="1" applyAlignment="1">
      <alignment horizontal="center" vertic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164" fontId="20" fillId="0" borderId="24" xfId="0" applyNumberFormat="1" applyFont="1" applyBorder="1" applyAlignment="1">
      <alignment horizontal="center" wrapText="1"/>
    </xf>
    <xf numFmtId="0" fontId="0" fillId="0" borderId="40" xfId="0" applyBorder="1" applyAlignment="1">
      <alignment horizontal="center" wrapText="1"/>
    </xf>
    <xf numFmtId="0" fontId="0" fillId="0" borderId="42" xfId="0" applyBorder="1" applyAlignment="1">
      <alignment horizontal="center" vertical="center"/>
    </xf>
    <xf numFmtId="0" fontId="0" fillId="0" borderId="43" xfId="0" applyBorder="1" applyAlignment="1">
      <alignment horizontal="center" vertical="center"/>
    </xf>
    <xf numFmtId="164" fontId="1" fillId="0" borderId="0" xfId="0" applyNumberFormat="1" applyFont="1" applyAlignment="1">
      <alignment horizontal="center"/>
    </xf>
    <xf numFmtId="164" fontId="0" fillId="0" borderId="0" xfId="0" applyNumberFormat="1" applyAlignment="1">
      <alignment horizontal="center"/>
    </xf>
    <xf numFmtId="0" fontId="3" fillId="14" borderId="5" xfId="0" applyFont="1" applyFill="1" applyBorder="1" applyAlignment="1">
      <alignment horizontal="center"/>
    </xf>
    <xf numFmtId="0" fontId="0" fillId="14" borderId="6" xfId="0" applyFill="1" applyBorder="1" applyAlignment="1">
      <alignment horizontal="center"/>
    </xf>
    <xf numFmtId="0" fontId="5" fillId="0" borderId="21" xfId="0" applyFont="1" applyBorder="1" applyAlignment="1">
      <alignment horizontal="center"/>
    </xf>
  </cellXfs>
  <cellStyles count="2">
    <cellStyle name="Currency" xfId="1" builtinId="4"/>
    <cellStyle name="Normal" xfId="0" builtinId="0"/>
  </cellStyles>
  <dxfs count="0"/>
  <tableStyles count="0" defaultTableStyle="TableStyleMedium9" defaultPivotStyle="PivotStyleLight16"/>
  <colors>
    <mruColors>
      <color rgb="FFBDE0E9"/>
      <color rgb="FF9F2F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6</xdr:col>
      <xdr:colOff>716454</xdr:colOff>
      <xdr:row>3</xdr:row>
      <xdr:rowOff>59823</xdr:rowOff>
    </xdr:from>
    <xdr:ext cx="2091342" cy="937629"/>
    <xdr:sp macro="" textlink="">
      <xdr:nvSpPr>
        <xdr:cNvPr id="2" name="Rectangle 1">
          <a:extLst>
            <a:ext uri="{FF2B5EF4-FFF2-40B4-BE49-F238E27FC236}">
              <a16:creationId xmlns:a16="http://schemas.microsoft.com/office/drawing/2014/main" id="{0643339D-D886-38E3-7DAA-05AB700AA6FA}"/>
            </a:ext>
          </a:extLst>
        </xdr:cNvPr>
        <xdr:cNvSpPr/>
      </xdr:nvSpPr>
      <xdr:spPr>
        <a:xfrm>
          <a:off x="7917354" y="755148"/>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161925</xdr:colOff>
      <xdr:row>4</xdr:row>
      <xdr:rowOff>66675</xdr:rowOff>
    </xdr:from>
    <xdr:ext cx="2091342" cy="937629"/>
    <xdr:sp macro="" textlink="">
      <xdr:nvSpPr>
        <xdr:cNvPr id="2" name="Rectangle 1">
          <a:extLst>
            <a:ext uri="{FF2B5EF4-FFF2-40B4-BE49-F238E27FC236}">
              <a16:creationId xmlns:a16="http://schemas.microsoft.com/office/drawing/2014/main" id="{975DAEE1-55CB-400A-9411-94B4AC4236F2}"/>
            </a:ext>
          </a:extLst>
        </xdr:cNvPr>
        <xdr:cNvSpPr/>
      </xdr:nvSpPr>
      <xdr:spPr>
        <a:xfrm>
          <a:off x="8705850" y="828675"/>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114300</xdr:colOff>
      <xdr:row>4</xdr:row>
      <xdr:rowOff>123825</xdr:rowOff>
    </xdr:from>
    <xdr:ext cx="2091342" cy="937629"/>
    <xdr:sp macro="" textlink="">
      <xdr:nvSpPr>
        <xdr:cNvPr id="3" name="Rectangle 2">
          <a:extLst>
            <a:ext uri="{FF2B5EF4-FFF2-40B4-BE49-F238E27FC236}">
              <a16:creationId xmlns:a16="http://schemas.microsoft.com/office/drawing/2014/main" id="{D8AC263C-6AD6-420D-BD43-DE085ADDC646}"/>
            </a:ext>
          </a:extLst>
        </xdr:cNvPr>
        <xdr:cNvSpPr/>
      </xdr:nvSpPr>
      <xdr:spPr>
        <a:xfrm>
          <a:off x="8315325" y="981075"/>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723900</xdr:colOff>
      <xdr:row>4</xdr:row>
      <xdr:rowOff>209550</xdr:rowOff>
    </xdr:from>
    <xdr:ext cx="2091342" cy="937629"/>
    <xdr:sp macro="" textlink="">
      <xdr:nvSpPr>
        <xdr:cNvPr id="2" name="Rectangle 1">
          <a:extLst>
            <a:ext uri="{FF2B5EF4-FFF2-40B4-BE49-F238E27FC236}">
              <a16:creationId xmlns:a16="http://schemas.microsoft.com/office/drawing/2014/main" id="{A4DA314F-7B0D-41EF-A5CA-BEEC1828A205}"/>
            </a:ext>
          </a:extLst>
        </xdr:cNvPr>
        <xdr:cNvSpPr/>
      </xdr:nvSpPr>
      <xdr:spPr>
        <a:xfrm>
          <a:off x="8115300" y="1066800"/>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866775</xdr:colOff>
      <xdr:row>4</xdr:row>
      <xdr:rowOff>19050</xdr:rowOff>
    </xdr:from>
    <xdr:ext cx="2091342" cy="937629"/>
    <xdr:sp macro="" textlink="">
      <xdr:nvSpPr>
        <xdr:cNvPr id="2" name="Rectangle 1">
          <a:extLst>
            <a:ext uri="{FF2B5EF4-FFF2-40B4-BE49-F238E27FC236}">
              <a16:creationId xmlns:a16="http://schemas.microsoft.com/office/drawing/2014/main" id="{CA71F681-0B5C-401B-9E00-1F1B1A6BEE9F}"/>
            </a:ext>
          </a:extLst>
        </xdr:cNvPr>
        <xdr:cNvSpPr/>
      </xdr:nvSpPr>
      <xdr:spPr>
        <a:xfrm>
          <a:off x="7305675" y="971550"/>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0</xdr:colOff>
      <xdr:row>4</xdr:row>
      <xdr:rowOff>0</xdr:rowOff>
    </xdr:from>
    <xdr:ext cx="2091342" cy="937629"/>
    <xdr:sp macro="" textlink="">
      <xdr:nvSpPr>
        <xdr:cNvPr id="2" name="Rectangle 1">
          <a:extLst>
            <a:ext uri="{FF2B5EF4-FFF2-40B4-BE49-F238E27FC236}">
              <a16:creationId xmlns:a16="http://schemas.microsoft.com/office/drawing/2014/main" id="{A39B907C-0040-47B3-A3DA-AACD1386C607}"/>
            </a:ext>
          </a:extLst>
        </xdr:cNvPr>
        <xdr:cNvSpPr/>
      </xdr:nvSpPr>
      <xdr:spPr>
        <a:xfrm>
          <a:off x="6449786" y="943429"/>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15</xdr:col>
      <xdr:colOff>666750</xdr:colOff>
      <xdr:row>4</xdr:row>
      <xdr:rowOff>57150</xdr:rowOff>
    </xdr:from>
    <xdr:ext cx="2091342" cy="937629"/>
    <xdr:sp macro="" textlink="">
      <xdr:nvSpPr>
        <xdr:cNvPr id="2" name="Rectangle 1">
          <a:extLst>
            <a:ext uri="{FF2B5EF4-FFF2-40B4-BE49-F238E27FC236}">
              <a16:creationId xmlns:a16="http://schemas.microsoft.com/office/drawing/2014/main" id="{F39C0514-442E-4742-AD0D-9C5E64CDEF15}"/>
            </a:ext>
          </a:extLst>
        </xdr:cNvPr>
        <xdr:cNvSpPr/>
      </xdr:nvSpPr>
      <xdr:spPr>
        <a:xfrm>
          <a:off x="12782550" y="819150"/>
          <a:ext cx="2091342" cy="937629"/>
        </a:xfrm>
        <a:prstGeom prst="rect">
          <a:avLst/>
        </a:prstGeom>
        <a:noFill/>
      </xdr:spPr>
      <xdr:txBody>
        <a:bodyPr wrap="none" lIns="91440" tIns="45720" rIns="91440" bIns="45720">
          <a:spAutoFit/>
        </a:bodyPr>
        <a:lstStyle/>
        <a:p>
          <a:pPr algn="ctr"/>
          <a:r>
            <a:rPr lang="en-US" sz="5400" b="1" cap="none" spc="0">
              <a:ln w="12700">
                <a:solidFill>
                  <a:schemeClr val="accent5"/>
                </a:solidFill>
                <a:prstDash val="solid"/>
              </a:ln>
              <a:pattFill prst="ltDnDiag">
                <a:fgClr>
                  <a:schemeClr val="accent5">
                    <a:lumMod val="60000"/>
                    <a:lumOff val="40000"/>
                  </a:schemeClr>
                </a:fgClr>
                <a:bgClr>
                  <a:schemeClr val="bg1"/>
                </a:bgClr>
              </a:pattFill>
              <a:effectLst/>
            </a:rPr>
            <a:t>DRAFT</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zoomScaleNormal="100" workbookViewId="0">
      <selection activeCell="I17" sqref="I17"/>
    </sheetView>
  </sheetViews>
  <sheetFormatPr defaultRowHeight="12.75" x14ac:dyDescent="0.2"/>
  <cols>
    <col min="1" max="1" width="11.85546875" bestFit="1" customWidth="1"/>
    <col min="2" max="3" width="10.7109375" bestFit="1" customWidth="1"/>
    <col min="4" max="4" width="11.7109375" bestFit="1" customWidth="1"/>
    <col min="5" max="5" width="10.7109375" bestFit="1" customWidth="1"/>
    <col min="6" max="6" width="10.5703125" bestFit="1" customWidth="1"/>
    <col min="7" max="7" width="11.5703125" bestFit="1" customWidth="1"/>
    <col min="8" max="8" width="10.5703125" bestFit="1" customWidth="1"/>
    <col min="9" max="9" width="11.85546875" customWidth="1"/>
    <col min="10" max="10" width="12.85546875" customWidth="1"/>
    <col min="11" max="11" width="11.85546875" bestFit="1" customWidth="1"/>
    <col min="12" max="14" width="9.42578125" bestFit="1" customWidth="1"/>
    <col min="15" max="16" width="9.28515625" bestFit="1" customWidth="1"/>
  </cols>
  <sheetData>
    <row r="1" spans="1:17" ht="25.5" customHeight="1" x14ac:dyDescent="0.2">
      <c r="A1" s="469" t="s">
        <v>62</v>
      </c>
      <c r="B1" s="469"/>
      <c r="C1" s="469"/>
      <c r="D1" s="469"/>
      <c r="E1" s="469"/>
      <c r="F1" s="469"/>
      <c r="G1" s="469"/>
      <c r="H1" s="469"/>
      <c r="I1" s="469"/>
      <c r="J1" s="469"/>
      <c r="K1" s="49"/>
      <c r="L1" s="469" t="s">
        <v>62</v>
      </c>
      <c r="M1" s="469"/>
      <c r="N1" s="469"/>
      <c r="O1" s="469"/>
      <c r="P1" s="469"/>
      <c r="Q1" s="469"/>
    </row>
    <row r="2" spans="1:17" ht="24.6" customHeight="1" x14ac:dyDescent="0.2">
      <c r="B2" s="468" t="s">
        <v>52</v>
      </c>
      <c r="C2" s="468"/>
      <c r="D2" s="468"/>
      <c r="E2" s="468" t="s">
        <v>53</v>
      </c>
      <c r="F2" s="468"/>
      <c r="G2" s="468"/>
      <c r="H2" s="468" t="s">
        <v>14</v>
      </c>
      <c r="I2" s="468"/>
      <c r="J2" s="468"/>
      <c r="L2" s="468" t="s">
        <v>55</v>
      </c>
      <c r="M2" s="468"/>
      <c r="N2" s="468"/>
      <c r="O2" s="468" t="s">
        <v>56</v>
      </c>
      <c r="P2" s="468"/>
      <c r="Q2" s="468"/>
    </row>
    <row r="3" spans="1:17" ht="24.6" customHeight="1" x14ac:dyDescent="0.2">
      <c r="B3" t="s">
        <v>10</v>
      </c>
      <c r="C3" t="s">
        <v>44</v>
      </c>
      <c r="D3" t="s">
        <v>42</v>
      </c>
      <c r="E3" t="s">
        <v>10</v>
      </c>
      <c r="F3" t="s">
        <v>54</v>
      </c>
      <c r="G3" t="s">
        <v>42</v>
      </c>
      <c r="H3" t="s">
        <v>10</v>
      </c>
      <c r="I3" t="s">
        <v>54</v>
      </c>
      <c r="J3" t="s">
        <v>42</v>
      </c>
      <c r="L3" t="s">
        <v>10</v>
      </c>
      <c r="M3" t="s">
        <v>54</v>
      </c>
      <c r="N3" t="s">
        <v>42</v>
      </c>
      <c r="O3" t="s">
        <v>10</v>
      </c>
      <c r="P3" t="s">
        <v>54</v>
      </c>
      <c r="Q3" t="s">
        <v>42</v>
      </c>
    </row>
    <row r="4" spans="1:17" ht="24.6" customHeight="1" x14ac:dyDescent="0.2">
      <c r="A4" t="s">
        <v>58</v>
      </c>
      <c r="B4" s="48" t="e">
        <f>PGE!#REF!</f>
        <v>#REF!</v>
      </c>
      <c r="C4" s="48" t="e">
        <f>PGE!#REF!</f>
        <v>#REF!</v>
      </c>
      <c r="D4" s="48" t="e">
        <f>PGE!#REF!</f>
        <v>#REF!</v>
      </c>
      <c r="E4" s="48" t="e">
        <f>PACIFIC!#REF!</f>
        <v>#REF!</v>
      </c>
      <c r="F4" s="48" t="e">
        <f>PACIFIC!#REF!</f>
        <v>#REF!</v>
      </c>
      <c r="G4" s="48" t="e">
        <f>PACIFIC!#REF!</f>
        <v>#REF!</v>
      </c>
      <c r="H4" s="48" t="e">
        <f>NWN!#REF!</f>
        <v>#REF!</v>
      </c>
      <c r="I4" s="48" t="e">
        <f>NWN!#REF!</f>
        <v>#REF!</v>
      </c>
      <c r="J4" s="48" t="e">
        <f>NWN!#REF!</f>
        <v>#REF!</v>
      </c>
      <c r="K4" t="s">
        <v>58</v>
      </c>
      <c r="L4" s="48" t="e">
        <f>CASCADE!#REF!</f>
        <v>#REF!</v>
      </c>
      <c r="M4" s="48" t="e">
        <f>CASCADE!#REF!</f>
        <v>#REF!</v>
      </c>
      <c r="N4" s="48" t="e">
        <f>CASCADE!#REF!</f>
        <v>#REF!</v>
      </c>
      <c r="O4" s="48" t="e">
        <f>AVISTA!#REF!</f>
        <v>#REF!</v>
      </c>
      <c r="P4" s="48" t="e">
        <f>AVISTA!#REF!</f>
        <v>#REF!</v>
      </c>
      <c r="Q4" s="48" t="e">
        <f>AVISTA!#REF!</f>
        <v>#REF!</v>
      </c>
    </row>
    <row r="5" spans="1:17" ht="24.6" customHeight="1" x14ac:dyDescent="0.2">
      <c r="A5" t="s">
        <v>57</v>
      </c>
      <c r="B5" s="48" t="e">
        <f>PGE!#REF!</f>
        <v>#REF!</v>
      </c>
      <c r="C5" s="48" t="e">
        <f>PGE!#REF!</f>
        <v>#REF!</v>
      </c>
      <c r="D5" s="48" t="e">
        <f>PGE!#REF!</f>
        <v>#REF!</v>
      </c>
      <c r="E5" s="48" t="e">
        <f>PACIFIC!#REF!</f>
        <v>#REF!</v>
      </c>
      <c r="F5" s="48" t="e">
        <f>PACIFIC!#REF!</f>
        <v>#REF!</v>
      </c>
      <c r="G5" s="48" t="e">
        <f>PACIFIC!#REF!</f>
        <v>#REF!</v>
      </c>
      <c r="H5" s="48" t="e">
        <f>NWN!#REF!</f>
        <v>#REF!</v>
      </c>
      <c r="I5" s="48" t="e">
        <f>NWN!#REF!</f>
        <v>#REF!</v>
      </c>
      <c r="J5" s="48" t="e">
        <f>NWN!#REF!</f>
        <v>#REF!</v>
      </c>
      <c r="K5" t="s">
        <v>57</v>
      </c>
      <c r="L5" s="48" t="e">
        <f>CASCADE!#REF!</f>
        <v>#REF!</v>
      </c>
      <c r="M5" s="48" t="e">
        <f>CASCADE!#REF!</f>
        <v>#REF!</v>
      </c>
      <c r="N5" s="48" t="e">
        <f>CASCADE!#REF!</f>
        <v>#REF!</v>
      </c>
      <c r="O5" s="48" t="e">
        <f>AVISTA!#REF!</f>
        <v>#REF!</v>
      </c>
      <c r="P5" s="48" t="e">
        <f>AVISTA!#REF!</f>
        <v>#REF!</v>
      </c>
      <c r="Q5" s="48" t="e">
        <f>AVISTA!#REF!</f>
        <v>#REF!</v>
      </c>
    </row>
    <row r="6" spans="1:17" ht="24.6" customHeight="1" x14ac:dyDescent="0.2">
      <c r="A6" s="51" t="s">
        <v>59</v>
      </c>
      <c r="B6" s="48" t="e">
        <f t="shared" ref="B6:Q6" si="0">SUM(B4:B5)</f>
        <v>#REF!</v>
      </c>
      <c r="C6" s="48" t="e">
        <f t="shared" si="0"/>
        <v>#REF!</v>
      </c>
      <c r="D6" s="48" t="e">
        <f t="shared" si="0"/>
        <v>#REF!</v>
      </c>
      <c r="E6" s="48" t="e">
        <f t="shared" si="0"/>
        <v>#REF!</v>
      </c>
      <c r="F6" s="48" t="e">
        <f t="shared" si="0"/>
        <v>#REF!</v>
      </c>
      <c r="G6" s="48" t="e">
        <f t="shared" si="0"/>
        <v>#REF!</v>
      </c>
      <c r="H6" s="48" t="e">
        <f t="shared" si="0"/>
        <v>#REF!</v>
      </c>
      <c r="I6" s="48" t="e">
        <f t="shared" si="0"/>
        <v>#REF!</v>
      </c>
      <c r="J6" s="48" t="e">
        <f t="shared" si="0"/>
        <v>#REF!</v>
      </c>
      <c r="K6" s="51" t="s">
        <v>59</v>
      </c>
      <c r="L6" s="48" t="e">
        <f t="shared" si="0"/>
        <v>#REF!</v>
      </c>
      <c r="M6" s="48" t="e">
        <f t="shared" si="0"/>
        <v>#REF!</v>
      </c>
      <c r="N6" s="48" t="e">
        <f>SUM(N4:N5)</f>
        <v>#REF!</v>
      </c>
      <c r="O6" s="48" t="e">
        <f t="shared" si="0"/>
        <v>#REF!</v>
      </c>
      <c r="P6" s="48" t="e">
        <f t="shared" si="0"/>
        <v>#REF!</v>
      </c>
      <c r="Q6" s="48" t="e">
        <f t="shared" si="0"/>
        <v>#REF!</v>
      </c>
    </row>
    <row r="7" spans="1:17" ht="24.6" customHeight="1" x14ac:dyDescent="0.2">
      <c r="A7" t="s">
        <v>65</v>
      </c>
      <c r="B7" s="48" t="e">
        <f>PGE!#REF!</f>
        <v>#REF!</v>
      </c>
      <c r="C7" s="48" t="e">
        <f>PGE!#REF!</f>
        <v>#REF!</v>
      </c>
      <c r="D7" s="48" t="e">
        <f>PGE!#REF!</f>
        <v>#REF!</v>
      </c>
      <c r="E7" s="48" t="e">
        <f>PACIFIC!#REF!</f>
        <v>#REF!</v>
      </c>
      <c r="F7" s="48" t="e">
        <f>PACIFIC!#REF!</f>
        <v>#REF!</v>
      </c>
      <c r="G7" s="48" t="e">
        <f>PACIFIC!#REF!</f>
        <v>#REF!</v>
      </c>
      <c r="H7" s="48" t="e">
        <f>NWN!#REF!</f>
        <v>#REF!</v>
      </c>
      <c r="I7" s="48" t="e">
        <f>NWN!#REF!</f>
        <v>#REF!</v>
      </c>
      <c r="J7" s="48" t="e">
        <f>NWN!#REF!</f>
        <v>#REF!</v>
      </c>
      <c r="K7" t="s">
        <v>65</v>
      </c>
      <c r="L7" s="48" t="e">
        <f>CASCADE!#REF!</f>
        <v>#REF!</v>
      </c>
      <c r="M7" s="48" t="e">
        <f>CASCADE!#REF!</f>
        <v>#REF!</v>
      </c>
      <c r="N7" s="48" t="e">
        <f>CASCADE!#REF!</f>
        <v>#REF!</v>
      </c>
      <c r="O7" s="48" t="e">
        <f>AVISTA!#REF!</f>
        <v>#REF!</v>
      </c>
      <c r="P7" s="48" t="e">
        <f>AVISTA!#REF!</f>
        <v>#REF!</v>
      </c>
      <c r="Q7" s="48" t="e">
        <f>AVISTA!#REF!</f>
        <v>#REF!</v>
      </c>
    </row>
    <row r="8" spans="1:17" ht="24.6" customHeight="1" x14ac:dyDescent="0.2">
      <c r="A8" s="51" t="s">
        <v>61</v>
      </c>
      <c r="B8" s="48" t="e">
        <f>PGE!#REF!</f>
        <v>#REF!</v>
      </c>
      <c r="C8" s="48" t="e">
        <f>PGE!#REF!</f>
        <v>#REF!</v>
      </c>
      <c r="D8" s="48" t="e">
        <f>SUM(PGE!#REF!+(PGE!#REF!-PGE!#REF!))</f>
        <v>#REF!</v>
      </c>
      <c r="E8" s="48" t="e">
        <f>PACIFIC!#REF!</f>
        <v>#REF!</v>
      </c>
      <c r="F8" s="48" t="e">
        <f>PACIFIC!#REF!</f>
        <v>#REF!</v>
      </c>
      <c r="G8" s="48" t="e">
        <f>SUM(PACIFIC!#REF!+(PACIFIC!#REF!-PACIFIC!#REF!))</f>
        <v>#REF!</v>
      </c>
      <c r="H8" s="48" t="e">
        <f>NWN!#REF!</f>
        <v>#REF!</v>
      </c>
      <c r="I8" s="48" t="e">
        <f>NWN!#REF!</f>
        <v>#REF!</v>
      </c>
      <c r="J8" s="48" t="e">
        <f>SUM(NWN!#REF!+(NWN!#REF!-NWN!#REF!))</f>
        <v>#REF!</v>
      </c>
      <c r="K8" s="51" t="s">
        <v>61</v>
      </c>
      <c r="L8" s="48" t="e">
        <f>CASCADE!#REF!</f>
        <v>#REF!</v>
      </c>
      <c r="M8" s="48" t="e">
        <f>CASCADE!#REF!</f>
        <v>#REF!</v>
      </c>
      <c r="N8" s="48" t="e">
        <f>SUM(CASCADE!#REF!+(CASCADE!#REF!-CASCADE!#REF!))</f>
        <v>#REF!</v>
      </c>
      <c r="O8" s="48" t="e">
        <f>AVISTA!#REF!</f>
        <v>#REF!</v>
      </c>
      <c r="P8" s="48" t="e">
        <f>AVISTA!#REF!</f>
        <v>#REF!</v>
      </c>
      <c r="Q8" s="48" t="e">
        <f>SUM(AVISTA!#REF!+(AVISTA!#REF!-AVISTA!#REF!))</f>
        <v>#REF!</v>
      </c>
    </row>
    <row r="9" spans="1:17" ht="36.75" customHeight="1" x14ac:dyDescent="0.2">
      <c r="A9" s="51" t="s">
        <v>60</v>
      </c>
      <c r="B9" s="48" t="e">
        <f>PGE!#REF!</f>
        <v>#REF!</v>
      </c>
      <c r="C9" s="48" t="e">
        <f>PGE!#REF!</f>
        <v>#REF!</v>
      </c>
      <c r="D9" s="48" t="e">
        <f>PGE!#REF!</f>
        <v>#REF!</v>
      </c>
      <c r="E9" s="48" t="e">
        <f>PACIFIC!#REF!</f>
        <v>#REF!</v>
      </c>
      <c r="F9" s="48" t="e">
        <f>PACIFIC!#REF!</f>
        <v>#REF!</v>
      </c>
      <c r="G9" s="48" t="e">
        <f>PACIFIC!#REF!</f>
        <v>#REF!</v>
      </c>
      <c r="H9" s="48" t="e">
        <f>NWN!#REF!</f>
        <v>#REF!</v>
      </c>
      <c r="I9" s="48" t="e">
        <f>NWN!#REF!</f>
        <v>#REF!</v>
      </c>
      <c r="J9" s="48" t="e">
        <f>NWN!#REF!</f>
        <v>#REF!</v>
      </c>
      <c r="K9" s="51" t="s">
        <v>60</v>
      </c>
      <c r="L9" s="48" t="e">
        <f>CASCADE!#REF!</f>
        <v>#REF!</v>
      </c>
      <c r="M9" s="48" t="e">
        <f>CASCADE!#REF!</f>
        <v>#REF!</v>
      </c>
      <c r="N9" s="48" t="e">
        <f>CASCADE!#REF!</f>
        <v>#REF!</v>
      </c>
      <c r="O9" s="48" t="e">
        <f>AVISTA!#REF!</f>
        <v>#REF!</v>
      </c>
      <c r="P9" s="48" t="e">
        <f>AVISTA!#REF!</f>
        <v>#REF!</v>
      </c>
      <c r="Q9" s="48" t="e">
        <f>AVISTA!#REF!</f>
        <v>#REF!</v>
      </c>
    </row>
    <row r="11" spans="1:17" x14ac:dyDescent="0.2">
      <c r="D11" s="48"/>
      <c r="G11" s="48"/>
      <c r="J11" s="48"/>
    </row>
    <row r="12" spans="1:17" x14ac:dyDescent="0.2">
      <c r="D12" s="48"/>
      <c r="G12" s="48"/>
    </row>
  </sheetData>
  <mergeCells count="7">
    <mergeCell ref="O2:Q2"/>
    <mergeCell ref="A1:J1"/>
    <mergeCell ref="L1:Q1"/>
    <mergeCell ref="B2:D2"/>
    <mergeCell ref="E2:G2"/>
    <mergeCell ref="H2:J2"/>
    <mergeCell ref="L2:N2"/>
  </mergeCells>
  <phoneticPr fontId="7" type="noConversion"/>
  <printOptions gridLines="1"/>
  <pageMargins left="0.75" right="0.75" top="1" bottom="1" header="0.5" footer="0.5"/>
  <pageSetup orientation="landscape" r:id="rId1"/>
  <headerFooter alignWithMargins="0">
    <oddFooter>&amp;CCurrent as of &amp;D</oddFooter>
  </headerFooter>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G206"/>
  <sheetViews>
    <sheetView zoomScaleNormal="100" workbookViewId="0">
      <selection activeCell="A2" sqref="A2:XFD20"/>
    </sheetView>
  </sheetViews>
  <sheetFormatPr defaultRowHeight="12.75" x14ac:dyDescent="0.2"/>
  <cols>
    <col min="1" max="1" width="21.5703125" bestFit="1" customWidth="1"/>
    <col min="2" max="2" width="14.28515625" bestFit="1" customWidth="1"/>
    <col min="3" max="3" width="18" bestFit="1" customWidth="1"/>
    <col min="4" max="5" width="11.140625" bestFit="1" customWidth="1"/>
    <col min="6" max="6" width="12.85546875" customWidth="1"/>
    <col min="7" max="7" width="24.5703125" customWidth="1"/>
    <col min="8" max="8" width="10.140625" bestFit="1" customWidth="1"/>
  </cols>
  <sheetData>
    <row r="2" spans="1:7" ht="21" hidden="1" thickBot="1" x14ac:dyDescent="0.25">
      <c r="A2" s="489" t="s">
        <v>1150</v>
      </c>
      <c r="B2" s="532"/>
      <c r="C2" s="532"/>
      <c r="D2" s="532"/>
      <c r="E2" s="532"/>
      <c r="F2" s="532"/>
      <c r="G2" s="533"/>
    </row>
    <row r="3" spans="1:7" ht="20.25" hidden="1" x14ac:dyDescent="0.3">
      <c r="A3" s="41"/>
      <c r="B3" s="13" t="s">
        <v>1151</v>
      </c>
      <c r="C3" s="13" t="s">
        <v>1152</v>
      </c>
      <c r="D3" s="13"/>
      <c r="E3" s="14"/>
      <c r="F3" s="14"/>
      <c r="G3" s="39"/>
    </row>
    <row r="4" spans="1:7" ht="20.25" hidden="1" x14ac:dyDescent="0.3">
      <c r="A4" s="41" t="s">
        <v>57</v>
      </c>
      <c r="B4" s="92">
        <v>45000</v>
      </c>
      <c r="C4" s="92">
        <v>45000</v>
      </c>
      <c r="D4" s="92"/>
      <c r="E4" s="14"/>
      <c r="F4" s="14"/>
      <c r="G4" s="39"/>
    </row>
    <row r="5" spans="1:7" ht="20.25" hidden="1" x14ac:dyDescent="0.3">
      <c r="A5" s="41" t="s">
        <v>36</v>
      </c>
      <c r="B5" s="92">
        <f>IF(B26&gt;22500, 22500,B26)</f>
        <v>22500</v>
      </c>
      <c r="C5" s="92">
        <f>IF(C26&gt;22500,22500,C26)</f>
        <v>22500</v>
      </c>
      <c r="D5" s="282"/>
      <c r="E5" s="283"/>
      <c r="F5" s="14"/>
      <c r="G5" s="39"/>
    </row>
    <row r="6" spans="1:7" ht="20.25" hidden="1" x14ac:dyDescent="0.3">
      <c r="A6" s="41" t="s">
        <v>993</v>
      </c>
      <c r="B6" s="92">
        <f>SUM(B4:B5)</f>
        <v>67500</v>
      </c>
      <c r="C6" s="92">
        <f>SUM(C4:C5)</f>
        <v>67500</v>
      </c>
      <c r="D6" s="92"/>
      <c r="E6" s="50"/>
      <c r="F6" s="14"/>
      <c r="G6" s="39"/>
    </row>
    <row r="7" spans="1:7" ht="20.25" hidden="1" x14ac:dyDescent="0.3">
      <c r="A7" s="41" t="s">
        <v>47</v>
      </c>
      <c r="B7" s="92">
        <v>22500</v>
      </c>
      <c r="C7" s="92">
        <f>IF(C27&gt;22500, 22500, C27)</f>
        <v>22500</v>
      </c>
      <c r="D7" s="92"/>
      <c r="E7" s="14"/>
      <c r="F7" s="14"/>
      <c r="G7" s="39"/>
    </row>
    <row r="8" spans="1:7" ht="20.25" hidden="1" x14ac:dyDescent="0.3">
      <c r="A8" s="41" t="s">
        <v>1153</v>
      </c>
      <c r="B8" s="92">
        <f>B4+B7</f>
        <v>67500</v>
      </c>
      <c r="C8" s="92">
        <f>C4+C7</f>
        <v>67500</v>
      </c>
      <c r="D8" s="92"/>
      <c r="E8" s="50"/>
      <c r="F8" s="14"/>
      <c r="G8" s="39"/>
    </row>
    <row r="9" spans="1:7" ht="20.25" hidden="1" x14ac:dyDescent="0.3">
      <c r="A9" s="41" t="s">
        <v>39</v>
      </c>
      <c r="B9" s="92">
        <f>B6-D16</f>
        <v>67500</v>
      </c>
      <c r="C9" s="92">
        <f>C6-D20</f>
        <v>35594.589999999997</v>
      </c>
      <c r="D9" s="92"/>
      <c r="E9" s="50"/>
      <c r="F9" s="14"/>
      <c r="G9" s="39"/>
    </row>
    <row r="10" spans="1:7" hidden="1" x14ac:dyDescent="0.2">
      <c r="A10" s="41" t="s">
        <v>35</v>
      </c>
      <c r="B10" s="94">
        <f>B8-D16-E16</f>
        <v>17500</v>
      </c>
      <c r="C10" s="94">
        <f>C8-D20-E20</f>
        <v>0</v>
      </c>
      <c r="D10" s="131"/>
      <c r="E10" s="50"/>
      <c r="F10" s="144"/>
      <c r="G10" s="146"/>
    </row>
    <row r="11" spans="1:7" ht="21" hidden="1" thickBot="1" x14ac:dyDescent="0.35">
      <c r="A11" s="41"/>
      <c r="B11" s="13"/>
      <c r="C11" s="13"/>
      <c r="D11" s="13"/>
      <c r="E11" s="14"/>
      <c r="F11" s="14"/>
      <c r="G11" s="39"/>
    </row>
    <row r="12" spans="1:7" ht="38.25" hidden="1" x14ac:dyDescent="0.2">
      <c r="A12" s="19" t="s">
        <v>41</v>
      </c>
      <c r="B12" s="20" t="s">
        <v>64</v>
      </c>
      <c r="C12" s="20" t="s">
        <v>63</v>
      </c>
      <c r="D12" s="20" t="s">
        <v>37</v>
      </c>
      <c r="E12" s="20" t="s">
        <v>48</v>
      </c>
      <c r="F12" s="20" t="s">
        <v>40</v>
      </c>
      <c r="G12" s="21" t="s">
        <v>5</v>
      </c>
    </row>
    <row r="13" spans="1:7" hidden="1" x14ac:dyDescent="0.2">
      <c r="A13" s="103" t="s">
        <v>102</v>
      </c>
      <c r="B13" s="23">
        <v>50000</v>
      </c>
      <c r="C13" s="132" t="s">
        <v>1076</v>
      </c>
      <c r="D13" s="60"/>
      <c r="E13" s="60">
        <v>50000</v>
      </c>
      <c r="F13" s="60"/>
      <c r="G13" s="258"/>
    </row>
    <row r="14" spans="1:7" hidden="1" x14ac:dyDescent="0.2">
      <c r="A14" s="105"/>
      <c r="B14" s="106"/>
      <c r="C14" s="171"/>
      <c r="D14" s="107"/>
      <c r="E14" s="107"/>
      <c r="F14" s="107"/>
      <c r="G14" s="138"/>
    </row>
    <row r="15" spans="1:7" hidden="1" x14ac:dyDescent="0.2">
      <c r="A15" s="133"/>
      <c r="B15" s="106"/>
      <c r="C15" s="171"/>
      <c r="D15" s="107"/>
      <c r="E15" s="107"/>
      <c r="F15" s="107"/>
      <c r="G15" s="259"/>
    </row>
    <row r="16" spans="1:7" hidden="1" x14ac:dyDescent="0.2">
      <c r="A16" s="25" t="s">
        <v>43</v>
      </c>
      <c r="B16" s="26">
        <f>SUM(B13:B15)</f>
        <v>50000</v>
      </c>
      <c r="C16" s="64"/>
      <c r="D16" s="35">
        <f>SUM(D13:D15)</f>
        <v>0</v>
      </c>
      <c r="E16" s="64">
        <f>B16-D16</f>
        <v>50000</v>
      </c>
      <c r="F16" s="63"/>
      <c r="G16" s="36"/>
    </row>
    <row r="17" spans="1:7" hidden="1" x14ac:dyDescent="0.2">
      <c r="A17" s="38"/>
      <c r="B17" s="38"/>
      <c r="C17" s="68"/>
      <c r="D17" s="38"/>
      <c r="E17" s="68"/>
      <c r="F17" s="68"/>
      <c r="G17" s="38"/>
    </row>
    <row r="18" spans="1:7" hidden="1" x14ac:dyDescent="0.2">
      <c r="A18" s="25" t="s">
        <v>659</v>
      </c>
      <c r="B18" s="35">
        <v>67500</v>
      </c>
      <c r="C18" s="134" t="s">
        <v>1021</v>
      </c>
      <c r="D18" s="135">
        <v>31905.41</v>
      </c>
      <c r="E18" s="65">
        <f>B18-D18</f>
        <v>35594.589999999997</v>
      </c>
      <c r="F18" s="61" t="s">
        <v>1123</v>
      </c>
      <c r="G18" s="27"/>
    </row>
    <row r="19" spans="1:7" hidden="1" x14ac:dyDescent="0.2">
      <c r="A19" s="104"/>
      <c r="B19" s="35"/>
      <c r="C19" s="134"/>
      <c r="D19" s="238"/>
      <c r="E19" s="65">
        <f>B19-D19</f>
        <v>0</v>
      </c>
      <c r="F19" s="61"/>
      <c r="G19" s="27"/>
    </row>
    <row r="20" spans="1:7" ht="13.5" hidden="1" thickBot="1" x14ac:dyDescent="0.25">
      <c r="A20" s="108" t="s">
        <v>43</v>
      </c>
      <c r="B20" s="109">
        <f>SUM(B18:B19)</f>
        <v>67500</v>
      </c>
      <c r="C20" s="59"/>
      <c r="D20" s="109">
        <f>SUM(D18:D19)</f>
        <v>31905.41</v>
      </c>
      <c r="E20" s="59">
        <f>SUM(E18:E19)</f>
        <v>35594.589999999997</v>
      </c>
      <c r="F20" s="59"/>
      <c r="G20" s="110"/>
    </row>
    <row r="21" spans="1:7" ht="13.5" thickBot="1" x14ac:dyDescent="0.25"/>
    <row r="22" spans="1:7" ht="21" thickBot="1" x14ac:dyDescent="0.25">
      <c r="A22" s="489" t="s">
        <v>981</v>
      </c>
      <c r="B22" s="532"/>
      <c r="C22" s="532"/>
      <c r="D22" s="532"/>
      <c r="E22" s="532"/>
      <c r="F22" s="532"/>
      <c r="G22" s="533"/>
    </row>
    <row r="23" spans="1:7" ht="20.25" x14ac:dyDescent="0.3">
      <c r="A23" s="41"/>
      <c r="B23" s="13" t="s">
        <v>982</v>
      </c>
      <c r="C23" s="13" t="s">
        <v>983</v>
      </c>
      <c r="D23" s="13"/>
      <c r="E23" s="14"/>
      <c r="F23" s="14"/>
      <c r="G23" s="39"/>
    </row>
    <row r="24" spans="1:7" ht="20.25" x14ac:dyDescent="0.3">
      <c r="A24" s="41" t="s">
        <v>57</v>
      </c>
      <c r="B24" s="92">
        <v>45000</v>
      </c>
      <c r="C24" s="92">
        <v>45000</v>
      </c>
      <c r="D24" s="92"/>
      <c r="E24" s="14"/>
      <c r="F24" s="14"/>
      <c r="G24" s="39"/>
    </row>
    <row r="25" spans="1:7" ht="20.25" x14ac:dyDescent="0.3">
      <c r="A25" s="41" t="s">
        <v>36</v>
      </c>
      <c r="B25" s="92">
        <f>IF(B49&gt;22500, 22500,B49)</f>
        <v>22500</v>
      </c>
      <c r="C25" s="92">
        <f>IF(C49&gt;22500,22500,C49)</f>
        <v>22500</v>
      </c>
      <c r="D25" s="282"/>
      <c r="E25" s="283"/>
      <c r="F25" s="14"/>
      <c r="G25" s="39"/>
    </row>
    <row r="26" spans="1:7" ht="20.25" x14ac:dyDescent="0.3">
      <c r="A26" s="41" t="s">
        <v>969</v>
      </c>
      <c r="B26" s="92">
        <f>SUM(B24:B25)</f>
        <v>67500</v>
      </c>
      <c r="C26" s="92">
        <f>SUM(C24:C25)</f>
        <v>67500</v>
      </c>
      <c r="D26" s="92"/>
      <c r="E26" s="50"/>
      <c r="F26" s="14"/>
      <c r="G26" s="39"/>
    </row>
    <row r="27" spans="1:7" ht="20.25" x14ac:dyDescent="0.3">
      <c r="A27" s="41" t="s">
        <v>47</v>
      </c>
      <c r="B27" s="92">
        <v>22500</v>
      </c>
      <c r="C27" s="92">
        <f>IF(C50&gt;22500, 22500, C50)</f>
        <v>22500</v>
      </c>
      <c r="D27" s="92"/>
      <c r="E27" s="14"/>
      <c r="F27" s="14"/>
      <c r="G27" s="39"/>
    </row>
    <row r="28" spans="1:7" ht="20.25" x14ac:dyDescent="0.3">
      <c r="A28" s="41" t="s">
        <v>984</v>
      </c>
      <c r="B28" s="92">
        <f>B24+B27</f>
        <v>67500</v>
      </c>
      <c r="C28" s="92">
        <f>C24+C27</f>
        <v>67500</v>
      </c>
      <c r="D28" s="92"/>
      <c r="E28" s="50"/>
      <c r="F28" s="14"/>
      <c r="G28" s="39"/>
    </row>
    <row r="29" spans="1:7" ht="20.25" x14ac:dyDescent="0.3">
      <c r="A29" s="41" t="s">
        <v>39</v>
      </c>
      <c r="B29" s="92">
        <f>B26-D36</f>
        <v>67500</v>
      </c>
      <c r="C29" s="92">
        <f>C26-D40</f>
        <v>35594.589999999997</v>
      </c>
      <c r="D29" s="92"/>
      <c r="E29" s="50"/>
      <c r="F29" s="14"/>
      <c r="G29" s="39"/>
    </row>
    <row r="30" spans="1:7" x14ac:dyDescent="0.2">
      <c r="A30" s="41" t="s">
        <v>35</v>
      </c>
      <c r="B30" s="94">
        <f>B28-D36-E36</f>
        <v>17500</v>
      </c>
      <c r="C30" s="94">
        <f>C28-D40-E40</f>
        <v>0</v>
      </c>
      <c r="D30" s="131"/>
      <c r="E30" s="50"/>
      <c r="F30" s="144"/>
      <c r="G30" s="146"/>
    </row>
    <row r="31" spans="1:7" ht="21" thickBot="1" x14ac:dyDescent="0.35">
      <c r="A31" s="41"/>
      <c r="B31" s="13"/>
      <c r="C31" s="13"/>
      <c r="D31" s="13"/>
      <c r="E31" s="14"/>
      <c r="F31" s="14"/>
      <c r="G31" s="39"/>
    </row>
    <row r="32" spans="1:7" ht="38.25" x14ac:dyDescent="0.2">
      <c r="A32" s="19" t="s">
        <v>41</v>
      </c>
      <c r="B32" s="20" t="s">
        <v>64</v>
      </c>
      <c r="C32" s="20" t="s">
        <v>63</v>
      </c>
      <c r="D32" s="20" t="s">
        <v>37</v>
      </c>
      <c r="E32" s="20" t="s">
        <v>48</v>
      </c>
      <c r="F32" s="20" t="s">
        <v>40</v>
      </c>
      <c r="G32" s="21" t="s">
        <v>5</v>
      </c>
    </row>
    <row r="33" spans="1:7" x14ac:dyDescent="0.2">
      <c r="A33" s="103" t="s">
        <v>102</v>
      </c>
      <c r="B33" s="23">
        <v>50000</v>
      </c>
      <c r="C33" s="132" t="s">
        <v>1076</v>
      </c>
      <c r="D33" s="60"/>
      <c r="E33" s="60">
        <v>50000</v>
      </c>
      <c r="F33" s="60"/>
      <c r="G33" s="258"/>
    </row>
    <row r="34" spans="1:7" x14ac:dyDescent="0.2">
      <c r="A34" s="105"/>
      <c r="B34" s="106"/>
      <c r="C34" s="171"/>
      <c r="D34" s="107"/>
      <c r="E34" s="107"/>
      <c r="F34" s="107"/>
      <c r="G34" s="138"/>
    </row>
    <row r="35" spans="1:7" x14ac:dyDescent="0.2">
      <c r="A35" s="133"/>
      <c r="B35" s="106"/>
      <c r="C35" s="171"/>
      <c r="D35" s="107"/>
      <c r="E35" s="107"/>
      <c r="F35" s="107"/>
      <c r="G35" s="259"/>
    </row>
    <row r="36" spans="1:7" x14ac:dyDescent="0.2">
      <c r="A36" s="25" t="s">
        <v>43</v>
      </c>
      <c r="B36" s="26">
        <f>SUM(B33:B35)</f>
        <v>50000</v>
      </c>
      <c r="C36" s="64"/>
      <c r="D36" s="35">
        <f>SUM(D33:D35)</f>
        <v>0</v>
      </c>
      <c r="E36" s="64">
        <f>B36-D36</f>
        <v>50000</v>
      </c>
      <c r="F36" s="63"/>
      <c r="G36" s="36"/>
    </row>
    <row r="37" spans="1:7" x14ac:dyDescent="0.2">
      <c r="A37" s="38"/>
      <c r="B37" s="38"/>
      <c r="C37" s="68"/>
      <c r="D37" s="38"/>
      <c r="E37" s="68"/>
      <c r="F37" s="68"/>
      <c r="G37" s="38"/>
    </row>
    <row r="38" spans="1:7" x14ac:dyDescent="0.2">
      <c r="A38" s="25" t="s">
        <v>659</v>
      </c>
      <c r="B38" s="35">
        <v>67500</v>
      </c>
      <c r="C38" s="134" t="s">
        <v>1021</v>
      </c>
      <c r="D38" s="135">
        <v>31905.41</v>
      </c>
      <c r="E38" s="65">
        <f>B38-D38</f>
        <v>35594.589999999997</v>
      </c>
      <c r="F38" s="61" t="s">
        <v>1123</v>
      </c>
      <c r="G38" s="27"/>
    </row>
    <row r="39" spans="1:7" x14ac:dyDescent="0.2">
      <c r="A39" s="104"/>
      <c r="B39" s="35"/>
      <c r="C39" s="134"/>
      <c r="D39" s="238"/>
      <c r="E39" s="65">
        <f>B39-D39</f>
        <v>0</v>
      </c>
      <c r="F39" s="61"/>
      <c r="G39" s="27"/>
    </row>
    <row r="40" spans="1:7" ht="13.5" thickBot="1" x14ac:dyDescent="0.25">
      <c r="A40" s="108" t="s">
        <v>43</v>
      </c>
      <c r="B40" s="109">
        <f>SUM(B38:B39)</f>
        <v>67500</v>
      </c>
      <c r="C40" s="59"/>
      <c r="D40" s="109">
        <f>SUM(D38:D39)</f>
        <v>31905.41</v>
      </c>
      <c r="E40" s="59">
        <f>SUM(E38:E39)</f>
        <v>35594.589999999997</v>
      </c>
      <c r="F40" s="59"/>
      <c r="G40" s="110"/>
    </row>
    <row r="41" spans="1:7" ht="13.5" thickBot="1" x14ac:dyDescent="0.25"/>
    <row r="42" spans="1:7" ht="21" thickBot="1" x14ac:dyDescent="0.25">
      <c r="A42" s="489" t="s">
        <v>872</v>
      </c>
      <c r="B42" s="532"/>
      <c r="C42" s="532"/>
      <c r="D42" s="532"/>
      <c r="E42" s="532"/>
      <c r="F42" s="532"/>
      <c r="G42" s="533"/>
    </row>
    <row r="43" spans="1:7" ht="20.25" x14ac:dyDescent="0.3">
      <c r="A43" s="41"/>
      <c r="B43" s="13" t="s">
        <v>873</v>
      </c>
      <c r="C43" s="13" t="s">
        <v>874</v>
      </c>
      <c r="D43" s="13"/>
      <c r="E43" s="14"/>
      <c r="F43" s="14"/>
      <c r="G43" s="39"/>
    </row>
    <row r="44" spans="1:7" ht="20.25" x14ac:dyDescent="0.3">
      <c r="A44" s="41" t="s">
        <v>57</v>
      </c>
      <c r="B44" s="92">
        <v>45000</v>
      </c>
      <c r="C44" s="92">
        <v>45000</v>
      </c>
      <c r="D44" s="92"/>
      <c r="E44" s="14"/>
      <c r="F44" s="14"/>
      <c r="G44" s="39"/>
    </row>
    <row r="45" spans="1:7" ht="20.25" x14ac:dyDescent="0.3">
      <c r="A45" s="41" t="s">
        <v>36</v>
      </c>
      <c r="B45" s="92">
        <f>IF(B71&gt;22500, 22500,B71)</f>
        <v>22500</v>
      </c>
      <c r="C45" s="92">
        <f>IF(C71&gt;22500,22500,C71)</f>
        <v>22500</v>
      </c>
      <c r="D45" s="282"/>
      <c r="E45" s="283"/>
      <c r="F45" s="14"/>
      <c r="G45" s="39"/>
    </row>
    <row r="46" spans="1:7" ht="20.25" x14ac:dyDescent="0.3">
      <c r="A46" s="41" t="s">
        <v>862</v>
      </c>
      <c r="B46" s="92">
        <f>SUM(B44:B45)</f>
        <v>67500</v>
      </c>
      <c r="C46" s="92">
        <f>SUM(C44:C45)</f>
        <v>67500</v>
      </c>
      <c r="D46" s="92"/>
      <c r="E46" s="50"/>
      <c r="F46" s="14"/>
      <c r="G46" s="39"/>
    </row>
    <row r="47" spans="1:7" ht="20.25" x14ac:dyDescent="0.3">
      <c r="A47" s="41" t="s">
        <v>47</v>
      </c>
      <c r="B47" s="92">
        <v>22500</v>
      </c>
      <c r="C47" s="92">
        <v>22500</v>
      </c>
      <c r="D47" s="92"/>
      <c r="E47" s="14"/>
      <c r="F47" s="14"/>
      <c r="G47" s="39"/>
    </row>
    <row r="48" spans="1:7" ht="20.25" x14ac:dyDescent="0.3">
      <c r="A48" s="41" t="s">
        <v>875</v>
      </c>
      <c r="B48" s="92">
        <f>B44+B47</f>
        <v>67500</v>
      </c>
      <c r="C48" s="92">
        <f>C44+C47</f>
        <v>67500</v>
      </c>
      <c r="D48" s="92"/>
      <c r="E48" s="50"/>
      <c r="F48" s="14"/>
      <c r="G48" s="39"/>
    </row>
    <row r="49" spans="1:7" ht="20.25" x14ac:dyDescent="0.3">
      <c r="A49" s="41" t="s">
        <v>39</v>
      </c>
      <c r="B49" s="92">
        <f>B46-D56</f>
        <v>67500</v>
      </c>
      <c r="C49" s="92">
        <f>C46-D62</f>
        <v>33907.46</v>
      </c>
      <c r="D49" s="92"/>
      <c r="E49" s="50"/>
      <c r="F49" s="14"/>
      <c r="G49" s="39"/>
    </row>
    <row r="50" spans="1:7" x14ac:dyDescent="0.2">
      <c r="A50" s="41" t="s">
        <v>35</v>
      </c>
      <c r="B50" s="94">
        <f>B48-D56-E56</f>
        <v>67500</v>
      </c>
      <c r="C50" s="94">
        <f>C48-D62-E62</f>
        <v>33907.46</v>
      </c>
      <c r="D50" s="131"/>
      <c r="E50" s="50"/>
      <c r="F50" s="144"/>
      <c r="G50" s="146"/>
    </row>
    <row r="51" spans="1:7" ht="21" thickBot="1" x14ac:dyDescent="0.35">
      <c r="A51" s="41"/>
      <c r="B51" s="13"/>
      <c r="C51" s="13"/>
      <c r="D51" s="13"/>
      <c r="E51" s="14"/>
      <c r="F51" s="14"/>
      <c r="G51" s="39"/>
    </row>
    <row r="52" spans="1:7" ht="38.25" x14ac:dyDescent="0.2">
      <c r="A52" s="19" t="s">
        <v>41</v>
      </c>
      <c r="B52" s="20" t="s">
        <v>64</v>
      </c>
      <c r="C52" s="20" t="s">
        <v>63</v>
      </c>
      <c r="D52" s="20" t="s">
        <v>37</v>
      </c>
      <c r="E52" s="20" t="s">
        <v>48</v>
      </c>
      <c r="F52" s="20" t="s">
        <v>40</v>
      </c>
      <c r="G52" s="21" t="s">
        <v>5</v>
      </c>
    </row>
    <row r="53" spans="1:7" x14ac:dyDescent="0.2">
      <c r="A53" s="103" t="s">
        <v>102</v>
      </c>
      <c r="B53" s="23"/>
      <c r="C53" s="132"/>
      <c r="D53" s="60"/>
      <c r="E53" s="60"/>
      <c r="F53" s="60"/>
      <c r="G53" s="258"/>
    </row>
    <row r="54" spans="1:7" x14ac:dyDescent="0.2">
      <c r="A54" s="105"/>
      <c r="B54" s="106"/>
      <c r="C54" s="171"/>
      <c r="D54" s="107"/>
      <c r="E54" s="107"/>
      <c r="F54" s="107"/>
      <c r="G54" s="138"/>
    </row>
    <row r="55" spans="1:7" x14ac:dyDescent="0.2">
      <c r="A55" s="133"/>
      <c r="B55" s="106"/>
      <c r="C55" s="171"/>
      <c r="D55" s="107"/>
      <c r="E55" s="107"/>
      <c r="F55" s="107"/>
      <c r="G55" s="259"/>
    </row>
    <row r="56" spans="1:7" x14ac:dyDescent="0.2">
      <c r="A56" s="25" t="s">
        <v>43</v>
      </c>
      <c r="B56" s="26">
        <f>SUM(B53:B55)</f>
        <v>0</v>
      </c>
      <c r="C56" s="64"/>
      <c r="D56" s="35">
        <f>SUM(D53:D55)</f>
        <v>0</v>
      </c>
      <c r="E56" s="64">
        <f>B56-D56</f>
        <v>0</v>
      </c>
      <c r="F56" s="63"/>
      <c r="G56" s="36"/>
    </row>
    <row r="57" spans="1:7" x14ac:dyDescent="0.2">
      <c r="A57" s="38"/>
      <c r="B57" s="38"/>
      <c r="C57" s="68"/>
      <c r="D57" s="38"/>
      <c r="E57" s="68"/>
      <c r="F57" s="68"/>
      <c r="G57" s="38"/>
    </row>
    <row r="58" spans="1:7" x14ac:dyDescent="0.2">
      <c r="A58" s="25" t="s">
        <v>659</v>
      </c>
      <c r="B58" s="35"/>
      <c r="C58" s="134"/>
      <c r="D58" s="135"/>
      <c r="E58" s="65">
        <f>B58-D58</f>
        <v>0</v>
      </c>
      <c r="F58" s="61"/>
      <c r="G58" s="27"/>
    </row>
    <row r="59" spans="1:7" x14ac:dyDescent="0.2">
      <c r="A59" s="104"/>
      <c r="B59" s="35">
        <v>67500</v>
      </c>
      <c r="C59" s="134" t="s">
        <v>938</v>
      </c>
      <c r="D59" s="238">
        <v>22382.720000000001</v>
      </c>
      <c r="E59" s="65">
        <f>B59-D59</f>
        <v>45117.279999999999</v>
      </c>
      <c r="F59" s="61" t="s">
        <v>939</v>
      </c>
      <c r="G59" s="27"/>
    </row>
    <row r="60" spans="1:7" x14ac:dyDescent="0.2">
      <c r="A60" s="383"/>
      <c r="B60" s="384"/>
      <c r="C60" s="385">
        <v>45016</v>
      </c>
      <c r="D60" s="386">
        <v>11209.82</v>
      </c>
      <c r="E60" s="156">
        <f>-E59</f>
        <v>-45117.279999999999</v>
      </c>
      <c r="F60" s="156" t="s">
        <v>1022</v>
      </c>
      <c r="G60" s="44" t="s">
        <v>99</v>
      </c>
    </row>
    <row r="61" spans="1:7" x14ac:dyDescent="0.2">
      <c r="A61" s="383"/>
      <c r="B61" s="384"/>
      <c r="C61" s="385"/>
      <c r="D61" s="386"/>
      <c r="E61" s="148"/>
      <c r="F61" s="156"/>
      <c r="G61" s="44"/>
    </row>
    <row r="62" spans="1:7" ht="13.5" thickBot="1" x14ac:dyDescent="0.25">
      <c r="A62" s="108" t="s">
        <v>43</v>
      </c>
      <c r="B62" s="109">
        <f>SUM(B58:B59)</f>
        <v>67500</v>
      </c>
      <c r="C62" s="59"/>
      <c r="D62" s="109">
        <f>SUM(D58:D60)</f>
        <v>33592.54</v>
      </c>
      <c r="E62" s="59">
        <f>SUM(E58:E61)</f>
        <v>0</v>
      </c>
      <c r="F62" s="59"/>
      <c r="G62" s="110"/>
    </row>
    <row r="63" spans="1:7" ht="13.5" thickBot="1" x14ac:dyDescent="0.25"/>
    <row r="64" spans="1:7" ht="21" thickBot="1" x14ac:dyDescent="0.25">
      <c r="A64" s="489" t="s">
        <v>790</v>
      </c>
      <c r="B64" s="532"/>
      <c r="C64" s="532"/>
      <c r="D64" s="532"/>
      <c r="E64" s="532"/>
      <c r="F64" s="532"/>
      <c r="G64" s="533"/>
    </row>
    <row r="65" spans="1:7" ht="20.25" x14ac:dyDescent="0.3">
      <c r="A65" s="41"/>
      <c r="B65" s="13" t="s">
        <v>791</v>
      </c>
      <c r="C65" s="13" t="s">
        <v>792</v>
      </c>
      <c r="D65" s="13"/>
      <c r="E65" s="14"/>
      <c r="F65" s="14"/>
      <c r="G65" s="39"/>
    </row>
    <row r="66" spans="1:7" ht="20.25" x14ac:dyDescent="0.3">
      <c r="A66" s="41" t="s">
        <v>57</v>
      </c>
      <c r="B66" s="92">
        <v>45000</v>
      </c>
      <c r="C66" s="92">
        <v>45000</v>
      </c>
      <c r="D66" s="92"/>
      <c r="E66" s="14"/>
      <c r="F66" s="14"/>
      <c r="G66" s="39"/>
    </row>
    <row r="67" spans="1:7" ht="20.25" x14ac:dyDescent="0.3">
      <c r="A67" s="41" t="s">
        <v>36</v>
      </c>
      <c r="B67" s="92">
        <f>B92</f>
        <v>0</v>
      </c>
      <c r="C67" s="92">
        <f>C92</f>
        <v>37738.559999999998</v>
      </c>
      <c r="D67" s="282">
        <v>44288</v>
      </c>
      <c r="E67" s="283" t="s">
        <v>800</v>
      </c>
      <c r="F67" s="14"/>
      <c r="G67" s="39"/>
    </row>
    <row r="68" spans="1:7" ht="20.25" x14ac:dyDescent="0.3">
      <c r="A68" s="41" t="s">
        <v>785</v>
      </c>
      <c r="B68" s="92">
        <f>SUM(B66:B67)</f>
        <v>45000</v>
      </c>
      <c r="C68" s="92">
        <f>SUM(C66:C67)</f>
        <v>82738.559999999998</v>
      </c>
      <c r="D68" s="92"/>
      <c r="E68" s="50"/>
      <c r="F68" s="14"/>
      <c r="G68" s="39"/>
    </row>
    <row r="69" spans="1:7" ht="20.25" x14ac:dyDescent="0.3">
      <c r="A69" s="41" t="s">
        <v>47</v>
      </c>
      <c r="B69" s="92">
        <v>0</v>
      </c>
      <c r="C69" s="92">
        <v>37738.559999999998</v>
      </c>
      <c r="D69" s="92"/>
      <c r="E69" s="14"/>
      <c r="F69" s="14"/>
      <c r="G69" s="39"/>
    </row>
    <row r="70" spans="1:7" ht="20.25" x14ac:dyDescent="0.3">
      <c r="A70" s="41" t="s">
        <v>793</v>
      </c>
      <c r="B70" s="92">
        <f>B66+B69</f>
        <v>45000</v>
      </c>
      <c r="C70" s="92">
        <f>C66+C69</f>
        <v>82738.559999999998</v>
      </c>
      <c r="D70" s="92"/>
      <c r="E70" s="50"/>
      <c r="F70" s="14"/>
      <c r="G70" s="39"/>
    </row>
    <row r="71" spans="1:7" ht="20.25" x14ac:dyDescent="0.3">
      <c r="A71" s="41" t="s">
        <v>39</v>
      </c>
      <c r="B71" s="92">
        <f>B68-D78</f>
        <v>45000</v>
      </c>
      <c r="C71" s="92">
        <f>C68-E78</f>
        <v>82738.559999999998</v>
      </c>
      <c r="D71" s="92"/>
      <c r="E71" s="50"/>
      <c r="F71" s="14"/>
      <c r="G71" s="39"/>
    </row>
    <row r="72" spans="1:7" x14ac:dyDescent="0.2">
      <c r="A72" s="41" t="s">
        <v>35</v>
      </c>
      <c r="B72" s="94">
        <f>B70-D78-E78</f>
        <v>45000</v>
      </c>
      <c r="C72" s="94">
        <f>C70-D83-E83</f>
        <v>65058.96</v>
      </c>
      <c r="D72" s="131"/>
      <c r="E72" s="50"/>
      <c r="F72" s="144"/>
      <c r="G72" s="146"/>
    </row>
    <row r="73" spans="1:7" ht="21" thickBot="1" x14ac:dyDescent="0.35">
      <c r="A73" s="41"/>
      <c r="B73" s="13"/>
      <c r="C73" s="13"/>
      <c r="D73" s="13"/>
      <c r="E73" s="14"/>
      <c r="F73" s="14"/>
      <c r="G73" s="39"/>
    </row>
    <row r="74" spans="1:7" ht="38.25" x14ac:dyDescent="0.2">
      <c r="A74" s="19" t="s">
        <v>41</v>
      </c>
      <c r="B74" s="20" t="s">
        <v>64</v>
      </c>
      <c r="C74" s="20" t="s">
        <v>63</v>
      </c>
      <c r="D74" s="20" t="s">
        <v>37</v>
      </c>
      <c r="E74" s="20" t="s">
        <v>48</v>
      </c>
      <c r="F74" s="20" t="s">
        <v>40</v>
      </c>
      <c r="G74" s="21" t="s">
        <v>5</v>
      </c>
    </row>
    <row r="75" spans="1:7" x14ac:dyDescent="0.2">
      <c r="A75" s="103" t="s">
        <v>102</v>
      </c>
      <c r="B75" s="23"/>
      <c r="C75" s="132"/>
      <c r="D75" s="60"/>
      <c r="E75" s="60"/>
      <c r="F75" s="60"/>
      <c r="G75" s="258"/>
    </row>
    <row r="76" spans="1:7" x14ac:dyDescent="0.2">
      <c r="A76" s="105"/>
      <c r="B76" s="106"/>
      <c r="C76" s="171"/>
      <c r="D76" s="107"/>
      <c r="E76" s="107"/>
      <c r="F76" s="107"/>
      <c r="G76" s="138"/>
    </row>
    <row r="77" spans="1:7" x14ac:dyDescent="0.2">
      <c r="A77" s="133"/>
      <c r="B77" s="106"/>
      <c r="C77" s="171"/>
      <c r="D77" s="107"/>
      <c r="E77" s="107"/>
      <c r="F77" s="107"/>
      <c r="G77" s="259"/>
    </row>
    <row r="78" spans="1:7" x14ac:dyDescent="0.2">
      <c r="A78" s="25" t="s">
        <v>43</v>
      </c>
      <c r="B78" s="26">
        <f>SUM(B75:B77)</f>
        <v>0</v>
      </c>
      <c r="C78" s="64"/>
      <c r="D78" s="35">
        <f>SUM(D75:D77)</f>
        <v>0</v>
      </c>
      <c r="E78" s="64">
        <f>B78-D78</f>
        <v>0</v>
      </c>
      <c r="F78" s="63"/>
      <c r="G78" s="36"/>
    </row>
    <row r="79" spans="1:7" x14ac:dyDescent="0.2">
      <c r="A79" s="38"/>
      <c r="B79" s="38"/>
      <c r="C79" s="68"/>
      <c r="D79" s="38"/>
      <c r="E79" s="68"/>
      <c r="F79" s="68"/>
      <c r="G79" s="38"/>
    </row>
    <row r="80" spans="1:7" x14ac:dyDescent="0.2">
      <c r="A80" s="25" t="s">
        <v>659</v>
      </c>
      <c r="B80" s="35">
        <v>82738.559999999998</v>
      </c>
      <c r="C80" s="134" t="s">
        <v>833</v>
      </c>
      <c r="D80" s="135">
        <v>12543.2</v>
      </c>
      <c r="E80" s="65">
        <f>B80-D80</f>
        <v>70195.360000000001</v>
      </c>
      <c r="F80" s="61" t="s">
        <v>840</v>
      </c>
      <c r="G80" s="27"/>
    </row>
    <row r="81" spans="1:7" x14ac:dyDescent="0.2">
      <c r="A81" s="25"/>
      <c r="B81" s="35"/>
      <c r="C81" s="134"/>
      <c r="D81" s="135">
        <v>5136.3999999999996</v>
      </c>
      <c r="E81" s="65">
        <v>-5136.3999999999996</v>
      </c>
      <c r="F81" s="61"/>
      <c r="G81" s="27"/>
    </row>
    <row r="82" spans="1:7" x14ac:dyDescent="0.2">
      <c r="A82" s="104"/>
      <c r="B82" s="35"/>
      <c r="C82" s="134"/>
      <c r="D82" s="238"/>
      <c r="E82" s="65">
        <v>-65058.96</v>
      </c>
      <c r="F82" s="61" t="s">
        <v>914</v>
      </c>
      <c r="G82" s="27" t="s">
        <v>907</v>
      </c>
    </row>
    <row r="83" spans="1:7" ht="13.5" thickBot="1" x14ac:dyDescent="0.25">
      <c r="A83" s="108" t="s">
        <v>43</v>
      </c>
      <c r="B83" s="109">
        <f>SUM(B80:B82)</f>
        <v>82738.559999999998</v>
      </c>
      <c r="C83" s="59"/>
      <c r="D83" s="109">
        <f>SUM(D80:D82)</f>
        <v>17679.599999999999</v>
      </c>
      <c r="E83" s="59">
        <f>SUM(E80:E82)</f>
        <v>0</v>
      </c>
      <c r="F83" s="59"/>
      <c r="G83" s="110"/>
    </row>
    <row r="84" spans="1:7" ht="13.5" thickBot="1" x14ac:dyDescent="0.25"/>
    <row r="85" spans="1:7" ht="21" thickBot="1" x14ac:dyDescent="0.25">
      <c r="A85" s="489" t="s">
        <v>748</v>
      </c>
      <c r="B85" s="532"/>
      <c r="C85" s="532"/>
      <c r="D85" s="532"/>
      <c r="E85" s="532"/>
      <c r="F85" s="532"/>
      <c r="G85" s="533"/>
    </row>
    <row r="86" spans="1:7" ht="20.25" x14ac:dyDescent="0.3">
      <c r="A86" s="41"/>
      <c r="B86" s="13" t="s">
        <v>749</v>
      </c>
      <c r="C86" s="13" t="s">
        <v>750</v>
      </c>
      <c r="D86" s="13"/>
      <c r="E86" s="14"/>
      <c r="F86" s="14"/>
      <c r="G86" s="39"/>
    </row>
    <row r="87" spans="1:7" ht="20.25" x14ac:dyDescent="0.3">
      <c r="A87" s="41" t="s">
        <v>57</v>
      </c>
      <c r="B87" s="92">
        <v>45000</v>
      </c>
      <c r="C87" s="92">
        <v>45000</v>
      </c>
      <c r="D87" s="92"/>
      <c r="E87" s="14"/>
      <c r="F87" s="14"/>
      <c r="G87" s="39"/>
    </row>
    <row r="88" spans="1:7" ht="20.25" x14ac:dyDescent="0.3">
      <c r="A88" s="41" t="s">
        <v>36</v>
      </c>
      <c r="B88" s="92">
        <v>0</v>
      </c>
      <c r="C88" s="92">
        <v>0</v>
      </c>
      <c r="D88" s="92"/>
      <c r="E88" s="14"/>
      <c r="F88" s="14"/>
      <c r="G88" s="39"/>
    </row>
    <row r="89" spans="1:7" ht="20.25" x14ac:dyDescent="0.3">
      <c r="A89" s="41" t="s">
        <v>702</v>
      </c>
      <c r="B89" s="92">
        <f>SUM(B87:B88)</f>
        <v>45000</v>
      </c>
      <c r="C89" s="92">
        <f>SUM(C87:C88)</f>
        <v>45000</v>
      </c>
      <c r="D89" s="92"/>
      <c r="E89" s="50"/>
      <c r="F89" s="14"/>
      <c r="G89" s="39"/>
    </row>
    <row r="90" spans="1:7" ht="20.25" x14ac:dyDescent="0.3">
      <c r="A90" s="41" t="s">
        <v>47</v>
      </c>
      <c r="B90" s="92">
        <v>0</v>
      </c>
      <c r="C90" s="92">
        <v>0</v>
      </c>
      <c r="D90" s="92"/>
      <c r="E90" s="14"/>
      <c r="F90" s="14"/>
      <c r="G90" s="39"/>
    </row>
    <row r="91" spans="1:7" ht="20.25" x14ac:dyDescent="0.3">
      <c r="A91" s="41" t="s">
        <v>751</v>
      </c>
      <c r="B91" s="92">
        <f>B87+B90</f>
        <v>45000</v>
      </c>
      <c r="C91" s="92">
        <f>C87+C90</f>
        <v>45000</v>
      </c>
      <c r="D91" s="92"/>
      <c r="E91" s="50"/>
      <c r="F91" s="14"/>
      <c r="G91" s="39"/>
    </row>
    <row r="92" spans="1:7" ht="20.25" x14ac:dyDescent="0.3">
      <c r="A92" s="41" t="s">
        <v>39</v>
      </c>
      <c r="B92" s="92">
        <f>B89-D99</f>
        <v>0</v>
      </c>
      <c r="C92" s="92">
        <f>C89-D103</f>
        <v>37738.559999999998</v>
      </c>
      <c r="D92" s="92"/>
      <c r="E92" s="50"/>
      <c r="F92" s="14"/>
      <c r="G92" s="39"/>
    </row>
    <row r="93" spans="1:7" x14ac:dyDescent="0.2">
      <c r="A93" s="41" t="s">
        <v>35</v>
      </c>
      <c r="B93" s="94">
        <f>B91-D99-E99</f>
        <v>0</v>
      </c>
      <c r="C93" s="94">
        <f>C91-D103-E103</f>
        <v>0</v>
      </c>
      <c r="D93" s="131"/>
      <c r="E93" s="50"/>
      <c r="F93" s="144"/>
      <c r="G93" s="146"/>
    </row>
    <row r="94" spans="1:7" ht="21" thickBot="1" x14ac:dyDescent="0.35">
      <c r="A94" s="41"/>
      <c r="B94" s="13"/>
      <c r="C94" s="13"/>
      <c r="D94" s="13"/>
      <c r="E94" s="14"/>
      <c r="F94" s="14"/>
      <c r="G94" s="39"/>
    </row>
    <row r="95" spans="1:7" ht="38.25" x14ac:dyDescent="0.2">
      <c r="A95" s="19" t="s">
        <v>41</v>
      </c>
      <c r="B95" s="20" t="s">
        <v>64</v>
      </c>
      <c r="C95" s="20" t="s">
        <v>63</v>
      </c>
      <c r="D95" s="20" t="s">
        <v>37</v>
      </c>
      <c r="E95" s="20" t="s">
        <v>48</v>
      </c>
      <c r="F95" s="20" t="s">
        <v>40</v>
      </c>
      <c r="G95" s="21" t="s">
        <v>5</v>
      </c>
    </row>
    <row r="96" spans="1:7" x14ac:dyDescent="0.2">
      <c r="A96" s="103" t="s">
        <v>102</v>
      </c>
      <c r="B96" s="23">
        <v>45000</v>
      </c>
      <c r="C96" s="132" t="s">
        <v>758</v>
      </c>
      <c r="D96" s="60">
        <v>45000</v>
      </c>
      <c r="E96" s="60"/>
      <c r="F96" s="60" t="s">
        <v>1027</v>
      </c>
      <c r="G96" s="258" t="s">
        <v>1028</v>
      </c>
    </row>
    <row r="97" spans="1:7" x14ac:dyDescent="0.2">
      <c r="A97" s="105"/>
      <c r="B97" s="106"/>
      <c r="C97" s="171"/>
      <c r="D97" s="107"/>
      <c r="E97" s="107"/>
      <c r="F97" s="107"/>
      <c r="G97" s="138"/>
    </row>
    <row r="98" spans="1:7" x14ac:dyDescent="0.2">
      <c r="A98" s="133"/>
      <c r="B98" s="106"/>
      <c r="C98" s="171"/>
      <c r="D98" s="107"/>
      <c r="E98" s="107"/>
      <c r="F98" s="107"/>
      <c r="G98" s="259"/>
    </row>
    <row r="99" spans="1:7" x14ac:dyDescent="0.2">
      <c r="A99" s="25" t="s">
        <v>43</v>
      </c>
      <c r="B99" s="26">
        <f>SUM(B96:B98)</f>
        <v>45000</v>
      </c>
      <c r="C99" s="64"/>
      <c r="D99" s="35">
        <f>SUM(D96:D98)</f>
        <v>45000</v>
      </c>
      <c r="E99" s="64">
        <f>B99-D99</f>
        <v>0</v>
      </c>
      <c r="F99" s="63"/>
      <c r="G99" s="36"/>
    </row>
    <row r="100" spans="1:7" x14ac:dyDescent="0.2">
      <c r="A100" s="38"/>
      <c r="B100" s="38"/>
      <c r="C100" s="68"/>
      <c r="D100" s="38"/>
      <c r="E100" s="68"/>
      <c r="F100" s="68"/>
      <c r="G100" s="38"/>
    </row>
    <row r="101" spans="1:7" x14ac:dyDescent="0.2">
      <c r="A101" s="25" t="s">
        <v>659</v>
      </c>
      <c r="B101" s="35">
        <v>45000</v>
      </c>
      <c r="C101" s="134" t="s">
        <v>768</v>
      </c>
      <c r="D101" s="135">
        <v>7261.44</v>
      </c>
      <c r="E101" s="65">
        <f>B101-D101</f>
        <v>37738.559999999998</v>
      </c>
      <c r="F101" s="61" t="s">
        <v>769</v>
      </c>
      <c r="G101" s="27"/>
    </row>
    <row r="102" spans="1:7" x14ac:dyDescent="0.2">
      <c r="A102" s="104"/>
      <c r="B102" s="35"/>
      <c r="C102" s="134"/>
      <c r="D102" s="238"/>
      <c r="E102" s="65"/>
      <c r="F102" s="61"/>
      <c r="G102" s="27"/>
    </row>
    <row r="103" spans="1:7" ht="13.5" thickBot="1" x14ac:dyDescent="0.25">
      <c r="A103" s="108" t="s">
        <v>43</v>
      </c>
      <c r="B103" s="109">
        <f>SUM(B101:B102)</f>
        <v>45000</v>
      </c>
      <c r="C103" s="59"/>
      <c r="D103" s="109">
        <f>SUM(D101:D102)</f>
        <v>7261.44</v>
      </c>
      <c r="E103" s="59">
        <f>SUM(E101:E102)</f>
        <v>37738.559999999998</v>
      </c>
      <c r="F103" s="59"/>
      <c r="G103" s="110"/>
    </row>
    <row r="105" spans="1:7" ht="13.5" thickBot="1" x14ac:dyDescent="0.25"/>
    <row r="106" spans="1:7" ht="21" thickBot="1" x14ac:dyDescent="0.25">
      <c r="A106" s="489" t="s">
        <v>611</v>
      </c>
      <c r="B106" s="532"/>
      <c r="C106" s="532"/>
      <c r="D106" s="532"/>
      <c r="E106" s="532"/>
      <c r="F106" s="532"/>
      <c r="G106" s="533"/>
    </row>
    <row r="107" spans="1:7" ht="20.25" x14ac:dyDescent="0.3">
      <c r="A107" s="41"/>
      <c r="B107" s="13" t="s">
        <v>612</v>
      </c>
      <c r="C107" s="13" t="s">
        <v>613</v>
      </c>
      <c r="D107" s="13"/>
      <c r="E107" s="14"/>
      <c r="F107" s="14"/>
      <c r="G107" s="39"/>
    </row>
    <row r="108" spans="1:7" ht="20.25" x14ac:dyDescent="0.3">
      <c r="A108" s="41" t="s">
        <v>57</v>
      </c>
      <c r="B108" s="92">
        <v>52500</v>
      </c>
      <c r="C108" s="92">
        <v>52500</v>
      </c>
      <c r="D108" s="92"/>
      <c r="E108" s="14"/>
      <c r="F108" s="14"/>
      <c r="G108" s="39"/>
    </row>
    <row r="109" spans="1:7" ht="20.25" x14ac:dyDescent="0.3">
      <c r="A109" s="41" t="s">
        <v>36</v>
      </c>
      <c r="B109" s="92">
        <f>IF(B134&gt;22500,22500,B134)</f>
        <v>5000</v>
      </c>
      <c r="C109" s="92">
        <f>IF(C134&gt;22500,22500,C134)</f>
        <v>16712.5</v>
      </c>
      <c r="D109" s="92"/>
      <c r="E109" s="14"/>
      <c r="F109" s="14"/>
      <c r="G109" s="39"/>
    </row>
    <row r="110" spans="1:7" ht="20.25" x14ac:dyDescent="0.3">
      <c r="A110" s="41" t="s">
        <v>603</v>
      </c>
      <c r="B110" s="92">
        <f>SUM(B108:B109)</f>
        <v>57500</v>
      </c>
      <c r="C110" s="92">
        <f>SUM(C108:C109)</f>
        <v>69212.5</v>
      </c>
      <c r="D110" s="92"/>
      <c r="E110" s="50"/>
      <c r="F110" s="14"/>
      <c r="G110" s="39"/>
    </row>
    <row r="111" spans="1:7" ht="20.25" x14ac:dyDescent="0.3">
      <c r="A111" s="41" t="s">
        <v>47</v>
      </c>
      <c r="B111" s="92">
        <f>IF(B135&gt;22500,22500,B135)</f>
        <v>5000</v>
      </c>
      <c r="C111" s="92">
        <f>IF(C135&gt;22500,22500,C135)</f>
        <v>9.0000000003783498E-2</v>
      </c>
      <c r="D111" s="92"/>
      <c r="E111" s="14"/>
      <c r="F111" s="14"/>
      <c r="G111" s="39"/>
    </row>
    <row r="112" spans="1:7" ht="20.25" x14ac:dyDescent="0.3">
      <c r="A112" s="41" t="s">
        <v>614</v>
      </c>
      <c r="B112" s="92">
        <f>B108+B111</f>
        <v>57500</v>
      </c>
      <c r="C112" s="92">
        <f>C108+C111</f>
        <v>52500.090000000004</v>
      </c>
      <c r="D112" s="92"/>
      <c r="E112" s="50"/>
      <c r="F112" s="14"/>
      <c r="G112" s="39"/>
    </row>
    <row r="113" spans="1:7" ht="20.25" x14ac:dyDescent="0.3">
      <c r="A113" s="41" t="s">
        <v>39</v>
      </c>
      <c r="B113" s="92">
        <f>B110-D120</f>
        <v>0</v>
      </c>
      <c r="C113" s="92">
        <f>C110-D125</f>
        <v>16712.5</v>
      </c>
      <c r="D113" s="92"/>
      <c r="E113" s="50"/>
      <c r="F113" s="14"/>
      <c r="G113" s="39"/>
    </row>
    <row r="114" spans="1:7" x14ac:dyDescent="0.2">
      <c r="A114" s="41" t="s">
        <v>35</v>
      </c>
      <c r="B114" s="94">
        <f>B112-D120-E120</f>
        <v>0</v>
      </c>
      <c r="C114" s="94">
        <f>C112-D125-E125</f>
        <v>9.0000000003783498E-2</v>
      </c>
      <c r="D114" s="131"/>
      <c r="E114" s="50"/>
      <c r="F114" s="144"/>
      <c r="G114" s="146"/>
    </row>
    <row r="115" spans="1:7" ht="21" thickBot="1" x14ac:dyDescent="0.35">
      <c r="A115" s="41"/>
      <c r="B115" s="13"/>
      <c r="C115" s="13"/>
      <c r="D115" s="13"/>
      <c r="E115" s="14"/>
      <c r="F115" s="14"/>
      <c r="G115" s="39"/>
    </row>
    <row r="116" spans="1:7" ht="38.25" x14ac:dyDescent="0.2">
      <c r="A116" s="19" t="s">
        <v>41</v>
      </c>
      <c r="B116" s="20" t="s">
        <v>64</v>
      </c>
      <c r="C116" s="20" t="s">
        <v>63</v>
      </c>
      <c r="D116" s="20" t="s">
        <v>37</v>
      </c>
      <c r="E116" s="20" t="s">
        <v>48</v>
      </c>
      <c r="F116" s="20" t="s">
        <v>40</v>
      </c>
      <c r="G116" s="21" t="s">
        <v>5</v>
      </c>
    </row>
    <row r="117" spans="1:7" x14ac:dyDescent="0.2">
      <c r="A117" s="103" t="s">
        <v>102</v>
      </c>
      <c r="B117" s="23">
        <v>50000</v>
      </c>
      <c r="C117" s="132" t="s">
        <v>657</v>
      </c>
      <c r="D117" s="60">
        <v>50000</v>
      </c>
      <c r="E117" s="60"/>
      <c r="F117" s="60" t="s">
        <v>759</v>
      </c>
    </row>
    <row r="118" spans="1:7" x14ac:dyDescent="0.2">
      <c r="A118" s="105"/>
      <c r="B118" s="106">
        <v>7500</v>
      </c>
      <c r="C118" s="171" t="s">
        <v>686</v>
      </c>
      <c r="D118" s="107">
        <v>7500</v>
      </c>
      <c r="E118" s="107"/>
      <c r="F118" s="107" t="s">
        <v>759</v>
      </c>
      <c r="G118" s="138"/>
    </row>
    <row r="119" spans="1:7" x14ac:dyDescent="0.2">
      <c r="A119" s="133"/>
      <c r="B119" s="106"/>
      <c r="C119" s="171"/>
      <c r="D119" s="107"/>
      <c r="E119" s="107"/>
      <c r="F119" s="107"/>
    </row>
    <row r="120" spans="1:7" x14ac:dyDescent="0.2">
      <c r="A120" s="25" t="s">
        <v>43</v>
      </c>
      <c r="B120" s="26">
        <f>SUM(B117:B119)</f>
        <v>57500</v>
      </c>
      <c r="C120" s="64"/>
      <c r="D120" s="35">
        <f>SUM(D117:D119)</f>
        <v>57500</v>
      </c>
      <c r="E120" s="64">
        <f>B120-D120</f>
        <v>0</v>
      </c>
      <c r="F120" s="63"/>
      <c r="G120" s="36"/>
    </row>
    <row r="121" spans="1:7" x14ac:dyDescent="0.2">
      <c r="A121" s="38"/>
      <c r="B121" s="38"/>
      <c r="C121" s="68"/>
      <c r="D121" s="38"/>
      <c r="E121" s="68"/>
      <c r="F121" s="68"/>
      <c r="G121" s="38"/>
    </row>
    <row r="122" spans="1:7" x14ac:dyDescent="0.2">
      <c r="A122" s="25" t="s">
        <v>659</v>
      </c>
      <c r="B122" s="35">
        <v>45000</v>
      </c>
      <c r="C122" s="134" t="s">
        <v>658</v>
      </c>
      <c r="D122" s="135">
        <v>45000</v>
      </c>
      <c r="E122" s="65">
        <f>B122-D122</f>
        <v>0</v>
      </c>
      <c r="F122" s="61" t="s">
        <v>687</v>
      </c>
      <c r="G122" s="27"/>
    </row>
    <row r="123" spans="1:7" x14ac:dyDescent="0.2">
      <c r="A123" s="25"/>
      <c r="B123" s="35">
        <v>7500</v>
      </c>
      <c r="C123" s="134" t="s">
        <v>682</v>
      </c>
      <c r="D123" s="135">
        <v>7500</v>
      </c>
      <c r="E123" s="65"/>
      <c r="F123" s="61" t="s">
        <v>687</v>
      </c>
      <c r="G123" s="27"/>
    </row>
    <row r="124" spans="1:7" x14ac:dyDescent="0.2">
      <c r="A124" s="104"/>
      <c r="B124" s="35"/>
      <c r="C124" s="134"/>
      <c r="D124" s="238"/>
      <c r="E124" s="65"/>
      <c r="F124" s="61"/>
      <c r="G124" s="27"/>
    </row>
    <row r="125" spans="1:7" ht="13.5" thickBot="1" x14ac:dyDescent="0.25">
      <c r="A125" s="108" t="s">
        <v>43</v>
      </c>
      <c r="B125" s="109">
        <f>SUM(B122:B124)</f>
        <v>52500</v>
      </c>
      <c r="C125" s="59"/>
      <c r="D125" s="109">
        <f>SUM(D122:D124)</f>
        <v>52500</v>
      </c>
      <c r="E125" s="59">
        <f>SUM(E122:E124)</f>
        <v>0</v>
      </c>
      <c r="F125" s="59"/>
      <c r="G125" s="110"/>
    </row>
    <row r="126" spans="1:7" ht="13.5" thickBot="1" x14ac:dyDescent="0.25"/>
    <row r="127" spans="1:7" ht="21" thickBot="1" x14ac:dyDescent="0.25">
      <c r="A127" s="489" t="s">
        <v>480</v>
      </c>
      <c r="B127" s="532"/>
      <c r="C127" s="532"/>
      <c r="D127" s="532"/>
      <c r="E127" s="532"/>
      <c r="F127" s="532"/>
      <c r="G127" s="533"/>
    </row>
    <row r="128" spans="1:7" ht="20.25" x14ac:dyDescent="0.3">
      <c r="A128" s="41"/>
      <c r="B128" s="13" t="s">
        <v>481</v>
      </c>
      <c r="C128" s="13" t="s">
        <v>482</v>
      </c>
      <c r="D128" s="13"/>
      <c r="E128" s="14"/>
      <c r="F128" s="14"/>
      <c r="G128" s="39"/>
    </row>
    <row r="129" spans="1:7" ht="20.25" x14ac:dyDescent="0.3">
      <c r="A129" s="41" t="s">
        <v>57</v>
      </c>
      <c r="B129" s="92">
        <v>45000</v>
      </c>
      <c r="C129" s="92">
        <v>45000</v>
      </c>
      <c r="D129" s="92"/>
      <c r="E129" s="14"/>
      <c r="F129" s="14"/>
      <c r="G129" s="39"/>
    </row>
    <row r="130" spans="1:7" ht="20.25" x14ac:dyDescent="0.3">
      <c r="A130" s="41" t="s">
        <v>36</v>
      </c>
      <c r="B130" s="92">
        <f>IF(B154&gt;20000,20000,B154)</f>
        <v>20000</v>
      </c>
      <c r="C130" s="92">
        <f>IF(C154&gt;20000,20000,C154)</f>
        <v>20000</v>
      </c>
      <c r="D130" s="92"/>
      <c r="E130" s="14"/>
      <c r="F130" s="14"/>
      <c r="G130" s="39"/>
    </row>
    <row r="131" spans="1:7" ht="20.25" x14ac:dyDescent="0.3">
      <c r="A131" s="41" t="s">
        <v>475</v>
      </c>
      <c r="B131" s="92">
        <f>SUM(B129:B130)</f>
        <v>65000</v>
      </c>
      <c r="C131" s="92">
        <f>SUM(C129:C130)</f>
        <v>65000</v>
      </c>
      <c r="D131" s="92"/>
      <c r="E131" s="50"/>
      <c r="F131" s="14"/>
      <c r="G131" s="39"/>
    </row>
    <row r="132" spans="1:7" ht="20.25" x14ac:dyDescent="0.3">
      <c r="A132" s="41" t="s">
        <v>47</v>
      </c>
      <c r="B132" s="92">
        <f>IF(B155&gt;20000,20000,B155)</f>
        <v>20000</v>
      </c>
      <c r="C132" s="92">
        <f>IF(C155&gt;20000,20000,C155)</f>
        <v>3287.5900000000038</v>
      </c>
      <c r="D132" s="92"/>
      <c r="E132" s="14"/>
      <c r="F132" s="14"/>
      <c r="G132" s="39"/>
    </row>
    <row r="133" spans="1:7" ht="20.25" x14ac:dyDescent="0.3">
      <c r="A133" s="41" t="s">
        <v>483</v>
      </c>
      <c r="B133" s="92">
        <f>B129+B132</f>
        <v>65000</v>
      </c>
      <c r="C133" s="92">
        <f>C129+C132</f>
        <v>48287.590000000004</v>
      </c>
      <c r="D133" s="92"/>
      <c r="E133" s="50"/>
      <c r="F133" s="14"/>
      <c r="G133" s="39"/>
    </row>
    <row r="134" spans="1:7" ht="20.25" x14ac:dyDescent="0.3">
      <c r="A134" s="41" t="s">
        <v>39</v>
      </c>
      <c r="B134" s="92">
        <f>B131-D141</f>
        <v>5000</v>
      </c>
      <c r="C134" s="92">
        <f>C131-D145</f>
        <v>16712.5</v>
      </c>
      <c r="D134" s="92"/>
      <c r="E134" s="50"/>
      <c r="F134" s="14"/>
      <c r="G134" s="39"/>
    </row>
    <row r="135" spans="1:7" x14ac:dyDescent="0.2">
      <c r="A135" s="41" t="s">
        <v>35</v>
      </c>
      <c r="B135" s="94">
        <f>B133-D141-E141</f>
        <v>5000</v>
      </c>
      <c r="C135" s="94">
        <f>C133-D145-E145</f>
        <v>9.0000000003783498E-2</v>
      </c>
      <c r="D135" s="131"/>
      <c r="E135" s="50"/>
      <c r="F135" s="144"/>
      <c r="G135" s="146"/>
    </row>
    <row r="136" spans="1:7" ht="21" thickBot="1" x14ac:dyDescent="0.35">
      <c r="A136" s="41"/>
      <c r="B136" s="13"/>
      <c r="C136" s="13"/>
      <c r="D136" s="13"/>
      <c r="E136" s="14"/>
      <c r="F136" s="14"/>
      <c r="G136" s="39"/>
    </row>
    <row r="137" spans="1:7" ht="38.25" x14ac:dyDescent="0.2">
      <c r="A137" s="19" t="s">
        <v>41</v>
      </c>
      <c r="B137" s="20" t="s">
        <v>64</v>
      </c>
      <c r="C137" s="20" t="s">
        <v>63</v>
      </c>
      <c r="D137" s="20" t="s">
        <v>37</v>
      </c>
      <c r="E137" s="20" t="s">
        <v>48</v>
      </c>
      <c r="F137" s="20" t="s">
        <v>40</v>
      </c>
      <c r="G137" s="21" t="s">
        <v>5</v>
      </c>
    </row>
    <row r="138" spans="1:7" x14ac:dyDescent="0.2">
      <c r="A138" s="103" t="s">
        <v>102</v>
      </c>
      <c r="B138" s="23"/>
      <c r="C138" s="132"/>
      <c r="D138" s="60"/>
      <c r="E138" s="60"/>
      <c r="F138" s="60"/>
    </row>
    <row r="139" spans="1:7" x14ac:dyDescent="0.2">
      <c r="A139" s="105"/>
      <c r="B139" s="106">
        <v>40000</v>
      </c>
      <c r="C139" s="171" t="s">
        <v>538</v>
      </c>
      <c r="D139" s="107"/>
      <c r="E139" s="107"/>
      <c r="F139" s="107"/>
      <c r="G139" s="138" t="s">
        <v>537</v>
      </c>
    </row>
    <row r="140" spans="1:7" x14ac:dyDescent="0.2">
      <c r="A140" s="133"/>
      <c r="B140" s="106">
        <v>20000</v>
      </c>
      <c r="C140" s="171" t="s">
        <v>598</v>
      </c>
      <c r="D140" s="107"/>
      <c r="E140" s="107"/>
      <c r="F140" s="107"/>
      <c r="G140" t="s">
        <v>594</v>
      </c>
    </row>
    <row r="141" spans="1:7" x14ac:dyDescent="0.2">
      <c r="A141" s="25" t="s">
        <v>43</v>
      </c>
      <c r="B141" s="26">
        <f>SUM(B138:B140)</f>
        <v>60000</v>
      </c>
      <c r="C141" s="64"/>
      <c r="D141" s="35">
        <v>60000</v>
      </c>
      <c r="E141" s="61">
        <f>B141-D141</f>
        <v>0</v>
      </c>
      <c r="F141" s="61" t="s">
        <v>626</v>
      </c>
      <c r="G141" s="36"/>
    </row>
    <row r="142" spans="1:7" x14ac:dyDescent="0.2">
      <c r="A142" s="38"/>
      <c r="B142" s="38"/>
      <c r="C142" s="68"/>
      <c r="D142" s="38"/>
      <c r="E142" s="68"/>
      <c r="F142" s="68"/>
      <c r="G142" s="38"/>
    </row>
    <row r="143" spans="1:7" x14ac:dyDescent="0.2">
      <c r="A143" s="104" t="s">
        <v>103</v>
      </c>
      <c r="B143" s="35">
        <v>48287.5</v>
      </c>
      <c r="C143" s="134" t="s">
        <v>494</v>
      </c>
      <c r="D143" s="135">
        <f>B143</f>
        <v>48287.5</v>
      </c>
      <c r="E143" s="65">
        <f>B143-D143</f>
        <v>0</v>
      </c>
      <c r="F143" s="61" t="s">
        <v>588</v>
      </c>
      <c r="G143" s="27" t="s">
        <v>495</v>
      </c>
    </row>
    <row r="144" spans="1:7" x14ac:dyDescent="0.2">
      <c r="A144" s="104"/>
      <c r="B144" s="35"/>
      <c r="C144" s="134"/>
      <c r="D144" s="58"/>
      <c r="E144" s="65"/>
      <c r="F144" s="61"/>
      <c r="G144" s="27"/>
    </row>
    <row r="145" spans="1:7" ht="13.5" thickBot="1" x14ac:dyDescent="0.25">
      <c r="A145" s="108" t="s">
        <v>43</v>
      </c>
      <c r="B145" s="109">
        <f>SUM(B143:B144)</f>
        <v>48287.5</v>
      </c>
      <c r="C145" s="59"/>
      <c r="D145" s="109">
        <f>SUM(D143:D144)</f>
        <v>48287.5</v>
      </c>
      <c r="E145" s="59">
        <f>SUM(E143:E144)</f>
        <v>0</v>
      </c>
      <c r="F145" s="59"/>
      <c r="G145" s="110"/>
    </row>
    <row r="147" spans="1:7" ht="13.5" thickBot="1" x14ac:dyDescent="0.25"/>
    <row r="148" spans="1:7" ht="21" thickBot="1" x14ac:dyDescent="0.25">
      <c r="A148" s="489" t="s">
        <v>333</v>
      </c>
      <c r="B148" s="532"/>
      <c r="C148" s="532"/>
      <c r="D148" s="532"/>
      <c r="E148" s="532"/>
      <c r="F148" s="532"/>
      <c r="G148" s="533"/>
    </row>
    <row r="149" spans="1:7" ht="20.25" x14ac:dyDescent="0.3">
      <c r="A149" s="41"/>
      <c r="B149" s="13" t="s">
        <v>334</v>
      </c>
      <c r="C149" s="13" t="s">
        <v>335</v>
      </c>
      <c r="D149" s="13"/>
      <c r="E149" s="14"/>
      <c r="F149" s="14"/>
      <c r="G149" s="39"/>
    </row>
    <row r="150" spans="1:7" ht="20.25" x14ac:dyDescent="0.3">
      <c r="A150" s="41" t="s">
        <v>57</v>
      </c>
      <c r="B150" s="92">
        <v>45000</v>
      </c>
      <c r="C150" s="92">
        <v>45000</v>
      </c>
      <c r="D150" s="92"/>
      <c r="E150" s="14"/>
      <c r="F150" s="14"/>
      <c r="G150" s="39"/>
    </row>
    <row r="151" spans="1:7" ht="20.25" x14ac:dyDescent="0.3">
      <c r="A151" s="41" t="s">
        <v>36</v>
      </c>
      <c r="B151" s="92">
        <f>IF(B176&gt;20000,20000,B176)</f>
        <v>20000</v>
      </c>
      <c r="C151" s="92">
        <f>IF(C176&gt;20000,20000,C176)</f>
        <v>20000</v>
      </c>
      <c r="D151" s="92"/>
      <c r="E151" s="14"/>
      <c r="F151" s="14"/>
      <c r="G151" s="39"/>
    </row>
    <row r="152" spans="1:7" ht="20.25" x14ac:dyDescent="0.3">
      <c r="A152" s="41" t="s">
        <v>325</v>
      </c>
      <c r="B152" s="92">
        <f>SUM(B150:B151)</f>
        <v>65000</v>
      </c>
      <c r="C152" s="92">
        <f>SUM(C150:C151)</f>
        <v>65000</v>
      </c>
      <c r="D152" s="92"/>
      <c r="E152" s="50"/>
      <c r="F152" s="14"/>
      <c r="G152" s="39"/>
    </row>
    <row r="153" spans="1:7" ht="20.25" x14ac:dyDescent="0.3">
      <c r="A153" s="41" t="s">
        <v>47</v>
      </c>
      <c r="B153" s="92">
        <f>IF(B177&gt;20000,20000,B177)</f>
        <v>20000</v>
      </c>
      <c r="C153" s="92">
        <f>IF(C177&gt;20000,20000,C177)</f>
        <v>20000</v>
      </c>
      <c r="D153" s="92"/>
      <c r="E153" s="14"/>
      <c r="F153" s="14"/>
      <c r="G153" s="39"/>
    </row>
    <row r="154" spans="1:7" ht="20.25" x14ac:dyDescent="0.3">
      <c r="A154" s="41" t="s">
        <v>336</v>
      </c>
      <c r="B154" s="92">
        <f>B150+B153</f>
        <v>65000</v>
      </c>
      <c r="C154" s="92">
        <f>C150+C153</f>
        <v>65000</v>
      </c>
      <c r="D154" s="92"/>
      <c r="E154" s="50"/>
      <c r="F154" s="14"/>
      <c r="G154" s="39"/>
    </row>
    <row r="155" spans="1:7" ht="20.25" x14ac:dyDescent="0.3">
      <c r="A155" s="41" t="s">
        <v>39</v>
      </c>
      <c r="B155" s="92">
        <f>B152-D162</f>
        <v>42592.34</v>
      </c>
      <c r="C155" s="92">
        <f>C152-D167</f>
        <v>3287.5900000000038</v>
      </c>
      <c r="D155" s="92"/>
      <c r="E155" s="50"/>
      <c r="F155" s="14"/>
      <c r="G155" s="39"/>
    </row>
    <row r="156" spans="1:7" x14ac:dyDescent="0.2">
      <c r="A156" s="41" t="s">
        <v>35</v>
      </c>
      <c r="B156" s="94">
        <f>B154-D162-E162</f>
        <v>40000</v>
      </c>
      <c r="C156" s="94">
        <f>C154-D167-E167</f>
        <v>3287.5900000000038</v>
      </c>
      <c r="D156" s="131"/>
      <c r="E156" s="50"/>
      <c r="F156" s="144"/>
      <c r="G156" s="146"/>
    </row>
    <row r="157" spans="1:7" ht="21" thickBot="1" x14ac:dyDescent="0.35">
      <c r="A157" s="41"/>
      <c r="B157" s="13"/>
      <c r="C157" s="13"/>
      <c r="D157" s="13"/>
      <c r="E157" s="14"/>
      <c r="F157" s="14"/>
      <c r="G157" s="39"/>
    </row>
    <row r="158" spans="1:7" ht="38.25" x14ac:dyDescent="0.2">
      <c r="A158" s="19" t="s">
        <v>41</v>
      </c>
      <c r="B158" s="20" t="s">
        <v>64</v>
      </c>
      <c r="C158" s="20" t="s">
        <v>63</v>
      </c>
      <c r="D158" s="20" t="s">
        <v>37</v>
      </c>
      <c r="E158" s="20" t="s">
        <v>48</v>
      </c>
      <c r="F158" s="20" t="s">
        <v>40</v>
      </c>
      <c r="G158" s="21" t="s">
        <v>5</v>
      </c>
    </row>
    <row r="159" spans="1:7" x14ac:dyDescent="0.2">
      <c r="A159" s="103" t="s">
        <v>102</v>
      </c>
      <c r="B159" s="23">
        <v>25000</v>
      </c>
      <c r="C159" s="132" t="s">
        <v>427</v>
      </c>
      <c r="D159" s="60">
        <v>22407.66</v>
      </c>
      <c r="E159" s="60">
        <f>B159-D159</f>
        <v>2592.34</v>
      </c>
      <c r="F159" s="60" t="s">
        <v>445</v>
      </c>
      <c r="G159" s="138" t="s">
        <v>425</v>
      </c>
    </row>
    <row r="160" spans="1:7" x14ac:dyDescent="0.2">
      <c r="A160" s="105"/>
      <c r="B160" s="106"/>
      <c r="C160" s="171"/>
      <c r="D160" s="107"/>
      <c r="E160" s="107"/>
      <c r="F160" s="107"/>
      <c r="G160" s="212"/>
    </row>
    <row r="161" spans="1:7" x14ac:dyDescent="0.2">
      <c r="A161" s="133"/>
      <c r="B161" s="106"/>
      <c r="C161" s="107"/>
      <c r="D161" s="107"/>
      <c r="E161" s="107"/>
      <c r="F161" s="107"/>
    </row>
    <row r="162" spans="1:7" x14ac:dyDescent="0.2">
      <c r="A162" s="25" t="s">
        <v>43</v>
      </c>
      <c r="B162" s="26">
        <f>SUM(B159:B161)</f>
        <v>25000</v>
      </c>
      <c r="C162" s="64"/>
      <c r="D162" s="35">
        <f>SUM(D159:D161)</f>
        <v>22407.66</v>
      </c>
      <c r="E162" s="64">
        <f>E159-D160</f>
        <v>2592.34</v>
      </c>
      <c r="F162" s="63"/>
      <c r="G162" s="36"/>
    </row>
    <row r="163" spans="1:7" x14ac:dyDescent="0.2">
      <c r="A163" s="38"/>
      <c r="B163" s="38"/>
      <c r="C163" s="68"/>
      <c r="D163" s="38"/>
      <c r="E163" s="68"/>
      <c r="F163" s="68"/>
      <c r="G163" s="38"/>
    </row>
    <row r="164" spans="1:7" x14ac:dyDescent="0.2">
      <c r="A164" s="104" t="s">
        <v>103</v>
      </c>
      <c r="B164" s="35">
        <v>65000</v>
      </c>
      <c r="C164" s="134" t="s">
        <v>380</v>
      </c>
      <c r="D164" s="135">
        <v>36547.379999999997</v>
      </c>
      <c r="E164" s="65"/>
      <c r="F164" s="61" t="s">
        <v>431</v>
      </c>
      <c r="G164" s="27" t="s">
        <v>376</v>
      </c>
    </row>
    <row r="165" spans="1:7" x14ac:dyDescent="0.2">
      <c r="A165" s="104"/>
      <c r="B165" s="35"/>
      <c r="C165" s="134"/>
      <c r="D165" s="135">
        <v>25165.03</v>
      </c>
      <c r="E165" s="65">
        <v>3287.59</v>
      </c>
      <c r="F165" s="502" t="s">
        <v>524</v>
      </c>
      <c r="G165" s="27" t="s">
        <v>525</v>
      </c>
    </row>
    <row r="166" spans="1:7" x14ac:dyDescent="0.2">
      <c r="A166" s="104"/>
      <c r="B166" s="35"/>
      <c r="C166" s="134"/>
      <c r="D166" s="58"/>
      <c r="E166" s="65">
        <v>-3287.59</v>
      </c>
      <c r="F166" s="497"/>
      <c r="G166" s="27" t="s">
        <v>526</v>
      </c>
    </row>
    <row r="167" spans="1:7" ht="13.5" thickBot="1" x14ac:dyDescent="0.25">
      <c r="A167" s="108" t="s">
        <v>43</v>
      </c>
      <c r="B167" s="109">
        <f>SUM(B164:B166)</f>
        <v>65000</v>
      </c>
      <c r="C167" s="59"/>
      <c r="D167" s="109">
        <f>SUM(D164:D166)</f>
        <v>61712.409999999996</v>
      </c>
      <c r="E167" s="59">
        <f>SUM(E164:E166)</f>
        <v>0</v>
      </c>
      <c r="F167" s="59"/>
      <c r="G167" s="110"/>
    </row>
    <row r="168" spans="1:7" ht="13.5" thickBot="1" x14ac:dyDescent="0.25"/>
    <row r="169" spans="1:7" ht="21" thickBot="1" x14ac:dyDescent="0.25">
      <c r="A169" s="489" t="s">
        <v>220</v>
      </c>
      <c r="B169" s="532"/>
      <c r="C169" s="532"/>
      <c r="D169" s="532"/>
      <c r="E169" s="532"/>
      <c r="F169" s="532"/>
      <c r="G169" s="533"/>
    </row>
    <row r="170" spans="1:7" ht="20.25" x14ac:dyDescent="0.3">
      <c r="A170" s="41"/>
      <c r="B170" s="13" t="s">
        <v>221</v>
      </c>
      <c r="C170" s="13" t="s">
        <v>222</v>
      </c>
      <c r="D170" s="13"/>
      <c r="E170" s="14"/>
      <c r="F170" s="14"/>
      <c r="G170" s="39"/>
    </row>
    <row r="171" spans="1:7" ht="20.25" x14ac:dyDescent="0.3">
      <c r="A171" s="41" t="s">
        <v>57</v>
      </c>
      <c r="B171" s="92">
        <v>40000</v>
      </c>
      <c r="C171" s="92">
        <v>40000</v>
      </c>
      <c r="D171" s="92"/>
      <c r="E171" s="14"/>
      <c r="F171" s="14"/>
      <c r="G171" s="39"/>
    </row>
    <row r="172" spans="1:7" ht="20.25" x14ac:dyDescent="0.3">
      <c r="A172" s="41" t="s">
        <v>36</v>
      </c>
      <c r="B172" s="92">
        <f>IF(B196&gt;20000,20000,B196)</f>
        <v>20000</v>
      </c>
      <c r="C172" s="92">
        <f>IF(C196&gt;20000,20000,C196)</f>
        <v>20000</v>
      </c>
      <c r="D172" s="92"/>
      <c r="E172" s="14"/>
      <c r="F172" s="14"/>
      <c r="G172" s="39"/>
    </row>
    <row r="173" spans="1:7" ht="20.25" x14ac:dyDescent="0.3">
      <c r="A173" s="41" t="s">
        <v>211</v>
      </c>
      <c r="B173" s="92">
        <f>SUM(B171:B172)</f>
        <v>60000</v>
      </c>
      <c r="C173" s="92">
        <f>SUM(C171:C172)</f>
        <v>60000</v>
      </c>
      <c r="D173" s="92"/>
      <c r="E173" s="50"/>
      <c r="F173" s="14"/>
      <c r="G173" s="39"/>
    </row>
    <row r="174" spans="1:7" ht="20.25" x14ac:dyDescent="0.3">
      <c r="A174" s="41" t="s">
        <v>47</v>
      </c>
      <c r="B174" s="92">
        <f>IF(B197&gt;20000,20000,B197)</f>
        <v>20000</v>
      </c>
      <c r="C174" s="92">
        <f>IF(C197&gt;20000,20000,C197)</f>
        <v>20000</v>
      </c>
      <c r="D174" s="92"/>
      <c r="E174" s="14"/>
      <c r="F174" s="14"/>
      <c r="G174" s="39"/>
    </row>
    <row r="175" spans="1:7" ht="20.25" x14ac:dyDescent="0.3">
      <c r="A175" s="41" t="s">
        <v>223</v>
      </c>
      <c r="B175" s="92">
        <f>B171+B174</f>
        <v>60000</v>
      </c>
      <c r="C175" s="92">
        <f>C171+C174</f>
        <v>60000</v>
      </c>
      <c r="D175" s="92"/>
      <c r="E175" s="50"/>
      <c r="F175" s="14"/>
      <c r="G175" s="39"/>
    </row>
    <row r="176" spans="1:7" ht="20.25" x14ac:dyDescent="0.3">
      <c r="A176" s="41" t="s">
        <v>39</v>
      </c>
      <c r="B176" s="92">
        <f>B173-D182</f>
        <v>60000</v>
      </c>
      <c r="C176" s="92">
        <f>C173-D186</f>
        <v>55920</v>
      </c>
      <c r="D176" s="92"/>
      <c r="E176" s="50"/>
      <c r="F176" s="14"/>
      <c r="G176" s="39"/>
    </row>
    <row r="177" spans="1:7" x14ac:dyDescent="0.2">
      <c r="A177" s="41" t="s">
        <v>35</v>
      </c>
      <c r="B177" s="94">
        <f>B175-D182-E182</f>
        <v>60000</v>
      </c>
      <c r="C177" s="94">
        <f>C175-D186-E186</f>
        <v>55920</v>
      </c>
      <c r="D177" s="131"/>
      <c r="E177" s="50"/>
      <c r="F177" s="144"/>
      <c r="G177" s="146"/>
    </row>
    <row r="178" spans="1:7" ht="21" thickBot="1" x14ac:dyDescent="0.35">
      <c r="A178" s="41"/>
      <c r="B178" s="13"/>
      <c r="C178" s="13"/>
      <c r="D178" s="13"/>
      <c r="E178" s="14"/>
      <c r="F178" s="14"/>
      <c r="G178" s="39"/>
    </row>
    <row r="179" spans="1:7" ht="38.25" x14ac:dyDescent="0.2">
      <c r="A179" s="19" t="s">
        <v>41</v>
      </c>
      <c r="B179" s="20" t="s">
        <v>64</v>
      </c>
      <c r="C179" s="20" t="s">
        <v>63</v>
      </c>
      <c r="D179" s="20" t="s">
        <v>37</v>
      </c>
      <c r="E179" s="20" t="s">
        <v>48</v>
      </c>
      <c r="F179" s="20" t="s">
        <v>40</v>
      </c>
      <c r="G179" s="21" t="s">
        <v>5</v>
      </c>
    </row>
    <row r="180" spans="1:7" x14ac:dyDescent="0.2">
      <c r="A180" s="103" t="s">
        <v>102</v>
      </c>
      <c r="B180" s="23"/>
      <c r="C180" s="132"/>
      <c r="D180" s="60"/>
      <c r="E180" s="60"/>
      <c r="F180" s="60"/>
      <c r="G180" s="138" t="s">
        <v>224</v>
      </c>
    </row>
    <row r="181" spans="1:7" x14ac:dyDescent="0.2">
      <c r="A181" s="133"/>
      <c r="B181" s="106"/>
      <c r="C181" s="107"/>
      <c r="D181" s="107"/>
      <c r="E181" s="107"/>
      <c r="F181" s="107"/>
    </row>
    <row r="182" spans="1:7" x14ac:dyDescent="0.2">
      <c r="A182" s="25" t="s">
        <v>43</v>
      </c>
      <c r="B182" s="26">
        <f>SUM(B180:B181)</f>
        <v>0</v>
      </c>
      <c r="C182" s="64"/>
      <c r="D182" s="35">
        <f>SUM(D180:D181)</f>
        <v>0</v>
      </c>
      <c r="E182" s="64">
        <f>E180</f>
        <v>0</v>
      </c>
      <c r="F182" s="63"/>
      <c r="G182" s="36"/>
    </row>
    <row r="183" spans="1:7" x14ac:dyDescent="0.2">
      <c r="A183" s="38"/>
      <c r="B183" s="38"/>
      <c r="C183" s="68"/>
      <c r="D183" s="38"/>
      <c r="E183" s="68"/>
      <c r="F183" s="68"/>
      <c r="G183" s="38"/>
    </row>
    <row r="184" spans="1:7" x14ac:dyDescent="0.2">
      <c r="A184" s="104" t="s">
        <v>103</v>
      </c>
      <c r="B184" s="35">
        <v>4080</v>
      </c>
      <c r="C184" s="134" t="s">
        <v>344</v>
      </c>
      <c r="D184" s="135">
        <v>4080</v>
      </c>
      <c r="E184" s="65">
        <f>B184-D184</f>
        <v>0</v>
      </c>
      <c r="F184" s="61" t="s">
        <v>360</v>
      </c>
      <c r="G184" s="27" t="s">
        <v>343</v>
      </c>
    </row>
    <row r="185" spans="1:7" x14ac:dyDescent="0.2">
      <c r="A185" s="104"/>
      <c r="B185" s="35"/>
      <c r="C185" s="134"/>
      <c r="D185" s="58"/>
      <c r="E185" s="65"/>
      <c r="F185" s="61"/>
      <c r="G185" s="27"/>
    </row>
    <row r="186" spans="1:7" ht="13.5" thickBot="1" x14ac:dyDescent="0.25">
      <c r="A186" s="108" t="s">
        <v>43</v>
      </c>
      <c r="B186" s="109">
        <f>SUM(B184:B185)</f>
        <v>4080</v>
      </c>
      <c r="C186" s="59"/>
      <c r="D186" s="109">
        <f>SUM(D184:D185)</f>
        <v>4080</v>
      </c>
      <c r="E186" s="59">
        <f>SUM(E184:E185)</f>
        <v>0</v>
      </c>
      <c r="F186" s="59"/>
      <c r="G186" s="110"/>
    </row>
    <row r="188" spans="1:7" ht="13.5" thickBot="1" x14ac:dyDescent="0.25"/>
    <row r="189" spans="1:7" ht="21" thickBot="1" x14ac:dyDescent="0.25">
      <c r="A189" s="489" t="s">
        <v>129</v>
      </c>
      <c r="B189" s="532"/>
      <c r="C189" s="532"/>
      <c r="D189" s="532"/>
      <c r="E189" s="532"/>
      <c r="F189" s="532"/>
      <c r="G189" s="533"/>
    </row>
    <row r="190" spans="1:7" ht="20.25" x14ac:dyDescent="0.3">
      <c r="A190" s="41"/>
      <c r="B190" s="13" t="s">
        <v>130</v>
      </c>
      <c r="C190" s="13" t="s">
        <v>131</v>
      </c>
      <c r="D190" s="13"/>
      <c r="E190" s="14"/>
      <c r="F190" s="14"/>
      <c r="G190" s="39"/>
    </row>
    <row r="191" spans="1:7" ht="20.25" x14ac:dyDescent="0.3">
      <c r="A191" s="41" t="s">
        <v>57</v>
      </c>
      <c r="B191" s="92">
        <v>40000</v>
      </c>
      <c r="C191" s="92">
        <v>40000</v>
      </c>
      <c r="D191" s="92"/>
      <c r="E191" s="14"/>
      <c r="F191" s="14"/>
      <c r="G191" s="39"/>
    </row>
    <row r="192" spans="1:7" ht="20.25" x14ac:dyDescent="0.3">
      <c r="A192" s="41" t="s">
        <v>36</v>
      </c>
      <c r="B192" s="92">
        <v>20000</v>
      </c>
      <c r="C192" s="92">
        <v>20000</v>
      </c>
      <c r="D192" s="92"/>
      <c r="E192" s="14"/>
      <c r="F192" s="14"/>
      <c r="G192" s="39"/>
    </row>
    <row r="193" spans="1:7" ht="20.25" x14ac:dyDescent="0.3">
      <c r="A193" s="41" t="s">
        <v>121</v>
      </c>
      <c r="B193" s="92">
        <f>SUM(B191:B192)</f>
        <v>60000</v>
      </c>
      <c r="C193" s="92">
        <f>SUM(C191:C192)</f>
        <v>60000</v>
      </c>
      <c r="D193" s="92"/>
      <c r="E193" s="50"/>
      <c r="F193" s="14"/>
      <c r="G193" s="39"/>
    </row>
    <row r="194" spans="1:7" ht="20.25" x14ac:dyDescent="0.3">
      <c r="A194" s="41" t="s">
        <v>47</v>
      </c>
      <c r="B194" s="92">
        <v>20000</v>
      </c>
      <c r="C194" s="92">
        <v>20000</v>
      </c>
      <c r="D194" s="92"/>
      <c r="E194" s="14"/>
      <c r="F194" s="14"/>
      <c r="G194" s="39"/>
    </row>
    <row r="195" spans="1:7" ht="20.25" x14ac:dyDescent="0.3">
      <c r="A195" s="41" t="s">
        <v>122</v>
      </c>
      <c r="B195" s="92">
        <f>B191+B194</f>
        <v>60000</v>
      </c>
      <c r="C195" s="92">
        <f>C191+C194</f>
        <v>60000</v>
      </c>
      <c r="D195" s="92"/>
      <c r="E195" s="50"/>
      <c r="F195" s="14"/>
      <c r="G195" s="39"/>
    </row>
    <row r="196" spans="1:7" ht="20.25" x14ac:dyDescent="0.3">
      <c r="A196" s="41" t="s">
        <v>39</v>
      </c>
      <c r="B196" s="92">
        <f>B193-D202</f>
        <v>35000</v>
      </c>
      <c r="C196" s="92">
        <f>C193-D206</f>
        <v>20000</v>
      </c>
      <c r="D196" s="92"/>
      <c r="E196" s="50"/>
      <c r="F196" s="14"/>
      <c r="G196" s="39"/>
    </row>
    <row r="197" spans="1:7" x14ac:dyDescent="0.2">
      <c r="A197" s="41" t="s">
        <v>35</v>
      </c>
      <c r="B197" s="94">
        <f>B195-D202-E202</f>
        <v>35000</v>
      </c>
      <c r="C197" s="94">
        <f>C195-D206-E206</f>
        <v>20000</v>
      </c>
      <c r="D197" s="131"/>
      <c r="E197" s="50"/>
      <c r="F197" s="144"/>
      <c r="G197" s="146"/>
    </row>
    <row r="198" spans="1:7" ht="21" thickBot="1" x14ac:dyDescent="0.35">
      <c r="A198" s="41"/>
      <c r="B198" s="13"/>
      <c r="C198" s="13"/>
      <c r="D198" s="13"/>
      <c r="E198" s="14"/>
      <c r="F198" s="14"/>
      <c r="G198" s="39"/>
    </row>
    <row r="199" spans="1:7" ht="38.25" x14ac:dyDescent="0.2">
      <c r="A199" s="19" t="s">
        <v>41</v>
      </c>
      <c r="B199" s="20" t="s">
        <v>64</v>
      </c>
      <c r="C199" s="20" t="s">
        <v>63</v>
      </c>
      <c r="D199" s="20" t="s">
        <v>37</v>
      </c>
      <c r="E199" s="20" t="s">
        <v>48</v>
      </c>
      <c r="F199" s="20" t="s">
        <v>40</v>
      </c>
      <c r="G199" s="21" t="s">
        <v>5</v>
      </c>
    </row>
    <row r="200" spans="1:7" x14ac:dyDescent="0.2">
      <c r="A200" s="103" t="s">
        <v>102</v>
      </c>
      <c r="B200" s="23">
        <v>25000</v>
      </c>
      <c r="C200" s="132" t="s">
        <v>145</v>
      </c>
      <c r="D200" s="60">
        <v>16116</v>
      </c>
      <c r="E200" s="60"/>
      <c r="F200" s="60" t="s">
        <v>179</v>
      </c>
      <c r="G200" s="138" t="s">
        <v>144</v>
      </c>
    </row>
    <row r="201" spans="1:7" x14ac:dyDescent="0.2">
      <c r="A201" s="133"/>
      <c r="B201" s="106"/>
      <c r="C201" s="107"/>
      <c r="D201" s="60">
        <v>8884</v>
      </c>
      <c r="E201" s="107"/>
      <c r="F201" s="107" t="s">
        <v>197</v>
      </c>
      <c r="G201" t="s">
        <v>198</v>
      </c>
    </row>
    <row r="202" spans="1:7" x14ac:dyDescent="0.2">
      <c r="A202" s="25" t="s">
        <v>43</v>
      </c>
      <c r="B202" s="26">
        <f>SUM(B200:B201)</f>
        <v>25000</v>
      </c>
      <c r="C202" s="64"/>
      <c r="D202" s="35">
        <f>SUM(D200:D201)</f>
        <v>25000</v>
      </c>
      <c r="E202" s="64">
        <f>E200</f>
        <v>0</v>
      </c>
      <c r="F202" s="63"/>
      <c r="G202" s="36"/>
    </row>
    <row r="203" spans="1:7" x14ac:dyDescent="0.2">
      <c r="A203" s="38"/>
      <c r="B203" s="38"/>
      <c r="C203" s="68"/>
      <c r="D203" s="38"/>
      <c r="E203" s="68"/>
      <c r="F203" s="68"/>
      <c r="G203" s="38"/>
    </row>
    <row r="204" spans="1:7" x14ac:dyDescent="0.2">
      <c r="A204" s="104" t="s">
        <v>103</v>
      </c>
      <c r="B204" s="35">
        <v>40000</v>
      </c>
      <c r="C204" s="134" t="s">
        <v>139</v>
      </c>
      <c r="D204" s="135">
        <v>40000</v>
      </c>
      <c r="E204" s="65">
        <f>B204-D204</f>
        <v>0</v>
      </c>
      <c r="F204" s="61" t="s">
        <v>185</v>
      </c>
      <c r="G204" s="27" t="s">
        <v>138</v>
      </c>
    </row>
    <row r="205" spans="1:7" x14ac:dyDescent="0.2">
      <c r="A205" s="104"/>
      <c r="B205" s="35"/>
      <c r="C205" s="134"/>
      <c r="D205" s="58"/>
      <c r="E205" s="65"/>
      <c r="F205" s="61"/>
      <c r="G205" s="27"/>
    </row>
    <row r="206" spans="1:7" ht="13.5" thickBot="1" x14ac:dyDescent="0.25">
      <c r="A206" s="108" t="s">
        <v>43</v>
      </c>
      <c r="B206" s="109">
        <f>SUM(B204:B205)</f>
        <v>40000</v>
      </c>
      <c r="C206" s="59"/>
      <c r="D206" s="109">
        <f>SUM(D204:D205)</f>
        <v>40000</v>
      </c>
      <c r="E206" s="59">
        <f>SUM(E204:E205)</f>
        <v>0</v>
      </c>
      <c r="F206" s="59"/>
      <c r="G206" s="110"/>
    </row>
  </sheetData>
  <mergeCells count="11">
    <mergeCell ref="A2:G2"/>
    <mergeCell ref="A22:G22"/>
    <mergeCell ref="A189:G189"/>
    <mergeCell ref="A169:G169"/>
    <mergeCell ref="A127:G127"/>
    <mergeCell ref="F165:F166"/>
    <mergeCell ref="A42:G42"/>
    <mergeCell ref="A64:G64"/>
    <mergeCell ref="A85:G85"/>
    <mergeCell ref="A106:G106"/>
    <mergeCell ref="A148:G148"/>
  </mergeCells>
  <pageMargins left="0.7" right="0.7" top="0.75" bottom="0.75" header="0.3" footer="0.3"/>
  <pageSetup orientation="landscape" r:id="rId1"/>
  <rowBreaks count="4" manualBreakCount="4">
    <brk id="125" max="16383" man="1"/>
    <brk id="146" max="16383" man="1"/>
    <brk id="167" max="16383" man="1"/>
    <brk id="187"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F6F2F-4B25-4D41-9335-90D025E3D359}">
  <dimension ref="A1:T98"/>
  <sheetViews>
    <sheetView tabSelected="1" workbookViewId="0">
      <selection activeCell="Q7" sqref="Q7"/>
    </sheetView>
  </sheetViews>
  <sheetFormatPr defaultRowHeight="12.75" x14ac:dyDescent="0.2"/>
  <cols>
    <col min="1" max="1" width="20.85546875" bestFit="1" customWidth="1"/>
    <col min="2" max="2" width="13" customWidth="1"/>
    <col min="3" max="3" width="11.7109375" bestFit="1" customWidth="1"/>
    <col min="4" max="4" width="11.42578125" customWidth="1"/>
    <col min="5" max="5" width="11.7109375" bestFit="1" customWidth="1"/>
    <col min="6" max="6" width="11.140625" bestFit="1" customWidth="1"/>
    <col min="7" max="7" width="11.7109375" bestFit="1" customWidth="1"/>
    <col min="8" max="10" width="11" customWidth="1"/>
    <col min="11" max="13" width="11.7109375" bestFit="1" customWidth="1"/>
    <col min="14" max="16" width="11" customWidth="1"/>
    <col min="17" max="17" width="10.7109375" customWidth="1"/>
    <col min="18" max="18" width="15.85546875" bestFit="1" customWidth="1"/>
    <col min="19" max="19" width="36.42578125" customWidth="1"/>
    <col min="20" max="20" width="11.140625" bestFit="1" customWidth="1"/>
  </cols>
  <sheetData>
    <row r="1" spans="1:19" ht="13.5" thickBot="1" x14ac:dyDescent="0.25"/>
    <row r="2" spans="1:19" ht="21" thickBot="1" x14ac:dyDescent="0.25">
      <c r="A2" s="489" t="s">
        <v>991</v>
      </c>
      <c r="B2" s="490"/>
      <c r="C2" s="490"/>
      <c r="D2" s="490"/>
      <c r="E2" s="490"/>
      <c r="F2" s="490"/>
      <c r="G2" s="490"/>
      <c r="H2" s="490"/>
      <c r="I2" s="490"/>
      <c r="J2" s="490"/>
      <c r="K2" s="490"/>
      <c r="L2" s="490"/>
      <c r="M2" s="490"/>
      <c r="N2" s="490"/>
      <c r="O2" s="490"/>
      <c r="P2" s="490"/>
      <c r="Q2" s="490"/>
      <c r="R2" s="490"/>
      <c r="S2" s="491"/>
    </row>
    <row r="3" spans="1:19" x14ac:dyDescent="0.2">
      <c r="A3" s="347" t="s">
        <v>985</v>
      </c>
      <c r="B3" s="13" t="s">
        <v>52</v>
      </c>
      <c r="C3" s="13" t="s">
        <v>53</v>
      </c>
      <c r="D3" s="13" t="s">
        <v>14</v>
      </c>
      <c r="E3" s="13" t="s">
        <v>56</v>
      </c>
      <c r="F3" s="13" t="s">
        <v>55</v>
      </c>
      <c r="G3" s="13" t="s">
        <v>101</v>
      </c>
      <c r="H3" s="13"/>
      <c r="I3" s="536" t="s">
        <v>986</v>
      </c>
      <c r="J3" s="537"/>
      <c r="K3" s="13" t="s">
        <v>52</v>
      </c>
      <c r="L3" s="13" t="s">
        <v>53</v>
      </c>
      <c r="M3" s="13" t="s">
        <v>14</v>
      </c>
      <c r="N3" s="13" t="s">
        <v>56</v>
      </c>
      <c r="O3" s="13" t="s">
        <v>55</v>
      </c>
      <c r="P3" s="13" t="s">
        <v>101</v>
      </c>
      <c r="R3" s="13"/>
      <c r="S3" s="311"/>
    </row>
    <row r="4" spans="1:19" x14ac:dyDescent="0.2">
      <c r="A4" s="41" t="s">
        <v>992</v>
      </c>
      <c r="B4" s="18">
        <v>85000</v>
      </c>
      <c r="C4" s="18">
        <v>85000</v>
      </c>
      <c r="D4" s="18">
        <v>85000</v>
      </c>
      <c r="E4" s="18" t="s">
        <v>996</v>
      </c>
      <c r="F4" s="212" t="s">
        <v>996</v>
      </c>
      <c r="G4" s="212" t="s">
        <v>996</v>
      </c>
      <c r="H4" s="18"/>
      <c r="I4" s="538" t="s">
        <v>992</v>
      </c>
      <c r="J4" s="468"/>
      <c r="K4" s="18">
        <v>56667</v>
      </c>
      <c r="L4" s="18">
        <v>56667</v>
      </c>
      <c r="M4" s="18">
        <v>56667</v>
      </c>
      <c r="N4" s="18">
        <v>25000</v>
      </c>
      <c r="O4" s="18">
        <v>25000</v>
      </c>
      <c r="P4" s="18">
        <v>25000</v>
      </c>
      <c r="R4" s="305">
        <f>SUM(B4:P4)</f>
        <v>500001</v>
      </c>
      <c r="S4" s="39"/>
    </row>
    <row r="5" spans="1:19" x14ac:dyDescent="0.2">
      <c r="A5" s="41" t="s">
        <v>36</v>
      </c>
      <c r="B5" s="18">
        <f>IF(B35&gt;B4,B4,B35)</f>
        <v>5108.7925500000129</v>
      </c>
      <c r="C5" s="18">
        <f>IF(C35&gt;C4,C4,C35)</f>
        <v>85000</v>
      </c>
      <c r="D5" s="18">
        <f>IF(D35&gt;D4,D4,D35)</f>
        <v>69703.792550000013</v>
      </c>
      <c r="E5" s="18" t="str">
        <f>IF(E35&gt;E4,E4,E35)</f>
        <v>N/A</v>
      </c>
      <c r="F5" s="212" t="s">
        <v>996</v>
      </c>
      <c r="G5" s="212" t="s">
        <v>996</v>
      </c>
      <c r="H5" s="18"/>
      <c r="I5" s="538" t="s">
        <v>36</v>
      </c>
      <c r="J5" s="468"/>
      <c r="K5" s="18">
        <f t="shared" ref="K5:P5" si="0">IF(K35&gt;K4,K4,K35)</f>
        <v>56667</v>
      </c>
      <c r="L5" s="18">
        <f t="shared" si="0"/>
        <v>56667</v>
      </c>
      <c r="M5" s="18">
        <f t="shared" si="0"/>
        <v>56667</v>
      </c>
      <c r="N5" s="18">
        <f t="shared" si="0"/>
        <v>25000</v>
      </c>
      <c r="O5" s="18">
        <f t="shared" si="0"/>
        <v>25000</v>
      </c>
      <c r="P5" s="18">
        <f t="shared" si="0"/>
        <v>25000</v>
      </c>
      <c r="R5" s="13"/>
      <c r="S5" s="39" t="s">
        <v>1154</v>
      </c>
    </row>
    <row r="6" spans="1:19" x14ac:dyDescent="0.2">
      <c r="A6" s="41" t="s">
        <v>993</v>
      </c>
      <c r="B6" s="18">
        <f>B4+B5</f>
        <v>90108.792550000013</v>
      </c>
      <c r="C6" s="18">
        <f>SUM(C4:C5)</f>
        <v>170000</v>
      </c>
      <c r="D6" s="18">
        <f>SUM(D4:D5)</f>
        <v>154703.79255000001</v>
      </c>
      <c r="E6" s="18" t="str">
        <f>IF(E36&gt;E5,E5,E36)</f>
        <v>N/A</v>
      </c>
      <c r="F6" s="212" t="s">
        <v>996</v>
      </c>
      <c r="G6" s="212" t="s">
        <v>996</v>
      </c>
      <c r="H6" s="18"/>
      <c r="I6" s="538" t="s">
        <v>993</v>
      </c>
      <c r="J6" s="468"/>
      <c r="K6" s="18">
        <f>K4+K5</f>
        <v>113334</v>
      </c>
      <c r="L6" s="18">
        <f>SUM(L4:L5)</f>
        <v>113334</v>
      </c>
      <c r="M6" s="18">
        <f>SUM(M4:M5)</f>
        <v>113334</v>
      </c>
      <c r="N6" s="18">
        <f>SUM(N4:N5)</f>
        <v>50000</v>
      </c>
      <c r="O6" s="18">
        <f>SUM(O4:O5)</f>
        <v>50000</v>
      </c>
      <c r="P6" s="18">
        <f>SUM(P4:P5)</f>
        <v>50000</v>
      </c>
      <c r="R6" s="13"/>
      <c r="S6" s="39" t="s">
        <v>107</v>
      </c>
    </row>
    <row r="7" spans="1:19" x14ac:dyDescent="0.2">
      <c r="A7" s="41" t="s">
        <v>47</v>
      </c>
      <c r="B7" s="18">
        <f>IF(B36&gt;B4, B4,B36)</f>
        <v>4764.0420000000158</v>
      </c>
      <c r="C7" s="18">
        <f>IF(C36&gt;C30,C30,C36)</f>
        <v>1800.0019999999786</v>
      </c>
      <c r="D7" s="18">
        <f>IF(D36&gt;D30,D30,D36)</f>
        <v>65788.508000000002</v>
      </c>
      <c r="E7" s="212" t="s">
        <v>996</v>
      </c>
      <c r="F7" s="212" t="s">
        <v>996</v>
      </c>
      <c r="G7" s="212" t="s">
        <v>996</v>
      </c>
      <c r="H7" s="18"/>
      <c r="I7" s="538" t="s">
        <v>47</v>
      </c>
      <c r="J7" s="468"/>
      <c r="K7" s="18">
        <f t="shared" ref="K7:P7" si="1">IF(K36&gt;K30,K30,K36)</f>
        <v>56667</v>
      </c>
      <c r="L7" s="18">
        <f t="shared" si="1"/>
        <v>56667</v>
      </c>
      <c r="M7" s="18">
        <f t="shared" si="1"/>
        <v>56667</v>
      </c>
      <c r="N7" s="18">
        <f t="shared" si="1"/>
        <v>25000</v>
      </c>
      <c r="O7" s="18">
        <f t="shared" si="1"/>
        <v>25000</v>
      </c>
      <c r="P7" s="18">
        <f t="shared" si="1"/>
        <v>25000</v>
      </c>
      <c r="R7" s="13"/>
      <c r="S7" s="39"/>
    </row>
    <row r="8" spans="1:19" x14ac:dyDescent="0.2">
      <c r="A8" s="41" t="s">
        <v>479</v>
      </c>
      <c r="B8" s="18">
        <f>B7+B4</f>
        <v>89764.042000000016</v>
      </c>
      <c r="C8" s="18">
        <f>C7+C4</f>
        <v>86800.001999999979</v>
      </c>
      <c r="D8" s="18">
        <f>D7+D4</f>
        <v>150788.508</v>
      </c>
      <c r="E8" s="18" t="str">
        <f>IF(E38&gt;E7,E7,E38)</f>
        <v>N/A</v>
      </c>
      <c r="F8" s="212" t="s">
        <v>996</v>
      </c>
      <c r="G8" s="212" t="s">
        <v>996</v>
      </c>
      <c r="H8" s="18"/>
      <c r="I8" s="538" t="s">
        <v>479</v>
      </c>
      <c r="J8" s="468"/>
      <c r="K8" s="18">
        <f t="shared" ref="K8:P8" si="2">K7+K4</f>
        <v>113334</v>
      </c>
      <c r="L8" s="18">
        <f t="shared" si="2"/>
        <v>113334</v>
      </c>
      <c r="M8" s="18">
        <f t="shared" si="2"/>
        <v>113334</v>
      </c>
      <c r="N8" s="18">
        <f t="shared" si="2"/>
        <v>50000</v>
      </c>
      <c r="O8" s="18">
        <f t="shared" si="2"/>
        <v>50000</v>
      </c>
      <c r="P8" s="18">
        <f t="shared" si="2"/>
        <v>50000</v>
      </c>
      <c r="R8" s="13"/>
      <c r="S8" s="39" t="s">
        <v>108</v>
      </c>
    </row>
    <row r="9" spans="1:19" x14ac:dyDescent="0.2">
      <c r="A9" s="41" t="s">
        <v>39</v>
      </c>
      <c r="B9" s="18">
        <f>B6-(F26)</f>
        <v>90108.792550000013</v>
      </c>
      <c r="C9" s="18">
        <f>C6-E26</f>
        <v>170000</v>
      </c>
      <c r="D9" s="18">
        <f>D6-F26</f>
        <v>154703.79255000001</v>
      </c>
      <c r="E9" s="212" t="s">
        <v>996</v>
      </c>
      <c r="F9" s="212" t="s">
        <v>996</v>
      </c>
      <c r="G9" s="212" t="s">
        <v>996</v>
      </c>
      <c r="H9" s="18"/>
      <c r="I9" s="538" t="s">
        <v>39</v>
      </c>
      <c r="J9" s="468"/>
      <c r="K9" s="18">
        <f>K6-(F26)</f>
        <v>113334</v>
      </c>
      <c r="L9" s="18">
        <f>L6-N26</f>
        <v>113334</v>
      </c>
      <c r="M9" s="18">
        <f>M6-O26</f>
        <v>113334</v>
      </c>
      <c r="N9" s="18">
        <f>N6-Z26</f>
        <v>50000</v>
      </c>
      <c r="O9" s="18">
        <f>O6-AA26</f>
        <v>50000</v>
      </c>
      <c r="P9" s="18">
        <f>P6-P26</f>
        <v>50000</v>
      </c>
      <c r="R9" s="13"/>
      <c r="S9" s="39" t="s">
        <v>109</v>
      </c>
    </row>
    <row r="10" spans="1:19" ht="25.5" x14ac:dyDescent="0.2">
      <c r="A10" s="41" t="s">
        <v>799</v>
      </c>
      <c r="B10" s="436">
        <f>B8-(E19+F19)</f>
        <v>4764.0420000000158</v>
      </c>
      <c r="C10" s="436">
        <f>C8-(G19+H19)</f>
        <v>1800.0019999999786</v>
      </c>
      <c r="D10" s="40">
        <f>D8-(I19+J19)</f>
        <v>71622.508000000002</v>
      </c>
      <c r="E10" s="212" t="s">
        <v>996</v>
      </c>
      <c r="F10" s="435" t="s">
        <v>996</v>
      </c>
      <c r="G10" s="435" t="s">
        <v>996</v>
      </c>
      <c r="H10" s="226"/>
      <c r="I10" s="538" t="s">
        <v>799</v>
      </c>
      <c r="J10" s="468"/>
      <c r="K10" s="40">
        <f>K8-(E26+F26)</f>
        <v>113334</v>
      </c>
      <c r="L10" s="40">
        <f>L8-(P26+Q26)</f>
        <v>113334</v>
      </c>
      <c r="M10" s="40">
        <f>M8-(R26+S26)</f>
        <v>113334</v>
      </c>
      <c r="N10" s="40">
        <f>N8-(T26+U26)</f>
        <v>50000</v>
      </c>
      <c r="O10" s="40">
        <f>O8-(V26+W26)</f>
        <v>50000</v>
      </c>
      <c r="P10" s="40">
        <f>P8-(O26+P26)</f>
        <v>50000</v>
      </c>
      <c r="R10" s="305"/>
      <c r="S10" s="304" t="s">
        <v>110</v>
      </c>
    </row>
    <row r="11" spans="1:19" ht="21" thickBot="1" x14ac:dyDescent="0.35">
      <c r="A11" s="41"/>
      <c r="B11" s="13"/>
      <c r="C11" s="13"/>
      <c r="D11" s="13"/>
      <c r="E11" s="14"/>
      <c r="F11" s="14"/>
      <c r="G11" s="14"/>
      <c r="H11" s="14"/>
      <c r="I11" s="14"/>
      <c r="J11" s="14"/>
      <c r="K11" s="14"/>
      <c r="L11" s="14"/>
      <c r="M11" s="14"/>
      <c r="N11" s="14"/>
      <c r="O11" s="14"/>
      <c r="P11" s="14"/>
      <c r="Q11" s="13"/>
      <c r="R11" s="13"/>
      <c r="S11" s="39"/>
    </row>
    <row r="12" spans="1:19" ht="51" x14ac:dyDescent="0.2">
      <c r="A12" s="19" t="s">
        <v>987</v>
      </c>
      <c r="B12" s="20" t="s">
        <v>34</v>
      </c>
      <c r="C12" s="20" t="s">
        <v>64</v>
      </c>
      <c r="D12" s="20" t="s">
        <v>63</v>
      </c>
      <c r="E12" s="20" t="s">
        <v>891</v>
      </c>
      <c r="F12" s="20" t="s">
        <v>892</v>
      </c>
      <c r="G12" s="20" t="s">
        <v>893</v>
      </c>
      <c r="H12" s="20" t="s">
        <v>894</v>
      </c>
      <c r="I12" s="20" t="s">
        <v>895</v>
      </c>
      <c r="J12" s="20" t="s">
        <v>896</v>
      </c>
      <c r="K12" s="20" t="s">
        <v>897</v>
      </c>
      <c r="L12" s="20" t="s">
        <v>898</v>
      </c>
      <c r="M12" s="20" t="s">
        <v>899</v>
      </c>
      <c r="N12" s="20" t="s">
        <v>900</v>
      </c>
      <c r="O12" s="20" t="s">
        <v>901</v>
      </c>
      <c r="P12" s="20" t="s">
        <v>902</v>
      </c>
      <c r="Q12" s="20" t="s">
        <v>40</v>
      </c>
      <c r="R12" s="20" t="s">
        <v>38</v>
      </c>
      <c r="S12" s="21" t="s">
        <v>5</v>
      </c>
    </row>
    <row r="13" spans="1:19" x14ac:dyDescent="0.2">
      <c r="A13" s="354" t="s">
        <v>988</v>
      </c>
      <c r="B13" s="140" t="s">
        <v>890</v>
      </c>
      <c r="C13" s="437">
        <v>75000</v>
      </c>
      <c r="D13" s="141" t="s">
        <v>1160</v>
      </c>
      <c r="E13" s="61">
        <v>19812.54</v>
      </c>
      <c r="F13" s="87"/>
      <c r="G13" s="86">
        <v>19812.54</v>
      </c>
      <c r="H13" s="86"/>
      <c r="I13" s="86">
        <v>32500</v>
      </c>
      <c r="J13" s="86"/>
      <c r="K13" s="86"/>
      <c r="L13" s="86"/>
      <c r="M13" s="86"/>
      <c r="N13" s="86"/>
      <c r="O13" s="86"/>
      <c r="P13" s="86"/>
      <c r="Q13" s="143"/>
      <c r="R13" s="140"/>
      <c r="S13" s="45" t="s">
        <v>1159</v>
      </c>
    </row>
    <row r="14" spans="1:19" x14ac:dyDescent="0.2">
      <c r="A14" s="155"/>
      <c r="B14" s="140" t="s">
        <v>1083</v>
      </c>
      <c r="C14" s="437">
        <v>52500</v>
      </c>
      <c r="D14" s="141">
        <v>45243</v>
      </c>
      <c r="E14" s="156">
        <v>19812.54</v>
      </c>
      <c r="F14" s="86"/>
      <c r="G14" s="86">
        <v>19812.54</v>
      </c>
      <c r="H14" s="86"/>
      <c r="I14" s="86">
        <v>10000</v>
      </c>
      <c r="J14" s="86"/>
      <c r="K14" s="86"/>
      <c r="L14" s="86"/>
      <c r="M14" s="86"/>
      <c r="N14" s="86"/>
      <c r="O14" s="86"/>
      <c r="P14" s="86"/>
      <c r="Q14" s="140"/>
      <c r="R14" s="140"/>
      <c r="S14" s="149" t="s">
        <v>1159</v>
      </c>
    </row>
    <row r="15" spans="1:19" x14ac:dyDescent="0.2">
      <c r="A15" s="155"/>
      <c r="B15" s="253" t="s">
        <v>1082</v>
      </c>
      <c r="C15" s="437">
        <v>80000</v>
      </c>
      <c r="D15" s="141" t="s">
        <v>1160</v>
      </c>
      <c r="E15" s="156">
        <v>24863.11</v>
      </c>
      <c r="F15" s="86"/>
      <c r="G15" s="131">
        <v>24863.11</v>
      </c>
      <c r="H15" s="131"/>
      <c r="I15" s="131">
        <v>26666</v>
      </c>
      <c r="J15" s="131"/>
      <c r="K15" s="131"/>
      <c r="L15" s="131"/>
      <c r="M15" s="131"/>
      <c r="N15" s="131"/>
      <c r="O15" s="131"/>
      <c r="P15" s="131"/>
      <c r="Q15" s="253"/>
      <c r="R15" s="253"/>
      <c r="S15" s="45" t="s">
        <v>1159</v>
      </c>
    </row>
    <row r="16" spans="1:19" x14ac:dyDescent="0.2">
      <c r="A16" s="155"/>
      <c r="B16" s="253" t="s">
        <v>618</v>
      </c>
      <c r="C16" s="437">
        <v>54000</v>
      </c>
      <c r="D16" s="255" t="s">
        <v>1160</v>
      </c>
      <c r="E16" s="156">
        <v>20511.810000000001</v>
      </c>
      <c r="F16" s="86"/>
      <c r="G16" s="131">
        <v>20511.810000000001</v>
      </c>
      <c r="H16" s="131"/>
      <c r="I16" s="131">
        <v>10000</v>
      </c>
      <c r="J16" s="131"/>
      <c r="K16" s="131"/>
      <c r="L16" s="131"/>
      <c r="M16" s="131"/>
      <c r="N16" s="131"/>
      <c r="O16" s="131"/>
      <c r="P16" s="131"/>
      <c r="Q16" s="253"/>
      <c r="R16" s="253"/>
      <c r="S16" s="45" t="s">
        <v>1159</v>
      </c>
    </row>
    <row r="17" spans="1:20" x14ac:dyDescent="0.2">
      <c r="A17" s="155"/>
      <c r="B17" s="253"/>
      <c r="C17" s="147"/>
      <c r="D17" s="255"/>
      <c r="E17" s="156"/>
      <c r="F17" s="86"/>
      <c r="G17" s="131"/>
      <c r="H17" s="131"/>
      <c r="I17" s="131"/>
      <c r="J17" s="131"/>
      <c r="K17" s="131"/>
      <c r="L17" s="131"/>
      <c r="M17" s="131"/>
      <c r="N17" s="131"/>
      <c r="O17" s="131"/>
      <c r="P17" s="131"/>
      <c r="Q17" s="253"/>
      <c r="R17" s="253"/>
      <c r="S17" s="149"/>
    </row>
    <row r="18" spans="1:20" x14ac:dyDescent="0.2">
      <c r="A18" s="155"/>
      <c r="B18" s="253"/>
      <c r="C18" s="147"/>
      <c r="D18" s="255"/>
      <c r="E18" s="156"/>
      <c r="F18" s="86"/>
      <c r="G18" s="131"/>
      <c r="H18" s="131"/>
      <c r="I18" s="131"/>
      <c r="J18" s="131"/>
      <c r="K18" s="131"/>
      <c r="L18" s="131"/>
      <c r="M18" s="131"/>
      <c r="N18" s="131"/>
      <c r="O18" s="131"/>
      <c r="P18" s="131"/>
      <c r="Q18" s="253"/>
      <c r="R18" s="253"/>
      <c r="S18" s="149"/>
    </row>
    <row r="19" spans="1:20" x14ac:dyDescent="0.2">
      <c r="A19" s="152" t="s">
        <v>43</v>
      </c>
      <c r="B19" s="303"/>
      <c r="C19" s="352">
        <f>SUM(C13:C18)</f>
        <v>261500</v>
      </c>
      <c r="D19" s="12"/>
      <c r="E19" s="330">
        <f>SUM(E13:E18)</f>
        <v>85000</v>
      </c>
      <c r="F19" s="330">
        <f t="shared" ref="F19:P19" si="3">SUM(F13:F18)</f>
        <v>0</v>
      </c>
      <c r="G19" s="330">
        <f t="shared" si="3"/>
        <v>85000</v>
      </c>
      <c r="H19" s="330">
        <f t="shared" si="3"/>
        <v>0</v>
      </c>
      <c r="I19" s="330">
        <f t="shared" si="3"/>
        <v>79166</v>
      </c>
      <c r="J19" s="330">
        <f t="shared" si="3"/>
        <v>0</v>
      </c>
      <c r="K19" s="330">
        <f t="shared" si="3"/>
        <v>0</v>
      </c>
      <c r="L19" s="330">
        <f t="shared" si="3"/>
        <v>0</v>
      </c>
      <c r="M19" s="330">
        <f t="shared" si="3"/>
        <v>0</v>
      </c>
      <c r="N19" s="330">
        <f t="shared" si="3"/>
        <v>0</v>
      </c>
      <c r="O19" s="330">
        <f t="shared" si="3"/>
        <v>0</v>
      </c>
      <c r="P19" s="330">
        <f t="shared" si="3"/>
        <v>0</v>
      </c>
      <c r="R19" s="11"/>
      <c r="S19" s="149"/>
    </row>
    <row r="20" spans="1:20" x14ac:dyDescent="0.2">
      <c r="A20" s="334"/>
      <c r="B20" s="348"/>
      <c r="C20" s="349"/>
      <c r="D20" s="350"/>
      <c r="E20" s="321"/>
      <c r="F20" s="321"/>
      <c r="G20" s="351"/>
      <c r="H20" s="351"/>
      <c r="I20" s="351"/>
      <c r="J20" s="351"/>
      <c r="K20" s="351"/>
      <c r="L20" s="351"/>
      <c r="M20" s="351"/>
      <c r="N20" s="351"/>
      <c r="O20" s="351"/>
      <c r="P20" s="351"/>
      <c r="Q20" s="328"/>
      <c r="R20" s="327"/>
      <c r="S20" s="322"/>
    </row>
    <row r="21" spans="1:20" x14ac:dyDescent="0.2">
      <c r="A21" s="355" t="s">
        <v>986</v>
      </c>
      <c r="B21" s="303"/>
      <c r="C21" s="147"/>
      <c r="D21" s="12"/>
      <c r="E21" s="86"/>
      <c r="F21" s="86"/>
      <c r="G21" s="131"/>
      <c r="H21" s="131"/>
      <c r="I21" s="131"/>
      <c r="J21" s="131"/>
      <c r="K21" s="131"/>
      <c r="L21" s="131"/>
      <c r="M21" s="131"/>
      <c r="N21" s="131"/>
      <c r="O21" s="131"/>
      <c r="P21" s="131"/>
      <c r="R21" s="11"/>
      <c r="S21" s="149"/>
    </row>
    <row r="22" spans="1:20" x14ac:dyDescent="0.2">
      <c r="A22" s="155"/>
      <c r="B22" s="303"/>
      <c r="C22" s="147"/>
      <c r="D22" s="12"/>
      <c r="E22" s="86"/>
      <c r="F22" s="86"/>
      <c r="G22" s="131"/>
      <c r="H22" s="131"/>
      <c r="I22" s="131"/>
      <c r="J22" s="131"/>
      <c r="K22" s="131"/>
      <c r="L22" s="131"/>
      <c r="M22" s="131"/>
      <c r="N22" s="131"/>
      <c r="O22" s="131"/>
      <c r="P22" s="131"/>
      <c r="R22" s="11"/>
      <c r="S22" s="149"/>
    </row>
    <row r="23" spans="1:20" x14ac:dyDescent="0.2">
      <c r="A23" s="155"/>
      <c r="B23" s="253"/>
      <c r="C23" s="147"/>
      <c r="D23" s="12"/>
      <c r="E23" s="86"/>
      <c r="F23" s="86"/>
      <c r="G23" s="131"/>
      <c r="H23" s="131"/>
      <c r="I23" s="131"/>
      <c r="J23" s="131"/>
      <c r="K23" s="131"/>
      <c r="L23" s="131"/>
      <c r="M23" s="131"/>
      <c r="N23" s="131"/>
      <c r="O23" s="131"/>
      <c r="P23" s="131"/>
      <c r="R23" s="11"/>
      <c r="S23" s="149"/>
    </row>
    <row r="24" spans="1:20" x14ac:dyDescent="0.2">
      <c r="A24" s="155"/>
      <c r="B24" s="253"/>
      <c r="C24" s="147"/>
      <c r="D24" s="12"/>
      <c r="E24" s="86"/>
      <c r="F24" s="86"/>
      <c r="G24" s="131"/>
      <c r="H24" s="131"/>
      <c r="I24" s="131"/>
      <c r="J24" s="131"/>
      <c r="K24" s="131"/>
      <c r="L24" s="131"/>
      <c r="M24" s="131"/>
      <c r="N24" s="131"/>
      <c r="O24" s="131"/>
      <c r="P24" s="131"/>
      <c r="R24" s="11"/>
      <c r="S24" s="149"/>
    </row>
    <row r="25" spans="1:20" x14ac:dyDescent="0.2">
      <c r="A25" s="155"/>
      <c r="B25" s="253"/>
      <c r="C25" s="147"/>
      <c r="D25" s="12"/>
      <c r="E25" s="86"/>
      <c r="F25" s="86"/>
      <c r="G25" s="131"/>
      <c r="H25" s="131"/>
      <c r="I25" s="131"/>
      <c r="J25" s="131"/>
      <c r="K25" s="131"/>
      <c r="L25" s="131"/>
      <c r="M25" s="131"/>
      <c r="N25" s="131"/>
      <c r="O25" s="131"/>
      <c r="P25" s="131"/>
      <c r="R25" s="11"/>
      <c r="S25" s="149"/>
    </row>
    <row r="26" spans="1:20" ht="13.5" thickBot="1" x14ac:dyDescent="0.25">
      <c r="A26" s="353" t="s">
        <v>43</v>
      </c>
      <c r="B26" s="30"/>
      <c r="C26" s="312">
        <f>SUM(C21:C25)</f>
        <v>0</v>
      </c>
      <c r="D26" s="30"/>
      <c r="E26" s="59">
        <f>SUM(E21:E25)</f>
        <v>0</v>
      </c>
      <c r="F26" s="59">
        <f t="shared" ref="F26:P26" si="4">SUM(F21:F25)</f>
        <v>0</v>
      </c>
      <c r="G26" s="59">
        <f t="shared" si="4"/>
        <v>0</v>
      </c>
      <c r="H26" s="59">
        <f t="shared" si="4"/>
        <v>0</v>
      </c>
      <c r="I26" s="59">
        <f t="shared" si="4"/>
        <v>0</v>
      </c>
      <c r="J26" s="59">
        <f t="shared" si="4"/>
        <v>0</v>
      </c>
      <c r="K26" s="59">
        <f t="shared" si="4"/>
        <v>0</v>
      </c>
      <c r="L26" s="59">
        <f t="shared" si="4"/>
        <v>0</v>
      </c>
      <c r="M26" s="59">
        <f t="shared" si="4"/>
        <v>0</v>
      </c>
      <c r="N26" s="59">
        <f t="shared" si="4"/>
        <v>0</v>
      </c>
      <c r="O26" s="59">
        <f t="shared" si="4"/>
        <v>0</v>
      </c>
      <c r="P26" s="59">
        <f t="shared" si="4"/>
        <v>0</v>
      </c>
      <c r="Q26" s="30"/>
      <c r="R26" s="30"/>
      <c r="S26" s="31"/>
    </row>
    <row r="27" spans="1:20" ht="13.5" thickBot="1" x14ac:dyDescent="0.25"/>
    <row r="28" spans="1:20" ht="21" thickBot="1" x14ac:dyDescent="0.25">
      <c r="A28" s="489" t="s">
        <v>989</v>
      </c>
      <c r="B28" s="490"/>
      <c r="C28" s="490"/>
      <c r="D28" s="490"/>
      <c r="E28" s="490"/>
      <c r="F28" s="490"/>
      <c r="G28" s="490"/>
      <c r="H28" s="490"/>
      <c r="I28" s="490"/>
      <c r="J28" s="490"/>
      <c r="K28" s="490"/>
      <c r="L28" s="490"/>
      <c r="M28" s="490"/>
      <c r="N28" s="490"/>
      <c r="O28" s="490"/>
      <c r="P28" s="490"/>
      <c r="Q28" s="490"/>
      <c r="R28" s="490"/>
      <c r="S28" s="491"/>
    </row>
    <row r="29" spans="1:20" x14ac:dyDescent="0.2">
      <c r="A29" s="347" t="s">
        <v>985</v>
      </c>
      <c r="B29" s="13" t="s">
        <v>52</v>
      </c>
      <c r="C29" s="13" t="s">
        <v>53</v>
      </c>
      <c r="D29" s="13" t="s">
        <v>14</v>
      </c>
      <c r="E29" s="13" t="s">
        <v>56</v>
      </c>
      <c r="F29" s="13" t="s">
        <v>55</v>
      </c>
      <c r="G29" s="13" t="s">
        <v>101</v>
      </c>
      <c r="H29" s="13"/>
      <c r="I29" s="536" t="s">
        <v>986</v>
      </c>
      <c r="J29" s="537"/>
      <c r="K29" s="13" t="s">
        <v>52</v>
      </c>
      <c r="L29" s="13" t="s">
        <v>53</v>
      </c>
      <c r="M29" s="13" t="s">
        <v>14</v>
      </c>
      <c r="N29" s="13" t="s">
        <v>56</v>
      </c>
      <c r="O29" s="13" t="s">
        <v>55</v>
      </c>
      <c r="P29" s="13" t="s">
        <v>101</v>
      </c>
      <c r="R29" s="13"/>
      <c r="S29" s="311"/>
    </row>
    <row r="30" spans="1:20" x14ac:dyDescent="0.2">
      <c r="A30" s="41" t="s">
        <v>971</v>
      </c>
      <c r="B30" s="18">
        <v>85000</v>
      </c>
      <c r="C30" s="18">
        <v>85000</v>
      </c>
      <c r="D30" s="18">
        <v>85000</v>
      </c>
      <c r="E30" s="18" t="s">
        <v>996</v>
      </c>
      <c r="F30" s="18" t="s">
        <v>996</v>
      </c>
      <c r="G30" s="18" t="s">
        <v>996</v>
      </c>
      <c r="H30" s="18"/>
      <c r="I30" s="538" t="s">
        <v>971</v>
      </c>
      <c r="J30" s="468"/>
      <c r="K30" s="18">
        <v>56667</v>
      </c>
      <c r="L30" s="18">
        <v>56667</v>
      </c>
      <c r="M30" s="18">
        <v>56667</v>
      </c>
      <c r="N30" s="18">
        <v>25000</v>
      </c>
      <c r="O30" s="18">
        <v>25000</v>
      </c>
      <c r="P30" s="18">
        <v>25000</v>
      </c>
      <c r="R30" s="305">
        <f>SUM(B30:P30)</f>
        <v>500001</v>
      </c>
      <c r="S30" s="39"/>
      <c r="T30" s="42"/>
    </row>
    <row r="31" spans="1:20" x14ac:dyDescent="0.2">
      <c r="A31" s="41" t="s">
        <v>36</v>
      </c>
      <c r="B31" s="18">
        <f>0.6*B66</f>
        <v>70205.792549999998</v>
      </c>
      <c r="C31" s="18">
        <f>0.6*C66</f>
        <v>84655.449449999986</v>
      </c>
      <c r="D31" s="18">
        <f>0.6*D66</f>
        <v>70205.792549999998</v>
      </c>
      <c r="E31" s="18" t="s">
        <v>996</v>
      </c>
      <c r="F31" s="18" t="s">
        <v>996</v>
      </c>
      <c r="G31" s="18" t="s">
        <v>996</v>
      </c>
      <c r="H31" s="18" t="s">
        <v>1004</v>
      </c>
      <c r="I31" s="538" t="s">
        <v>36</v>
      </c>
      <c r="J31" s="468"/>
      <c r="K31" s="18">
        <f>IF((0.4*B66)&gt;K30,K30,(0.4*B66))</f>
        <v>46803.861700000001</v>
      </c>
      <c r="L31" s="18">
        <f>IF((0.4*C66)&gt;L30,L30,(0.4*C66))</f>
        <v>56436.9663</v>
      </c>
      <c r="M31" s="18">
        <f>IF((0.4*D66)&gt;M30,M30,(0.4*D66))</f>
        <v>46803.861700000001</v>
      </c>
      <c r="N31" s="18">
        <f>IF((0.4*E66)&gt;N30,N30,(0.4*E66))</f>
        <v>10000</v>
      </c>
      <c r="O31" s="18">
        <f t="shared" ref="O31:P31" si="5">IF((0.4*F66)&gt;O30,O30,(0.4*F66))</f>
        <v>10000</v>
      </c>
      <c r="P31" s="18">
        <f t="shared" si="5"/>
        <v>10000</v>
      </c>
      <c r="R31" s="13"/>
      <c r="S31" s="357" t="s">
        <v>1003</v>
      </c>
      <c r="T31" s="42"/>
    </row>
    <row r="32" spans="1:20" x14ac:dyDescent="0.2">
      <c r="A32" s="41" t="s">
        <v>969</v>
      </c>
      <c r="B32" s="18">
        <f>B30+B31</f>
        <v>155205.79255000001</v>
      </c>
      <c r="C32" s="18">
        <f>SUM(C30:C31)</f>
        <v>169655.44944999999</v>
      </c>
      <c r="D32" s="18">
        <f>SUM(D30:D31)</f>
        <v>155205.79255000001</v>
      </c>
      <c r="E32" s="18" t="s">
        <v>996</v>
      </c>
      <c r="F32" s="18" t="s">
        <v>996</v>
      </c>
      <c r="G32" s="18" t="s">
        <v>996</v>
      </c>
      <c r="H32" s="18"/>
      <c r="I32" s="538" t="s">
        <v>969</v>
      </c>
      <c r="J32" s="468"/>
      <c r="K32" s="18">
        <f>K30+K31</f>
        <v>103470.86170000001</v>
      </c>
      <c r="L32" s="18">
        <f>SUM(L30:L31)</f>
        <v>113103.9663</v>
      </c>
      <c r="M32" s="18">
        <f>SUM(M30:M31)</f>
        <v>103470.86170000001</v>
      </c>
      <c r="N32" s="18">
        <f>SUM(N30:N31)</f>
        <v>35000</v>
      </c>
      <c r="O32" s="18">
        <f>SUM(O30:O31)</f>
        <v>35000</v>
      </c>
      <c r="P32" s="18">
        <f>SUM(P30:P31)</f>
        <v>35000</v>
      </c>
      <c r="R32" s="13"/>
      <c r="S32" s="39" t="s">
        <v>107</v>
      </c>
    </row>
    <row r="33" spans="1:19" x14ac:dyDescent="0.2">
      <c r="A33" s="41" t="s">
        <v>47</v>
      </c>
      <c r="B33" s="18">
        <f>0.6*B67</f>
        <v>69861.042000000001</v>
      </c>
      <c r="C33" s="18">
        <f>IF((C67-L33)&gt;C30,C30,(C67-L33))</f>
        <v>57802.811999999991</v>
      </c>
      <c r="D33" s="18">
        <f>IF((D67-M33)&gt;D30,D30,(D67-M33))</f>
        <v>66290.508000000002</v>
      </c>
      <c r="E33" s="18" t="s">
        <v>996</v>
      </c>
      <c r="F33" s="18" t="s">
        <v>996</v>
      </c>
      <c r="G33" s="18" t="s">
        <v>996</v>
      </c>
      <c r="H33" s="18"/>
      <c r="I33" s="538" t="s">
        <v>47</v>
      </c>
      <c r="J33" s="468"/>
      <c r="K33" s="18">
        <f>IF((0.4*B67)&gt;K30,K30,(0.4*B67))</f>
        <v>46574.028000000006</v>
      </c>
      <c r="L33" s="18">
        <f>IF((0.4*C67)&gt;L30,L30,(0.4*C67))</f>
        <v>38535.207999999999</v>
      </c>
      <c r="M33" s="18">
        <f>IF((0.4*D67)&gt;M30,M30,(0.4*D67))</f>
        <v>44193.671999999999</v>
      </c>
      <c r="N33" s="18">
        <f>IF((0.4*E67)&gt;N30,N30,(0.4*E67))</f>
        <v>8940.5020000000004</v>
      </c>
      <c r="O33" s="18">
        <f t="shared" ref="O33:P33" si="6">IF((0.4*F67)&gt;O30,O30,(0.4*F67))</f>
        <v>8940.5020000000004</v>
      </c>
      <c r="P33" s="18">
        <f t="shared" si="6"/>
        <v>8940.5020000000004</v>
      </c>
      <c r="R33" s="13"/>
      <c r="S33" s="39"/>
    </row>
    <row r="34" spans="1:19" x14ac:dyDescent="0.2">
      <c r="A34" s="41" t="s">
        <v>479</v>
      </c>
      <c r="B34" s="18">
        <f>B33+B30</f>
        <v>154861.04200000002</v>
      </c>
      <c r="C34" s="18">
        <f>C33+C30</f>
        <v>142802.81199999998</v>
      </c>
      <c r="D34" s="18">
        <f>D33+D30</f>
        <v>151290.508</v>
      </c>
      <c r="E34" s="18" t="s">
        <v>996</v>
      </c>
      <c r="F34" s="18" t="s">
        <v>996</v>
      </c>
      <c r="G34" s="18" t="s">
        <v>996</v>
      </c>
      <c r="H34" s="18"/>
      <c r="I34" s="538" t="s">
        <v>479</v>
      </c>
      <c r="J34" s="468"/>
      <c r="K34" s="18">
        <f t="shared" ref="K34:P34" si="7">K33+K30</f>
        <v>103241.02800000001</v>
      </c>
      <c r="L34" s="18">
        <f t="shared" si="7"/>
        <v>95202.207999999999</v>
      </c>
      <c r="M34" s="18">
        <f t="shared" si="7"/>
        <v>100860.67199999999</v>
      </c>
      <c r="N34" s="18">
        <f t="shared" si="7"/>
        <v>33940.502</v>
      </c>
      <c r="O34" s="18">
        <f t="shared" si="7"/>
        <v>33940.502</v>
      </c>
      <c r="P34" s="18">
        <f t="shared" si="7"/>
        <v>33940.502</v>
      </c>
      <c r="R34" s="13"/>
      <c r="S34" s="39" t="s">
        <v>108</v>
      </c>
    </row>
    <row r="35" spans="1:19" x14ac:dyDescent="0.2">
      <c r="A35" s="41" t="s">
        <v>39</v>
      </c>
      <c r="B35" s="18">
        <f>B32-(F47)</f>
        <v>5108.7925500000129</v>
      </c>
      <c r="C35" s="18">
        <f>C32-E47</f>
        <v>169655.44944999999</v>
      </c>
      <c r="D35" s="18">
        <f>D32-J47</f>
        <v>69703.792550000013</v>
      </c>
      <c r="E35" s="18" t="s">
        <v>996</v>
      </c>
      <c r="F35" s="18" t="s">
        <v>996</v>
      </c>
      <c r="G35" s="18" t="s">
        <v>996</v>
      </c>
      <c r="H35" s="18"/>
      <c r="I35" s="538" t="s">
        <v>39</v>
      </c>
      <c r="J35" s="468"/>
      <c r="K35" s="18">
        <f>K32-(F57)</f>
        <v>73788.361700000009</v>
      </c>
      <c r="L35" s="18">
        <f>L32-(H57)</f>
        <v>89658.9663</v>
      </c>
      <c r="M35" s="18">
        <f>M32-J57</f>
        <v>103470.86170000001</v>
      </c>
      <c r="N35" s="18">
        <f>N32-L57</f>
        <v>35000</v>
      </c>
      <c r="O35" s="18">
        <f>O32-L57</f>
        <v>35000</v>
      </c>
      <c r="P35" s="18">
        <f>P32-P57</f>
        <v>35000</v>
      </c>
      <c r="R35" s="13"/>
      <c r="S35" s="39" t="s">
        <v>109</v>
      </c>
    </row>
    <row r="36" spans="1:19" ht="25.5" x14ac:dyDescent="0.2">
      <c r="A36" s="41" t="s">
        <v>799</v>
      </c>
      <c r="B36" s="40">
        <f>B34-(E47+F47)</f>
        <v>4764.0420000000158</v>
      </c>
      <c r="C36" s="40">
        <f>C34-(G47+H47)</f>
        <v>1800.0019999999786</v>
      </c>
      <c r="D36" s="40">
        <f>D34-(I47+J47)</f>
        <v>65788.508000000002</v>
      </c>
      <c r="E36" s="18" t="s">
        <v>996</v>
      </c>
      <c r="F36" s="18" t="s">
        <v>996</v>
      </c>
      <c r="G36" s="18" t="s">
        <v>996</v>
      </c>
      <c r="H36" s="226"/>
      <c r="I36" s="538" t="s">
        <v>799</v>
      </c>
      <c r="J36" s="468"/>
      <c r="K36" s="40">
        <f>K34-(E57+F57)</f>
        <v>67696.028000000006</v>
      </c>
      <c r="L36" s="40">
        <f>L34-(G57+H57)</f>
        <v>71757.207999999999</v>
      </c>
      <c r="M36" s="40">
        <f>M34-(I57+J57)</f>
        <v>100860.67199999999</v>
      </c>
      <c r="N36" s="40">
        <f>N34-(K57+L57)</f>
        <v>33940.502</v>
      </c>
      <c r="O36" s="40">
        <f>O34-(M57+N57)</f>
        <v>33940.502</v>
      </c>
      <c r="P36" s="40">
        <f>P34-(O57+P57)</f>
        <v>33940.502</v>
      </c>
      <c r="R36" s="305"/>
      <c r="S36" s="304" t="s">
        <v>110</v>
      </c>
    </row>
    <row r="37" spans="1:19" ht="21" thickBot="1" x14ac:dyDescent="0.35">
      <c r="A37" s="41"/>
      <c r="B37" s="13"/>
      <c r="C37" s="13"/>
      <c r="D37" s="13"/>
      <c r="E37" s="14"/>
      <c r="F37" s="14"/>
      <c r="G37" s="14"/>
      <c r="H37" s="14"/>
      <c r="I37" s="14"/>
      <c r="J37" s="14"/>
      <c r="K37" s="14"/>
      <c r="L37" s="14"/>
      <c r="M37" s="14"/>
      <c r="N37" s="14"/>
      <c r="O37" s="14"/>
      <c r="P37" s="14"/>
      <c r="Q37" s="13"/>
      <c r="R37" s="13"/>
      <c r="S37" s="39"/>
    </row>
    <row r="38" spans="1:19" ht="51" x14ac:dyDescent="0.2">
      <c r="A38" s="19" t="s">
        <v>987</v>
      </c>
      <c r="B38" s="20" t="s">
        <v>34</v>
      </c>
      <c r="C38" s="20" t="s">
        <v>64</v>
      </c>
      <c r="D38" s="20" t="s">
        <v>63</v>
      </c>
      <c r="E38" s="20" t="s">
        <v>891</v>
      </c>
      <c r="F38" s="20" t="s">
        <v>892</v>
      </c>
      <c r="G38" s="20" t="s">
        <v>893</v>
      </c>
      <c r="H38" s="20" t="s">
        <v>894</v>
      </c>
      <c r="I38" s="20" t="s">
        <v>895</v>
      </c>
      <c r="J38" s="20" t="s">
        <v>896</v>
      </c>
      <c r="K38" s="20" t="s">
        <v>897</v>
      </c>
      <c r="L38" s="20" t="s">
        <v>898</v>
      </c>
      <c r="M38" s="20" t="s">
        <v>899</v>
      </c>
      <c r="N38" s="20" t="s">
        <v>900</v>
      </c>
      <c r="O38" s="20" t="s">
        <v>901</v>
      </c>
      <c r="P38" s="20" t="s">
        <v>902</v>
      </c>
      <c r="Q38" s="20" t="s">
        <v>40</v>
      </c>
      <c r="R38" s="20" t="s">
        <v>38</v>
      </c>
      <c r="S38" s="21" t="s">
        <v>5</v>
      </c>
    </row>
    <row r="39" spans="1:19" x14ac:dyDescent="0.2">
      <c r="A39" s="354" t="s">
        <v>988</v>
      </c>
      <c r="B39" s="140" t="s">
        <v>890</v>
      </c>
      <c r="C39" s="147">
        <f>SUM(E39+G39+I39)</f>
        <v>0</v>
      </c>
      <c r="D39" s="141" t="s">
        <v>1084</v>
      </c>
      <c r="E39" s="61"/>
      <c r="F39" s="61">
        <v>62889</v>
      </c>
      <c r="G39" s="86"/>
      <c r="H39" s="86">
        <v>21310</v>
      </c>
      <c r="I39" s="86"/>
      <c r="J39" s="86">
        <v>37168</v>
      </c>
      <c r="K39" s="86"/>
      <c r="L39" s="86"/>
      <c r="M39" s="86"/>
      <c r="N39" s="86"/>
      <c r="O39" s="86"/>
      <c r="P39" s="86"/>
      <c r="Q39" s="143"/>
      <c r="R39" s="140"/>
      <c r="S39" s="45"/>
    </row>
    <row r="40" spans="1:19" x14ac:dyDescent="0.2">
      <c r="A40" s="155"/>
      <c r="B40" s="140" t="s">
        <v>1080</v>
      </c>
      <c r="C40" s="147">
        <f>G40</f>
        <v>0</v>
      </c>
      <c r="D40" s="141" t="s">
        <v>1084</v>
      </c>
      <c r="E40" s="156"/>
      <c r="F40" s="156"/>
      <c r="G40" s="86"/>
      <c r="H40" s="86">
        <v>34284.81</v>
      </c>
      <c r="I40" s="86"/>
      <c r="J40" s="86"/>
      <c r="K40" s="86"/>
      <c r="L40" s="86"/>
      <c r="M40" s="86"/>
      <c r="N40" s="86"/>
      <c r="O40" s="86"/>
      <c r="P40" s="86"/>
      <c r="Q40" s="140"/>
      <c r="R40" s="140"/>
      <c r="S40" s="149"/>
    </row>
    <row r="41" spans="1:19" x14ac:dyDescent="0.2">
      <c r="A41" s="155"/>
      <c r="B41" s="253" t="s">
        <v>1080</v>
      </c>
      <c r="C41" s="147"/>
      <c r="D41" s="255">
        <v>45247</v>
      </c>
      <c r="E41" s="156"/>
      <c r="F41" s="156"/>
      <c r="G41" s="131"/>
      <c r="H41" s="131">
        <v>-1500</v>
      </c>
      <c r="I41" s="131"/>
      <c r="J41" s="131"/>
      <c r="K41" s="131"/>
      <c r="L41" s="131"/>
      <c r="M41" s="131"/>
      <c r="N41" s="131"/>
      <c r="O41" s="131"/>
      <c r="P41" s="131"/>
      <c r="Q41" s="253"/>
      <c r="R41" s="253" t="s">
        <v>1126</v>
      </c>
      <c r="S41" s="149" t="s">
        <v>1137</v>
      </c>
    </row>
    <row r="42" spans="1:19" x14ac:dyDescent="0.2">
      <c r="A42" s="155"/>
      <c r="B42" s="253" t="s">
        <v>1080</v>
      </c>
      <c r="C42" s="147"/>
      <c r="D42" s="255">
        <v>45250</v>
      </c>
      <c r="E42" s="156"/>
      <c r="F42" s="156"/>
      <c r="G42" s="131"/>
      <c r="H42" s="131">
        <v>-300</v>
      </c>
      <c r="I42" s="131"/>
      <c r="J42" s="131"/>
      <c r="K42" s="131"/>
      <c r="L42" s="131"/>
      <c r="M42" s="131"/>
      <c r="N42" s="131"/>
      <c r="O42" s="131"/>
      <c r="P42" s="131"/>
      <c r="Q42" s="253"/>
      <c r="R42" s="253" t="s">
        <v>1126</v>
      </c>
      <c r="S42" s="149"/>
    </row>
    <row r="43" spans="1:19" x14ac:dyDescent="0.2">
      <c r="A43" s="155"/>
      <c r="B43" s="253" t="s">
        <v>618</v>
      </c>
      <c r="C43" s="147">
        <f>SUM(E43+G43+I43)</f>
        <v>0</v>
      </c>
      <c r="D43" s="255" t="s">
        <v>1084</v>
      </c>
      <c r="E43" s="156"/>
      <c r="F43" s="156">
        <v>25500</v>
      </c>
      <c r="G43" s="131"/>
      <c r="H43" s="131">
        <v>25500</v>
      </c>
      <c r="I43" s="131"/>
      <c r="J43" s="131">
        <v>15000</v>
      </c>
      <c r="K43" s="131"/>
      <c r="L43" s="131"/>
      <c r="M43" s="131"/>
      <c r="N43" s="131"/>
      <c r="O43" s="131"/>
      <c r="P43" s="131"/>
      <c r="Q43" s="253"/>
      <c r="R43" s="253"/>
      <c r="S43" s="149"/>
    </row>
    <row r="44" spans="1:19" x14ac:dyDescent="0.2">
      <c r="A44" s="155"/>
      <c r="B44" s="253" t="s">
        <v>1082</v>
      </c>
      <c r="C44" s="147">
        <f>SUM(E44+G44+I44)</f>
        <v>0</v>
      </c>
      <c r="D44" s="255" t="s">
        <v>1084</v>
      </c>
      <c r="E44" s="156"/>
      <c r="F44" s="156">
        <v>33333</v>
      </c>
      <c r="G44" s="131"/>
      <c r="H44" s="131">
        <v>33333</v>
      </c>
      <c r="I44" s="131"/>
      <c r="J44" s="131">
        <v>33334</v>
      </c>
      <c r="K44" s="131"/>
      <c r="L44" s="131"/>
      <c r="M44" s="131"/>
      <c r="N44" s="131"/>
      <c r="O44" s="131"/>
      <c r="P44" s="131"/>
      <c r="Q44" s="253"/>
      <c r="R44" s="253"/>
      <c r="S44" s="149"/>
    </row>
    <row r="45" spans="1:19" x14ac:dyDescent="0.2">
      <c r="A45" s="155"/>
      <c r="B45" s="253" t="s">
        <v>1083</v>
      </c>
      <c r="C45" s="147">
        <f>SUM(E45+G45)</f>
        <v>0</v>
      </c>
      <c r="D45" s="255" t="s">
        <v>1084</v>
      </c>
      <c r="E45" s="156"/>
      <c r="F45" s="156">
        <v>28375</v>
      </c>
      <c r="G45" s="131"/>
      <c r="H45" s="131">
        <v>28375</v>
      </c>
      <c r="I45" s="131"/>
      <c r="J45" s="131"/>
      <c r="K45" s="131"/>
      <c r="L45" s="131"/>
      <c r="M45" s="131"/>
      <c r="N45" s="131"/>
      <c r="O45" s="131"/>
      <c r="P45" s="131"/>
      <c r="Q45" s="253"/>
      <c r="R45" s="253"/>
      <c r="S45" s="149"/>
    </row>
    <row r="46" spans="1:19" x14ac:dyDescent="0.2">
      <c r="A46" s="155"/>
      <c r="B46" s="253"/>
      <c r="C46" s="147"/>
      <c r="D46" s="255"/>
      <c r="E46" s="156"/>
      <c r="F46" s="86"/>
      <c r="G46" s="131"/>
      <c r="H46" s="131"/>
      <c r="I46" s="131"/>
      <c r="J46" s="131"/>
      <c r="K46" s="131"/>
      <c r="L46" s="131"/>
      <c r="M46" s="131"/>
      <c r="N46" s="131"/>
      <c r="O46" s="131"/>
      <c r="P46" s="131"/>
      <c r="Q46" s="253"/>
      <c r="R46" s="253"/>
      <c r="S46" s="149"/>
    </row>
    <row r="47" spans="1:19" x14ac:dyDescent="0.2">
      <c r="A47" s="152" t="s">
        <v>43</v>
      </c>
      <c r="B47" s="303"/>
      <c r="C47" s="352">
        <f>SUM(C39:C46)</f>
        <v>0</v>
      </c>
      <c r="D47" s="12"/>
      <c r="E47" s="330">
        <f t="shared" ref="E47:J47" si="8">SUM(E39:E46)</f>
        <v>0</v>
      </c>
      <c r="F47" s="330">
        <f t="shared" si="8"/>
        <v>150097</v>
      </c>
      <c r="G47" s="78">
        <f t="shared" si="8"/>
        <v>0</v>
      </c>
      <c r="H47" s="78">
        <f t="shared" si="8"/>
        <v>141002.81</v>
      </c>
      <c r="I47" s="78">
        <f t="shared" si="8"/>
        <v>0</v>
      </c>
      <c r="J47" s="78">
        <f t="shared" si="8"/>
        <v>85502</v>
      </c>
      <c r="K47" s="78"/>
      <c r="L47" s="78"/>
      <c r="M47" s="78"/>
      <c r="N47" s="78"/>
      <c r="O47" s="78"/>
      <c r="P47" s="78"/>
      <c r="R47" s="11"/>
      <c r="S47" s="149"/>
    </row>
    <row r="48" spans="1:19" x14ac:dyDescent="0.2">
      <c r="A48" s="334"/>
      <c r="B48" s="348"/>
      <c r="C48" s="349"/>
      <c r="D48" s="350"/>
      <c r="E48" s="321"/>
      <c r="F48" s="321"/>
      <c r="G48" s="351"/>
      <c r="H48" s="351"/>
      <c r="I48" s="351"/>
      <c r="J48" s="351"/>
      <c r="K48" s="351"/>
      <c r="L48" s="351"/>
      <c r="M48" s="351"/>
      <c r="N48" s="351"/>
      <c r="O48" s="351"/>
      <c r="P48" s="351"/>
      <c r="Q48" s="328"/>
      <c r="R48" s="327"/>
      <c r="S48" s="322"/>
    </row>
    <row r="49" spans="1:19" x14ac:dyDescent="0.2">
      <c r="A49" s="355" t="s">
        <v>986</v>
      </c>
      <c r="B49" s="303"/>
      <c r="C49" s="147"/>
      <c r="D49" s="12"/>
      <c r="E49" s="86"/>
      <c r="F49" s="86"/>
      <c r="G49" s="131"/>
      <c r="H49" s="131"/>
      <c r="I49" s="131"/>
      <c r="J49" s="131"/>
      <c r="K49" s="131"/>
      <c r="L49" s="131"/>
      <c r="M49" s="131"/>
      <c r="N49" s="131"/>
      <c r="O49" s="131"/>
      <c r="P49" s="131"/>
      <c r="R49" s="11"/>
      <c r="S49" s="149"/>
    </row>
    <row r="50" spans="1:19" ht="25.5" x14ac:dyDescent="0.2">
      <c r="A50" s="155"/>
      <c r="B50" s="303" t="s">
        <v>889</v>
      </c>
      <c r="C50" s="147">
        <f>11500+9325</f>
        <v>20825</v>
      </c>
      <c r="D50" s="434" t="s">
        <v>1113</v>
      </c>
      <c r="E50" s="86">
        <f>(11500+9325)-14962.5</f>
        <v>5862.5</v>
      </c>
      <c r="F50" s="86">
        <v>14962.5</v>
      </c>
      <c r="G50" s="131"/>
      <c r="H50" s="131"/>
      <c r="I50" s="131"/>
      <c r="J50" s="131"/>
      <c r="K50" s="131"/>
      <c r="L50" s="131"/>
      <c r="M50" s="131"/>
      <c r="N50" s="131"/>
      <c r="O50" s="131"/>
      <c r="P50" s="131"/>
      <c r="Q50" t="s">
        <v>1122</v>
      </c>
      <c r="R50" s="11" t="s">
        <v>1006</v>
      </c>
      <c r="S50" s="149" t="s">
        <v>1103</v>
      </c>
    </row>
    <row r="51" spans="1:19" x14ac:dyDescent="0.2">
      <c r="A51" s="155"/>
      <c r="B51" s="253" t="s">
        <v>1080</v>
      </c>
      <c r="C51" s="147">
        <v>44525</v>
      </c>
      <c r="D51" s="12" t="s">
        <v>1092</v>
      </c>
      <c r="E51" s="86"/>
      <c r="F51" s="86"/>
      <c r="G51" s="131"/>
      <c r="H51" s="131">
        <v>22262.5</v>
      </c>
      <c r="I51" s="131"/>
      <c r="J51" s="131"/>
      <c r="K51" s="131"/>
      <c r="L51" s="131"/>
      <c r="M51" s="131"/>
      <c r="N51" s="131"/>
      <c r="O51" s="131"/>
      <c r="P51" s="131"/>
      <c r="R51" s="11" t="s">
        <v>1081</v>
      </c>
      <c r="S51" s="149" t="s">
        <v>1085</v>
      </c>
    </row>
    <row r="52" spans="1:19" x14ac:dyDescent="0.2">
      <c r="A52" s="155"/>
      <c r="B52" s="253"/>
      <c r="C52" s="147"/>
      <c r="D52" s="12">
        <v>45247</v>
      </c>
      <c r="E52" s="86"/>
      <c r="F52" s="86"/>
      <c r="G52" s="131">
        <f>C51-H51-H52</f>
        <v>21080</v>
      </c>
      <c r="H52" s="131">
        <v>1182.5</v>
      </c>
      <c r="I52" s="131"/>
      <c r="J52" s="131"/>
      <c r="K52" s="131"/>
      <c r="L52" s="131"/>
      <c r="M52" s="131"/>
      <c r="N52" s="131"/>
      <c r="O52" s="131"/>
      <c r="P52" s="131"/>
      <c r="Q52" t="s">
        <v>1132</v>
      </c>
      <c r="R52" s="11" t="s">
        <v>1081</v>
      </c>
      <c r="S52" s="149"/>
    </row>
    <row r="53" spans="1:19" x14ac:dyDescent="0.2">
      <c r="A53" s="155"/>
      <c r="B53" s="253"/>
      <c r="C53" s="147"/>
      <c r="D53" s="12"/>
      <c r="E53" s="86"/>
      <c r="F53" s="86"/>
      <c r="G53" s="131">
        <v>-21080</v>
      </c>
      <c r="H53" s="131"/>
      <c r="I53" s="131"/>
      <c r="J53" s="131"/>
      <c r="K53" s="131"/>
      <c r="L53" s="131"/>
      <c r="M53" s="131"/>
      <c r="N53" s="131"/>
      <c r="O53" s="131"/>
      <c r="P53" s="131"/>
      <c r="R53" s="11"/>
      <c r="S53" s="149" t="s">
        <v>66</v>
      </c>
    </row>
    <row r="54" spans="1:19" x14ac:dyDescent="0.2">
      <c r="A54" s="155"/>
      <c r="B54" s="253" t="s">
        <v>890</v>
      </c>
      <c r="C54" s="147">
        <v>15000</v>
      </c>
      <c r="D54" s="434" t="s">
        <v>1127</v>
      </c>
      <c r="E54" s="86"/>
      <c r="F54" s="86">
        <v>14720</v>
      </c>
      <c r="G54" s="131"/>
      <c r="H54" s="131"/>
      <c r="I54" s="131"/>
      <c r="J54" s="131"/>
      <c r="K54" s="131"/>
      <c r="L54" s="131"/>
      <c r="M54" s="131"/>
      <c r="N54" s="131"/>
      <c r="O54" s="131"/>
      <c r="P54" s="131"/>
      <c r="Q54" t="s">
        <v>1130</v>
      </c>
      <c r="R54" s="11" t="s">
        <v>1006</v>
      </c>
      <c r="S54" s="149"/>
    </row>
    <row r="55" spans="1:19" x14ac:dyDescent="0.2">
      <c r="A55" s="155"/>
      <c r="B55" s="253"/>
      <c r="C55" s="147"/>
      <c r="D55" s="434"/>
      <c r="E55" s="86">
        <f>15000-14720</f>
        <v>280</v>
      </c>
      <c r="F55" s="86"/>
      <c r="G55" s="131"/>
      <c r="H55" s="131"/>
      <c r="I55" s="131"/>
      <c r="J55" s="131"/>
      <c r="K55" s="131"/>
      <c r="L55" s="131"/>
      <c r="M55" s="131"/>
      <c r="N55" s="131"/>
      <c r="O55" s="131"/>
      <c r="P55" s="131"/>
      <c r="R55" s="11"/>
      <c r="S55" s="149"/>
    </row>
    <row r="56" spans="1:19" x14ac:dyDescent="0.2">
      <c r="A56" s="155"/>
      <c r="B56" s="253"/>
      <c r="C56" s="147"/>
      <c r="D56" s="12"/>
      <c r="E56" s="86">
        <v>-280</v>
      </c>
      <c r="F56" s="86"/>
      <c r="G56" s="131"/>
      <c r="H56" s="131"/>
      <c r="I56" s="131"/>
      <c r="J56" s="131"/>
      <c r="K56" s="131"/>
      <c r="L56" s="131"/>
      <c r="M56" s="131"/>
      <c r="N56" s="131"/>
      <c r="O56" s="131"/>
      <c r="P56" s="131"/>
      <c r="R56" s="11"/>
      <c r="S56" s="149" t="s">
        <v>1131</v>
      </c>
    </row>
    <row r="57" spans="1:19" ht="13.5" thickBot="1" x14ac:dyDescent="0.25">
      <c r="A57" s="353" t="s">
        <v>43</v>
      </c>
      <c r="B57" s="30"/>
      <c r="C57" s="312">
        <f>SUM(C50:C56)</f>
        <v>80350</v>
      </c>
      <c r="D57" s="30"/>
      <c r="E57" s="59">
        <f t="shared" ref="E57:P57" si="9">SUM(E49:E56)</f>
        <v>5862.5</v>
      </c>
      <c r="F57" s="59">
        <f t="shared" si="9"/>
        <v>29682.5</v>
      </c>
      <c r="G57" s="59">
        <f t="shared" si="9"/>
        <v>0</v>
      </c>
      <c r="H57" s="59">
        <f t="shared" si="9"/>
        <v>23445</v>
      </c>
      <c r="I57" s="59">
        <f t="shared" si="9"/>
        <v>0</v>
      </c>
      <c r="J57" s="59">
        <f t="shared" si="9"/>
        <v>0</v>
      </c>
      <c r="K57" s="59">
        <f t="shared" si="9"/>
        <v>0</v>
      </c>
      <c r="L57" s="59">
        <f t="shared" si="9"/>
        <v>0</v>
      </c>
      <c r="M57" s="59">
        <f t="shared" si="9"/>
        <v>0</v>
      </c>
      <c r="N57" s="59">
        <f t="shared" si="9"/>
        <v>0</v>
      </c>
      <c r="O57" s="59">
        <f t="shared" si="9"/>
        <v>0</v>
      </c>
      <c r="P57" s="59">
        <f t="shared" si="9"/>
        <v>0</v>
      </c>
      <c r="Q57" s="30"/>
      <c r="R57" s="30"/>
      <c r="S57" s="31"/>
    </row>
    <row r="58" spans="1:19" ht="13.5" thickBot="1" x14ac:dyDescent="0.25"/>
    <row r="59" spans="1:19" ht="21" thickBot="1" x14ac:dyDescent="0.25">
      <c r="A59" s="489" t="s">
        <v>990</v>
      </c>
      <c r="B59" s="490"/>
      <c r="C59" s="490"/>
      <c r="D59" s="490"/>
      <c r="E59" s="490"/>
      <c r="F59" s="490"/>
      <c r="G59" s="490"/>
      <c r="H59" s="490"/>
      <c r="I59" s="490"/>
      <c r="J59" s="490"/>
      <c r="K59" s="490"/>
      <c r="L59" s="490"/>
      <c r="M59" s="490"/>
      <c r="N59" s="490"/>
      <c r="O59" s="490"/>
      <c r="P59" s="490"/>
      <c r="Q59" s="490"/>
      <c r="R59" s="490"/>
      <c r="S59" s="491"/>
    </row>
    <row r="60" spans="1:19" x14ac:dyDescent="0.2">
      <c r="A60" s="41"/>
      <c r="B60" s="13" t="s">
        <v>52</v>
      </c>
      <c r="C60" s="13" t="s">
        <v>53</v>
      </c>
      <c r="D60" s="13" t="s">
        <v>14</v>
      </c>
      <c r="E60" s="13" t="s">
        <v>56</v>
      </c>
      <c r="F60" s="13" t="s">
        <v>55</v>
      </c>
      <c r="G60" s="13" t="s">
        <v>101</v>
      </c>
      <c r="H60" s="13"/>
      <c r="I60" s="13"/>
      <c r="J60" s="13"/>
      <c r="K60" s="13"/>
      <c r="L60" s="13"/>
      <c r="M60" s="13"/>
      <c r="N60" s="13"/>
      <c r="O60" s="13"/>
      <c r="P60" s="13"/>
      <c r="R60" s="13"/>
      <c r="S60" s="311" t="s">
        <v>923</v>
      </c>
    </row>
    <row r="61" spans="1:19" x14ac:dyDescent="0.2">
      <c r="A61" s="41" t="s">
        <v>864</v>
      </c>
      <c r="B61" s="18">
        <v>141667</v>
      </c>
      <c r="C61" s="18">
        <v>141667</v>
      </c>
      <c r="D61" s="18">
        <v>141667</v>
      </c>
      <c r="E61" s="18">
        <v>25000</v>
      </c>
      <c r="F61" s="18">
        <v>25000</v>
      </c>
      <c r="G61" s="18">
        <v>25000</v>
      </c>
      <c r="H61" s="18"/>
      <c r="I61" s="18"/>
      <c r="J61" s="18"/>
      <c r="K61" s="18"/>
      <c r="L61" s="18"/>
      <c r="M61" s="18"/>
      <c r="N61" s="18"/>
      <c r="O61" s="18"/>
      <c r="P61" s="18"/>
      <c r="R61" s="305">
        <f>SUM(B61:P61)</f>
        <v>500001</v>
      </c>
      <c r="S61" s="39"/>
    </row>
    <row r="62" spans="1:19" x14ac:dyDescent="0.2">
      <c r="A62" s="41" t="s">
        <v>36</v>
      </c>
      <c r="B62" s="18">
        <f>IF(B93&gt;B61,B61,B93)</f>
        <v>0</v>
      </c>
      <c r="C62" s="18">
        <f>IF(C93&gt;C61,C61,C93)</f>
        <v>0</v>
      </c>
      <c r="D62" s="18">
        <f>IF(D93&gt;D61,D61,D93)</f>
        <v>0</v>
      </c>
      <c r="E62" s="18">
        <f>IF(E93&gt;E61,E61,E93)</f>
        <v>0</v>
      </c>
      <c r="F62" s="18">
        <f>IF(F93&gt;F61,F61,F93)</f>
        <v>0</v>
      </c>
      <c r="G62" s="18">
        <f>IF(Q93&gt;G61,G61,Q93)</f>
        <v>0</v>
      </c>
      <c r="H62" s="18"/>
      <c r="I62" s="18"/>
      <c r="J62" s="18"/>
      <c r="K62" s="18"/>
      <c r="L62" s="18"/>
      <c r="M62" s="18"/>
      <c r="N62" s="18"/>
      <c r="O62" s="18"/>
      <c r="P62" s="18"/>
      <c r="R62" s="13"/>
      <c r="S62" s="39"/>
    </row>
    <row r="63" spans="1:19" x14ac:dyDescent="0.2">
      <c r="A63" s="41" t="s">
        <v>862</v>
      </c>
      <c r="B63" s="18">
        <f>B61+B62</f>
        <v>141667</v>
      </c>
      <c r="C63" s="18">
        <f>SUM(C61:C62)</f>
        <v>141667</v>
      </c>
      <c r="D63" s="18">
        <f>SUM(D61:D62)</f>
        <v>141667</v>
      </c>
      <c r="E63" s="18">
        <f>SUM(E61:E62)</f>
        <v>25000</v>
      </c>
      <c r="F63" s="18">
        <f>SUM(F61:F62)</f>
        <v>25000</v>
      </c>
      <c r="G63" s="18">
        <f>SUM(G61:G62)</f>
        <v>25000</v>
      </c>
      <c r="H63" s="18"/>
      <c r="I63" s="18"/>
      <c r="J63" s="18"/>
      <c r="K63" s="18"/>
      <c r="L63" s="18"/>
      <c r="M63" s="18"/>
      <c r="N63" s="18"/>
      <c r="O63" s="18"/>
      <c r="P63" s="18"/>
      <c r="R63" s="13"/>
      <c r="S63" s="39" t="s">
        <v>107</v>
      </c>
    </row>
    <row r="64" spans="1:19" x14ac:dyDescent="0.2">
      <c r="A64" s="41" t="s">
        <v>47</v>
      </c>
      <c r="B64" s="18">
        <f>B93</f>
        <v>0</v>
      </c>
      <c r="C64" s="18">
        <f>IF(C94&gt;C88,C88,C94)</f>
        <v>0</v>
      </c>
      <c r="D64" s="18">
        <f>IF(D94&gt;D88,D88,D94)</f>
        <v>0</v>
      </c>
      <c r="E64" s="18">
        <f>IF(E94&gt;E88,E88,E94)</f>
        <v>0</v>
      </c>
      <c r="F64" s="18">
        <f>IF(F94&gt;F88,F88,F94)</f>
        <v>0</v>
      </c>
      <c r="G64" s="18">
        <f>IF(Q94&gt;Q88,Q88,Q94)</f>
        <v>0</v>
      </c>
      <c r="H64" s="18"/>
      <c r="I64" s="18"/>
      <c r="J64" s="18"/>
      <c r="K64" s="18"/>
      <c r="L64" s="18"/>
      <c r="M64" s="18"/>
      <c r="N64" s="18"/>
      <c r="O64" s="18"/>
      <c r="P64" s="18"/>
      <c r="R64" s="13"/>
      <c r="S64" s="39"/>
    </row>
    <row r="65" spans="1:19" x14ac:dyDescent="0.2">
      <c r="A65" s="41" t="s">
        <v>479</v>
      </c>
      <c r="B65" s="18">
        <f t="shared" ref="B65:G65" si="10">B64+B61</f>
        <v>141667</v>
      </c>
      <c r="C65" s="18">
        <f t="shared" si="10"/>
        <v>141667</v>
      </c>
      <c r="D65" s="18">
        <f t="shared" si="10"/>
        <v>141667</v>
      </c>
      <c r="E65" s="18">
        <f t="shared" si="10"/>
        <v>25000</v>
      </c>
      <c r="F65" s="18">
        <f t="shared" si="10"/>
        <v>25000</v>
      </c>
      <c r="G65" s="18">
        <f t="shared" si="10"/>
        <v>25000</v>
      </c>
      <c r="H65" s="18"/>
      <c r="I65" s="18"/>
      <c r="J65" s="18"/>
      <c r="K65" s="18"/>
      <c r="L65" s="18"/>
      <c r="M65" s="18"/>
      <c r="N65" s="18"/>
      <c r="O65" s="18"/>
      <c r="P65" s="18"/>
      <c r="R65" s="13"/>
      <c r="S65" s="39" t="s">
        <v>108</v>
      </c>
    </row>
    <row r="66" spans="1:19" x14ac:dyDescent="0.2">
      <c r="A66" s="41" t="s">
        <v>39</v>
      </c>
      <c r="B66" s="18">
        <f>B63-(F84)</f>
        <v>117009.65424999999</v>
      </c>
      <c r="C66" s="18">
        <f>C63-E84</f>
        <v>141092.41574999999</v>
      </c>
      <c r="D66" s="18">
        <f>D63-F84</f>
        <v>117009.65424999999</v>
      </c>
      <c r="E66" s="18">
        <f>E63-Q84</f>
        <v>25000</v>
      </c>
      <c r="F66" s="18">
        <f>F63-R84</f>
        <v>25000</v>
      </c>
      <c r="G66" s="18">
        <f>G63-S84</f>
        <v>25000</v>
      </c>
      <c r="H66" s="18"/>
      <c r="I66" s="18"/>
      <c r="J66" s="18"/>
      <c r="K66" s="18"/>
      <c r="L66" s="18"/>
      <c r="M66" s="18"/>
      <c r="N66" s="18"/>
      <c r="O66" s="18"/>
      <c r="P66" s="18"/>
      <c r="R66" s="13"/>
      <c r="S66" s="39" t="s">
        <v>109</v>
      </c>
    </row>
    <row r="67" spans="1:19" ht="25.5" x14ac:dyDescent="0.2">
      <c r="A67" s="41" t="s">
        <v>799</v>
      </c>
      <c r="B67" s="40">
        <f>B65-(E84+F84)</f>
        <v>116435.07</v>
      </c>
      <c r="C67" s="40">
        <f>C65-(G84+H84)</f>
        <v>96338.01999999999</v>
      </c>
      <c r="D67" s="40">
        <f>D65-(I84+J84)</f>
        <v>110484.18</v>
      </c>
      <c r="E67" s="40">
        <f>E65-(K84+L84)</f>
        <v>22351.255000000001</v>
      </c>
      <c r="F67" s="40">
        <f>F65-(M84+N84)</f>
        <v>22351.255000000001</v>
      </c>
      <c r="G67" s="40">
        <f>G65-(O84+P84)</f>
        <v>22351.255000000001</v>
      </c>
      <c r="H67" s="47"/>
      <c r="I67" s="47"/>
      <c r="J67" s="47"/>
      <c r="K67" s="47"/>
      <c r="L67" s="47"/>
      <c r="M67" s="47"/>
      <c r="N67" s="47"/>
      <c r="O67" s="47"/>
      <c r="P67" s="47"/>
      <c r="R67" s="305"/>
      <c r="S67" s="304" t="s">
        <v>110</v>
      </c>
    </row>
    <row r="68" spans="1:19" ht="21" thickBot="1" x14ac:dyDescent="0.35">
      <c r="A68" s="41"/>
      <c r="B68" s="13"/>
      <c r="C68" s="13"/>
      <c r="D68" s="13"/>
      <c r="E68" s="14"/>
      <c r="F68" s="14"/>
      <c r="G68" s="14"/>
      <c r="H68" s="14"/>
      <c r="I68" s="14"/>
      <c r="J68" s="14"/>
      <c r="K68" s="14"/>
      <c r="L68" s="14"/>
      <c r="M68" s="14"/>
      <c r="N68" s="14"/>
      <c r="O68" s="14"/>
      <c r="P68" s="14"/>
      <c r="Q68" s="13"/>
      <c r="R68" s="13"/>
      <c r="S68" s="39"/>
    </row>
    <row r="69" spans="1:19" ht="51" x14ac:dyDescent="0.2">
      <c r="A69" s="19" t="s">
        <v>41</v>
      </c>
      <c r="B69" s="20" t="s">
        <v>34</v>
      </c>
      <c r="C69" s="20" t="s">
        <v>64</v>
      </c>
      <c r="D69" s="20" t="s">
        <v>63</v>
      </c>
      <c r="E69" s="20" t="s">
        <v>891</v>
      </c>
      <c r="F69" s="20" t="s">
        <v>892</v>
      </c>
      <c r="G69" s="20" t="s">
        <v>893</v>
      </c>
      <c r="H69" s="20" t="s">
        <v>894</v>
      </c>
      <c r="I69" s="20" t="s">
        <v>895</v>
      </c>
      <c r="J69" s="20" t="s">
        <v>896</v>
      </c>
      <c r="K69" s="20" t="s">
        <v>897</v>
      </c>
      <c r="L69" s="20" t="s">
        <v>898</v>
      </c>
      <c r="M69" s="20" t="s">
        <v>899</v>
      </c>
      <c r="N69" s="20" t="s">
        <v>900</v>
      </c>
      <c r="O69" s="20" t="s">
        <v>901</v>
      </c>
      <c r="P69" s="20" t="s">
        <v>902</v>
      </c>
      <c r="Q69" s="20" t="s">
        <v>40</v>
      </c>
      <c r="R69" s="20" t="s">
        <v>38</v>
      </c>
      <c r="S69" s="21" t="s">
        <v>5</v>
      </c>
    </row>
    <row r="70" spans="1:19" x14ac:dyDescent="0.2">
      <c r="A70" s="25" t="s">
        <v>42</v>
      </c>
      <c r="B70" s="143"/>
      <c r="C70" s="147"/>
      <c r="D70" s="141"/>
      <c r="E70" s="61"/>
      <c r="F70" s="87"/>
      <c r="G70" s="86"/>
      <c r="H70" s="86"/>
      <c r="I70" s="86"/>
      <c r="J70" s="86"/>
      <c r="K70" s="86"/>
      <c r="L70" s="86"/>
      <c r="M70" s="86"/>
      <c r="N70" s="86"/>
      <c r="O70" s="86"/>
      <c r="P70" s="86"/>
      <c r="Q70" s="143"/>
      <c r="R70" s="140"/>
      <c r="S70" s="45"/>
    </row>
    <row r="71" spans="1:19" x14ac:dyDescent="0.2">
      <c r="A71" s="155"/>
      <c r="B71" s="140" t="s">
        <v>618</v>
      </c>
      <c r="C71" s="147"/>
      <c r="D71" s="141"/>
      <c r="E71" s="156"/>
      <c r="F71" s="86"/>
      <c r="G71" s="86"/>
      <c r="H71" s="86"/>
      <c r="I71" s="86"/>
      <c r="J71" s="86"/>
      <c r="K71" s="86"/>
      <c r="L71" s="86"/>
      <c r="M71" s="86"/>
      <c r="N71" s="86"/>
      <c r="O71" s="86"/>
      <c r="P71" s="86"/>
      <c r="Q71" s="140"/>
      <c r="R71" s="140"/>
      <c r="S71" s="149"/>
    </row>
    <row r="72" spans="1:19" x14ac:dyDescent="0.2">
      <c r="A72" s="406" t="s">
        <v>909</v>
      </c>
      <c r="B72" s="253" t="s">
        <v>888</v>
      </c>
      <c r="C72" s="147">
        <v>4050</v>
      </c>
      <c r="D72" s="255" t="s">
        <v>919</v>
      </c>
      <c r="E72" s="156"/>
      <c r="F72" s="86"/>
      <c r="G72" s="131"/>
      <c r="H72" s="131">
        <v>4050</v>
      </c>
      <c r="I72" s="131"/>
      <c r="J72" s="131"/>
      <c r="K72" s="131"/>
      <c r="L72" s="131"/>
      <c r="M72" s="131"/>
      <c r="N72" s="131"/>
      <c r="O72" s="131"/>
      <c r="P72" s="131"/>
      <c r="Q72" s="253" t="s">
        <v>951</v>
      </c>
      <c r="R72" s="253" t="s">
        <v>909</v>
      </c>
      <c r="S72" s="149" t="s">
        <v>92</v>
      </c>
    </row>
    <row r="73" spans="1:19" x14ac:dyDescent="0.2">
      <c r="A73" s="155" t="s">
        <v>922</v>
      </c>
      <c r="B73" s="253" t="s">
        <v>888</v>
      </c>
      <c r="C73" s="147">
        <v>7350</v>
      </c>
      <c r="D73" s="255" t="s">
        <v>930</v>
      </c>
      <c r="E73" s="156"/>
      <c r="F73" s="86"/>
      <c r="G73" s="131"/>
      <c r="H73" s="131">
        <v>6420</v>
      </c>
      <c r="I73" s="131"/>
      <c r="J73" s="131"/>
      <c r="K73" s="131"/>
      <c r="L73" s="131"/>
      <c r="M73" s="131"/>
      <c r="N73" s="131"/>
      <c r="O73" s="131"/>
      <c r="P73" s="131"/>
      <c r="Q73" s="253" t="s">
        <v>1029</v>
      </c>
      <c r="R73" s="253" t="s">
        <v>1030</v>
      </c>
      <c r="S73" s="149" t="s">
        <v>92</v>
      </c>
    </row>
    <row r="74" spans="1:19" x14ac:dyDescent="0.2">
      <c r="A74" s="155" t="s">
        <v>920</v>
      </c>
      <c r="B74" s="253" t="s">
        <v>888</v>
      </c>
      <c r="C74" s="147">
        <v>2400</v>
      </c>
      <c r="D74" s="255" t="s">
        <v>945</v>
      </c>
      <c r="E74" s="156"/>
      <c r="F74" s="86"/>
      <c r="G74" s="131"/>
      <c r="H74" s="131">
        <v>2400</v>
      </c>
      <c r="I74" s="131"/>
      <c r="J74" s="131"/>
      <c r="K74" s="131"/>
      <c r="L74" s="131"/>
      <c r="M74" s="131"/>
      <c r="N74" s="131"/>
      <c r="O74" s="131"/>
      <c r="P74" s="131"/>
      <c r="Q74" s="253" t="s">
        <v>1031</v>
      </c>
      <c r="R74" s="253" t="s">
        <v>920</v>
      </c>
      <c r="S74" s="149" t="s">
        <v>92</v>
      </c>
    </row>
    <row r="75" spans="1:19" ht="38.25" x14ac:dyDescent="0.2">
      <c r="A75" s="155" t="s">
        <v>953</v>
      </c>
      <c r="B75" s="253" t="s">
        <v>888</v>
      </c>
      <c r="C75" s="147">
        <v>10350</v>
      </c>
      <c r="D75" s="405" t="s">
        <v>1019</v>
      </c>
      <c r="E75" s="156"/>
      <c r="F75" s="86">
        <v>4860</v>
      </c>
      <c r="G75" s="131"/>
      <c r="H75" s="131">
        <v>4860</v>
      </c>
      <c r="I75" s="131"/>
      <c r="J75" s="131"/>
      <c r="K75" s="131"/>
      <c r="L75" s="131"/>
      <c r="M75" s="131"/>
      <c r="N75" s="131"/>
      <c r="O75" s="131"/>
      <c r="P75" s="131"/>
      <c r="Q75" s="253" t="s">
        <v>1033</v>
      </c>
      <c r="R75" s="253" t="s">
        <v>953</v>
      </c>
      <c r="S75" s="149" t="s">
        <v>1020</v>
      </c>
    </row>
    <row r="76" spans="1:19" ht="13.5" thickBot="1" x14ac:dyDescent="0.25">
      <c r="A76" s="155" t="s">
        <v>921</v>
      </c>
      <c r="B76" s="253" t="s">
        <v>888</v>
      </c>
      <c r="C76" s="147">
        <v>22875</v>
      </c>
      <c r="D76" s="405" t="s">
        <v>1017</v>
      </c>
      <c r="E76" s="156"/>
      <c r="F76" s="86">
        <v>6459.24</v>
      </c>
      <c r="G76" s="131"/>
      <c r="H76" s="131">
        <v>6461.51</v>
      </c>
      <c r="I76" s="131"/>
      <c r="J76" s="131">
        <v>6459.24</v>
      </c>
      <c r="K76" s="131"/>
      <c r="L76" s="131">
        <v>1140</v>
      </c>
      <c r="M76" s="131"/>
      <c r="N76" s="131">
        <v>1140</v>
      </c>
      <c r="O76" s="131"/>
      <c r="P76" s="131">
        <v>1140</v>
      </c>
      <c r="Q76" s="253" t="s">
        <v>1032</v>
      </c>
      <c r="R76" s="253" t="s">
        <v>921</v>
      </c>
      <c r="S76" s="149" t="s">
        <v>1018</v>
      </c>
    </row>
    <row r="77" spans="1:19" ht="13.5" thickBot="1" x14ac:dyDescent="0.25">
      <c r="A77" s="408" t="s">
        <v>922</v>
      </c>
      <c r="B77" s="409" t="s">
        <v>889</v>
      </c>
      <c r="C77" s="410">
        <v>7175</v>
      </c>
      <c r="D77" s="411" t="s">
        <v>931</v>
      </c>
      <c r="E77" s="412"/>
      <c r="F77" s="412">
        <v>2032.68</v>
      </c>
      <c r="G77" s="412"/>
      <c r="H77" s="412">
        <v>2033.38</v>
      </c>
      <c r="I77" s="412"/>
      <c r="J77" s="412">
        <v>2032.68</v>
      </c>
      <c r="K77" s="412"/>
      <c r="L77" s="412">
        <v>358.75</v>
      </c>
      <c r="M77" s="412"/>
      <c r="N77" s="412">
        <v>358.75</v>
      </c>
      <c r="O77" s="412"/>
      <c r="P77" s="412">
        <v>358.75</v>
      </c>
      <c r="Q77" s="413" t="s">
        <v>1035</v>
      </c>
      <c r="R77" s="414" t="s">
        <v>921</v>
      </c>
      <c r="S77" s="415" t="s">
        <v>92</v>
      </c>
    </row>
    <row r="78" spans="1:19" x14ac:dyDescent="0.2">
      <c r="A78" s="407" t="s">
        <v>920</v>
      </c>
      <c r="B78" s="416" t="s">
        <v>889</v>
      </c>
      <c r="C78" s="417">
        <v>16100</v>
      </c>
      <c r="D78" s="418" t="s">
        <v>932</v>
      </c>
      <c r="E78" s="419">
        <f>(C78*0.2834)-F78</f>
        <v>574.58424999999988</v>
      </c>
      <c r="F78" s="419">
        <f>0.2833*14077.5</f>
        <v>3988.1557499999999</v>
      </c>
      <c r="G78" s="420">
        <f>(C78*0.2833)-H78</f>
        <v>571.56650000000036</v>
      </c>
      <c r="H78" s="420">
        <f>0.2834*14077.5</f>
        <v>3989.5634999999997</v>
      </c>
      <c r="I78" s="420">
        <f>(C78*0.2833)-J78</f>
        <v>572.97425000000021</v>
      </c>
      <c r="J78" s="420">
        <f>0.2833*14077.5</f>
        <v>3988.1557499999999</v>
      </c>
      <c r="K78" s="420">
        <f>ROUNDDOWN((0.05*16100)-L78,2)</f>
        <v>101.12</v>
      </c>
      <c r="L78" s="420">
        <f>0.05*14077.5</f>
        <v>703.875</v>
      </c>
      <c r="M78" s="420">
        <f>ROUNDDOWN((C78*0.05)-N78,2)</f>
        <v>101.12</v>
      </c>
      <c r="N78" s="420">
        <f>0.05*14077.5</f>
        <v>703.875</v>
      </c>
      <c r="O78" s="420">
        <f>ROUNDDOWN((C78*0.05)-P78,2)</f>
        <v>101.12</v>
      </c>
      <c r="P78" s="420">
        <f>0.05*14077.5</f>
        <v>703.875</v>
      </c>
      <c r="Q78" s="421" t="s">
        <v>950</v>
      </c>
      <c r="R78" s="422" t="s">
        <v>920</v>
      </c>
      <c r="S78" s="423" t="s">
        <v>93</v>
      </c>
    </row>
    <row r="79" spans="1:19" x14ac:dyDescent="0.2">
      <c r="A79" s="406" t="s">
        <v>921</v>
      </c>
      <c r="B79" s="303" t="s">
        <v>890</v>
      </c>
      <c r="C79" s="147">
        <v>6900</v>
      </c>
      <c r="D79" s="12" t="s">
        <v>933</v>
      </c>
      <c r="E79" s="86">
        <v>0</v>
      </c>
      <c r="F79" s="86">
        <v>1954.77</v>
      </c>
      <c r="G79" s="131">
        <v>0</v>
      </c>
      <c r="H79" s="131">
        <v>1955.46</v>
      </c>
      <c r="I79" s="131">
        <v>0</v>
      </c>
      <c r="J79" s="131">
        <v>1954.77</v>
      </c>
      <c r="K79" s="131">
        <v>0</v>
      </c>
      <c r="L79" s="131">
        <v>345</v>
      </c>
      <c r="M79" s="131">
        <v>0</v>
      </c>
      <c r="N79" s="131">
        <v>345</v>
      </c>
      <c r="O79" s="131">
        <v>0</v>
      </c>
      <c r="P79" s="131">
        <v>345</v>
      </c>
      <c r="Q79" t="s">
        <v>948</v>
      </c>
      <c r="R79" s="11" t="s">
        <v>921</v>
      </c>
      <c r="S79" s="149" t="s">
        <v>92</v>
      </c>
    </row>
    <row r="80" spans="1:19" x14ac:dyDescent="0.2">
      <c r="A80" s="314" t="s">
        <v>920</v>
      </c>
      <c r="B80" s="416" t="s">
        <v>890</v>
      </c>
      <c r="C80" s="424">
        <v>14450</v>
      </c>
      <c r="D80" s="418" t="s">
        <v>934</v>
      </c>
      <c r="E80" s="425"/>
      <c r="F80" s="425"/>
      <c r="G80" s="420">
        <f>(0.5*C80)-H80</f>
        <v>2110</v>
      </c>
      <c r="H80" s="420">
        <f>0.5*10230</f>
        <v>5115</v>
      </c>
      <c r="I80" s="420">
        <f>(0.5*C80)-J80</f>
        <v>2110</v>
      </c>
      <c r="J80" s="420">
        <f>0.5*10230</f>
        <v>5115</v>
      </c>
      <c r="K80" s="420"/>
      <c r="L80" s="420"/>
      <c r="M80" s="420"/>
      <c r="N80" s="420"/>
      <c r="O80" s="420"/>
      <c r="P80" s="420"/>
      <c r="Q80" s="421" t="s">
        <v>949</v>
      </c>
      <c r="R80" s="422" t="s">
        <v>920</v>
      </c>
      <c r="S80" s="426" t="s">
        <v>189</v>
      </c>
    </row>
    <row r="81" spans="1:19" x14ac:dyDescent="0.2">
      <c r="A81" s="155" t="s">
        <v>882</v>
      </c>
      <c r="B81" s="253" t="s">
        <v>890</v>
      </c>
      <c r="C81" s="147">
        <v>5800</v>
      </c>
      <c r="D81" s="12" t="s">
        <v>935</v>
      </c>
      <c r="E81" s="86"/>
      <c r="F81" s="86"/>
      <c r="G81" s="131"/>
      <c r="H81" s="131"/>
      <c r="I81" s="131"/>
      <c r="J81" s="131">
        <v>5800</v>
      </c>
      <c r="K81" s="131"/>
      <c r="L81" s="131"/>
      <c r="M81" s="131"/>
      <c r="N81" s="131"/>
      <c r="O81" s="131"/>
      <c r="P81" s="131"/>
      <c r="Q81" t="s">
        <v>947</v>
      </c>
      <c r="R81" s="11" t="s">
        <v>882</v>
      </c>
      <c r="S81" s="149" t="s">
        <v>90</v>
      </c>
    </row>
    <row r="82" spans="1:19" x14ac:dyDescent="0.2">
      <c r="A82" s="155" t="s">
        <v>882</v>
      </c>
      <c r="B82" s="253" t="s">
        <v>618</v>
      </c>
      <c r="C82" s="147">
        <v>3150</v>
      </c>
      <c r="D82" s="12" t="s">
        <v>943</v>
      </c>
      <c r="E82" s="86"/>
      <c r="F82" s="86"/>
      <c r="G82" s="131"/>
      <c r="H82" s="131"/>
      <c r="I82" s="131"/>
      <c r="J82" s="131">
        <v>3150</v>
      </c>
      <c r="K82" s="131"/>
      <c r="L82" s="131"/>
      <c r="M82" s="131"/>
      <c r="N82" s="131"/>
      <c r="O82" s="131"/>
      <c r="P82" s="131"/>
      <c r="Q82" t="s">
        <v>946</v>
      </c>
      <c r="R82" s="11" t="s">
        <v>882</v>
      </c>
      <c r="S82" s="149" t="s">
        <v>90</v>
      </c>
    </row>
    <row r="83" spans="1:19" x14ac:dyDescent="0.2">
      <c r="A83" s="155" t="s">
        <v>953</v>
      </c>
      <c r="B83" s="253" t="s">
        <v>618</v>
      </c>
      <c r="C83" s="147">
        <v>10725</v>
      </c>
      <c r="D83" s="12" t="s">
        <v>954</v>
      </c>
      <c r="E83" s="86"/>
      <c r="F83" s="86">
        <v>5362.5</v>
      </c>
      <c r="G83" s="131"/>
      <c r="H83" s="131">
        <v>5362.5</v>
      </c>
      <c r="I83" s="131"/>
      <c r="J83" s="131"/>
      <c r="K83" s="131"/>
      <c r="L83" s="131"/>
      <c r="M83" s="131"/>
      <c r="N83" s="131"/>
      <c r="O83" s="131"/>
      <c r="P83" s="131"/>
      <c r="Q83" t="s">
        <v>1042</v>
      </c>
      <c r="R83" s="11" t="s">
        <v>953</v>
      </c>
      <c r="S83" s="149" t="s">
        <v>1034</v>
      </c>
    </row>
    <row r="84" spans="1:19" ht="13.5" thickBot="1" x14ac:dyDescent="0.25">
      <c r="A84" s="29" t="s">
        <v>43</v>
      </c>
      <c r="B84" s="30"/>
      <c r="C84" s="312">
        <f>SUM(C71:C83)</f>
        <v>111325</v>
      </c>
      <c r="D84" s="30"/>
      <c r="E84" s="59">
        <f>SUM(E70:E83)</f>
        <v>574.58424999999988</v>
      </c>
      <c r="F84" s="59">
        <f>SUM(F70:F83)</f>
        <v>24657.34575</v>
      </c>
      <c r="G84" s="59">
        <f>SUM(G70:G83)</f>
        <v>2681.5665000000004</v>
      </c>
      <c r="H84" s="59">
        <f>SUM(H70:H83)</f>
        <v>42647.413500000002</v>
      </c>
      <c r="I84" s="59">
        <f t="shared" ref="I84:P84" si="11">SUM(I70:I82)</f>
        <v>2682.9742500000002</v>
      </c>
      <c r="J84" s="59">
        <f t="shared" si="11"/>
        <v>28499.84575</v>
      </c>
      <c r="K84" s="59">
        <f t="shared" si="11"/>
        <v>101.12</v>
      </c>
      <c r="L84" s="59">
        <f t="shared" si="11"/>
        <v>2547.625</v>
      </c>
      <c r="M84" s="59">
        <f t="shared" si="11"/>
        <v>101.12</v>
      </c>
      <c r="N84" s="59">
        <f t="shared" si="11"/>
        <v>2547.625</v>
      </c>
      <c r="O84" s="59">
        <f t="shared" si="11"/>
        <v>101.12</v>
      </c>
      <c r="P84" s="59">
        <f t="shared" si="11"/>
        <v>2547.625</v>
      </c>
      <c r="Q84" s="30"/>
      <c r="R84" s="30"/>
      <c r="S84" s="31"/>
    </row>
    <row r="86" spans="1:19" x14ac:dyDescent="0.2">
      <c r="K86" s="42"/>
    </row>
    <row r="87" spans="1:19" x14ac:dyDescent="0.2">
      <c r="A87" s="534" t="s">
        <v>925</v>
      </c>
      <c r="B87" s="535"/>
      <c r="C87" s="535"/>
      <c r="D87" s="535"/>
      <c r="E87" s="313">
        <f>0.8*500000</f>
        <v>400000</v>
      </c>
      <c r="O87" s="42"/>
      <c r="P87" s="42">
        <f>SUM(F84+H84+J84+L84+N84+P84)</f>
        <v>103447.48000000001</v>
      </c>
      <c r="R87" s="42"/>
    </row>
    <row r="88" spans="1:19" x14ac:dyDescent="0.2">
      <c r="A88" t="s">
        <v>924</v>
      </c>
      <c r="O88" s="42"/>
      <c r="P88" s="42">
        <f>SUM(C73:C77)</f>
        <v>50150</v>
      </c>
    </row>
    <row r="89" spans="1:19" x14ac:dyDescent="0.2">
      <c r="O89" s="42"/>
    </row>
    <row r="90" spans="1:19" x14ac:dyDescent="0.2">
      <c r="O90" s="42"/>
    </row>
    <row r="91" spans="1:19" x14ac:dyDescent="0.2">
      <c r="O91" s="42"/>
    </row>
    <row r="92" spans="1:19" x14ac:dyDescent="0.2">
      <c r="O92" s="42"/>
    </row>
    <row r="93" spans="1:19" x14ac:dyDescent="0.2">
      <c r="O93" s="42"/>
    </row>
    <row r="94" spans="1:19" x14ac:dyDescent="0.2">
      <c r="O94" s="42"/>
    </row>
    <row r="95" spans="1:19" x14ac:dyDescent="0.2">
      <c r="O95" s="42"/>
    </row>
    <row r="96" spans="1:19" x14ac:dyDescent="0.2">
      <c r="O96" s="42"/>
    </row>
    <row r="97" spans="15:15" x14ac:dyDescent="0.2">
      <c r="O97" s="42"/>
    </row>
    <row r="98" spans="15:15" x14ac:dyDescent="0.2">
      <c r="O98" s="42"/>
    </row>
  </sheetData>
  <mergeCells count="20">
    <mergeCell ref="I7:J7"/>
    <mergeCell ref="I8:J8"/>
    <mergeCell ref="I9:J9"/>
    <mergeCell ref="I10:J10"/>
    <mergeCell ref="A2:S2"/>
    <mergeCell ref="I3:J3"/>
    <mergeCell ref="I4:J4"/>
    <mergeCell ref="I5:J5"/>
    <mergeCell ref="I6:J6"/>
    <mergeCell ref="A59:S59"/>
    <mergeCell ref="A87:D87"/>
    <mergeCell ref="A28:S28"/>
    <mergeCell ref="I29:J29"/>
    <mergeCell ref="I30:J30"/>
    <mergeCell ref="I31:J31"/>
    <mergeCell ref="I32:J32"/>
    <mergeCell ref="I33:J33"/>
    <mergeCell ref="I34:J34"/>
    <mergeCell ref="I35:J35"/>
    <mergeCell ref="I36:J36"/>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30E36-D773-4E83-A2C2-D8CA12C09025}">
  <dimension ref="A1:F29"/>
  <sheetViews>
    <sheetView workbookViewId="0">
      <selection activeCell="F3" sqref="F3"/>
    </sheetView>
  </sheetViews>
  <sheetFormatPr defaultRowHeight="12.75" x14ac:dyDescent="0.2"/>
  <cols>
    <col min="1" max="1" width="10.140625" bestFit="1" customWidth="1"/>
    <col min="4" max="4" width="14.42578125" bestFit="1" customWidth="1"/>
    <col min="5" max="5" width="21.42578125" bestFit="1" customWidth="1"/>
    <col min="6" max="6" width="32.5703125" customWidth="1"/>
  </cols>
  <sheetData>
    <row r="1" spans="1:6" x14ac:dyDescent="0.2">
      <c r="A1" s="428" t="s">
        <v>1045</v>
      </c>
    </row>
    <row r="2" spans="1:6" x14ac:dyDescent="0.2">
      <c r="A2" s="281" t="s">
        <v>1046</v>
      </c>
      <c r="B2" s="281" t="s">
        <v>1047</v>
      </c>
      <c r="C2" s="281" t="s">
        <v>1048</v>
      </c>
      <c r="D2" s="281" t="s">
        <v>1062</v>
      </c>
      <c r="E2" s="281" t="s">
        <v>1050</v>
      </c>
      <c r="F2" s="281" t="s">
        <v>5</v>
      </c>
    </row>
    <row r="3" spans="1:6" x14ac:dyDescent="0.2">
      <c r="A3" s="427">
        <v>45299</v>
      </c>
      <c r="B3" s="281" t="s">
        <v>1156</v>
      </c>
      <c r="C3" s="281" t="s">
        <v>1055</v>
      </c>
      <c r="D3" s="281"/>
      <c r="E3" s="281"/>
      <c r="F3" s="281" t="s">
        <v>532</v>
      </c>
    </row>
    <row r="4" spans="1:6" x14ac:dyDescent="0.2">
      <c r="A4" s="427">
        <v>45294</v>
      </c>
      <c r="B4" s="281" t="s">
        <v>1155</v>
      </c>
      <c r="C4" s="281" t="s">
        <v>1055</v>
      </c>
      <c r="D4" s="281"/>
      <c r="E4" s="281"/>
      <c r="F4" s="281" t="s">
        <v>532</v>
      </c>
    </row>
    <row r="5" spans="1:6" x14ac:dyDescent="0.2">
      <c r="A5" s="427">
        <v>45244</v>
      </c>
      <c r="B5" s="281" t="s">
        <v>1126</v>
      </c>
      <c r="C5" s="281" t="s">
        <v>1059</v>
      </c>
      <c r="D5" s="427">
        <v>45244</v>
      </c>
      <c r="E5" s="427">
        <v>45244</v>
      </c>
      <c r="F5" s="281" t="s">
        <v>618</v>
      </c>
    </row>
    <row r="6" spans="1:6" x14ac:dyDescent="0.2">
      <c r="A6" s="427">
        <v>45243</v>
      </c>
      <c r="B6" s="429" t="s">
        <v>1126</v>
      </c>
      <c r="C6" s="429" t="s">
        <v>1059</v>
      </c>
      <c r="D6" s="427">
        <v>45243</v>
      </c>
      <c r="E6" s="427">
        <v>45250</v>
      </c>
      <c r="F6" s="429" t="s">
        <v>1135</v>
      </c>
    </row>
    <row r="7" spans="1:6" x14ac:dyDescent="0.2">
      <c r="A7" s="427">
        <v>45243</v>
      </c>
      <c r="B7" s="429" t="s">
        <v>1126</v>
      </c>
      <c r="C7" s="429" t="s">
        <v>1059</v>
      </c>
      <c r="D7" s="427">
        <v>45243</v>
      </c>
      <c r="E7" s="427">
        <v>45250</v>
      </c>
      <c r="F7" s="429" t="s">
        <v>1083</v>
      </c>
    </row>
    <row r="8" spans="1:6" x14ac:dyDescent="0.2">
      <c r="A8" s="427">
        <v>45243</v>
      </c>
      <c r="B8" s="429" t="s">
        <v>1126</v>
      </c>
      <c r="C8" s="429" t="s">
        <v>1059</v>
      </c>
      <c r="D8" s="427">
        <v>45243</v>
      </c>
      <c r="E8" s="427">
        <v>45250</v>
      </c>
      <c r="F8" s="429" t="s">
        <v>1082</v>
      </c>
    </row>
    <row r="9" spans="1:6" x14ac:dyDescent="0.2">
      <c r="A9" s="430">
        <v>45097</v>
      </c>
      <c r="B9" s="431" t="s">
        <v>1081</v>
      </c>
      <c r="C9" s="431" t="s">
        <v>1059</v>
      </c>
      <c r="D9" s="430">
        <v>45097</v>
      </c>
      <c r="E9" s="430">
        <v>45127</v>
      </c>
      <c r="F9" s="431" t="s">
        <v>1090</v>
      </c>
    </row>
    <row r="10" spans="1:6" x14ac:dyDescent="0.2">
      <c r="A10" s="430">
        <v>45091</v>
      </c>
      <c r="B10" s="431" t="s">
        <v>1077</v>
      </c>
      <c r="C10" s="431" t="s">
        <v>1055</v>
      </c>
      <c r="D10" s="430">
        <v>45126</v>
      </c>
      <c r="E10" s="430">
        <v>45127</v>
      </c>
      <c r="F10" s="431" t="s">
        <v>532</v>
      </c>
    </row>
    <row r="11" spans="1:6" x14ac:dyDescent="0.2">
      <c r="A11" s="430">
        <v>45086</v>
      </c>
      <c r="B11" s="431" t="s">
        <v>1061</v>
      </c>
      <c r="C11" s="431" t="s">
        <v>1055</v>
      </c>
      <c r="D11" s="430">
        <v>45126</v>
      </c>
      <c r="E11" s="430">
        <v>45127</v>
      </c>
      <c r="F11" s="431" t="s">
        <v>532</v>
      </c>
    </row>
    <row r="12" spans="1:6" x14ac:dyDescent="0.2">
      <c r="A12" s="430">
        <v>45086</v>
      </c>
      <c r="B12" s="431" t="s">
        <v>1077</v>
      </c>
      <c r="C12" s="431" t="s">
        <v>1055</v>
      </c>
      <c r="D12" s="430">
        <v>45119</v>
      </c>
      <c r="E12" s="430">
        <v>45127</v>
      </c>
      <c r="F12" s="431" t="s">
        <v>10</v>
      </c>
    </row>
    <row r="13" spans="1:6" x14ac:dyDescent="0.2">
      <c r="A13" s="430">
        <v>45078</v>
      </c>
      <c r="B13" s="431" t="s">
        <v>1053</v>
      </c>
      <c r="C13" s="431" t="s">
        <v>1055</v>
      </c>
      <c r="D13" s="430">
        <v>45078</v>
      </c>
      <c r="E13" s="430">
        <v>45083</v>
      </c>
      <c r="F13" s="431" t="s">
        <v>10</v>
      </c>
    </row>
    <row r="14" spans="1:6" x14ac:dyDescent="0.2">
      <c r="A14" s="430">
        <v>45055</v>
      </c>
      <c r="B14" s="431" t="s">
        <v>1006</v>
      </c>
      <c r="C14" s="431" t="s">
        <v>1059</v>
      </c>
      <c r="D14" s="430">
        <v>45055</v>
      </c>
      <c r="E14" s="430">
        <v>45083</v>
      </c>
      <c r="F14" s="431" t="s">
        <v>1066</v>
      </c>
    </row>
    <row r="15" spans="1:6" x14ac:dyDescent="0.2">
      <c r="A15" s="430">
        <v>45047</v>
      </c>
      <c r="B15" s="431" t="s">
        <v>1060</v>
      </c>
      <c r="C15" s="431" t="s">
        <v>1055</v>
      </c>
      <c r="D15" s="430">
        <v>45047</v>
      </c>
      <c r="E15" s="430">
        <v>45083</v>
      </c>
      <c r="F15" s="431" t="s">
        <v>10</v>
      </c>
    </row>
    <row r="16" spans="1:6" x14ac:dyDescent="0.2">
      <c r="A16" s="430">
        <v>45047</v>
      </c>
      <c r="B16" s="431" t="s">
        <v>1061</v>
      </c>
      <c r="C16" s="431" t="s">
        <v>1055</v>
      </c>
      <c r="D16" s="430">
        <v>45047</v>
      </c>
      <c r="E16" s="430">
        <v>45083</v>
      </c>
      <c r="F16" s="431" t="s">
        <v>10</v>
      </c>
    </row>
    <row r="17" spans="1:6" ht="25.5" x14ac:dyDescent="0.2">
      <c r="A17" s="430">
        <v>45043</v>
      </c>
      <c r="B17" s="431" t="s">
        <v>1006</v>
      </c>
      <c r="C17" s="431" t="s">
        <v>1059</v>
      </c>
      <c r="D17" s="430">
        <v>45229</v>
      </c>
      <c r="E17" s="430">
        <v>45266</v>
      </c>
      <c r="F17" s="441" t="s">
        <v>1091</v>
      </c>
    </row>
    <row r="18" spans="1:6" x14ac:dyDescent="0.2">
      <c r="A18" s="430">
        <v>45028</v>
      </c>
      <c r="B18" s="431" t="s">
        <v>1039</v>
      </c>
      <c r="C18" s="431" t="s">
        <v>1055</v>
      </c>
      <c r="D18" s="430">
        <v>45065</v>
      </c>
      <c r="E18" s="430">
        <v>45083</v>
      </c>
      <c r="F18" s="431" t="s">
        <v>10</v>
      </c>
    </row>
    <row r="19" spans="1:6" x14ac:dyDescent="0.2">
      <c r="A19" s="430">
        <v>45020</v>
      </c>
      <c r="B19" s="431" t="s">
        <v>1039</v>
      </c>
      <c r="C19" s="431" t="s">
        <v>1055</v>
      </c>
      <c r="D19" s="430">
        <v>45062</v>
      </c>
      <c r="E19" s="430">
        <v>45083</v>
      </c>
      <c r="F19" s="431" t="s">
        <v>1057</v>
      </c>
    </row>
    <row r="20" spans="1:6" x14ac:dyDescent="0.2">
      <c r="A20" s="430">
        <v>45019</v>
      </c>
      <c r="B20" s="431" t="s">
        <v>1026</v>
      </c>
      <c r="C20" s="431" t="s">
        <v>1055</v>
      </c>
      <c r="D20" s="430">
        <v>45033</v>
      </c>
      <c r="E20" s="430">
        <v>45033</v>
      </c>
      <c r="F20" s="431" t="s">
        <v>1057</v>
      </c>
    </row>
    <row r="21" spans="1:6" x14ac:dyDescent="0.2">
      <c r="A21" s="430">
        <v>45019</v>
      </c>
      <c r="B21" s="431" t="s">
        <v>1007</v>
      </c>
      <c r="C21" s="431" t="s">
        <v>1055</v>
      </c>
      <c r="D21" s="430">
        <v>45034</v>
      </c>
      <c r="E21" s="430">
        <v>45034</v>
      </c>
      <c r="F21" s="431" t="s">
        <v>1057</v>
      </c>
    </row>
    <row r="22" spans="1:6" x14ac:dyDescent="0.2">
      <c r="A22" s="430">
        <v>45015</v>
      </c>
      <c r="B22" s="431" t="s">
        <v>1056</v>
      </c>
      <c r="C22" s="431" t="s">
        <v>1055</v>
      </c>
      <c r="D22" s="430">
        <v>45047</v>
      </c>
      <c r="E22" s="430">
        <v>45083</v>
      </c>
      <c r="F22" s="431" t="s">
        <v>10</v>
      </c>
    </row>
    <row r="23" spans="1:6" x14ac:dyDescent="0.2">
      <c r="A23" s="430">
        <v>44994</v>
      </c>
      <c r="B23" s="431" t="s">
        <v>1007</v>
      </c>
      <c r="C23" s="431" t="s">
        <v>1055</v>
      </c>
      <c r="D23" s="430">
        <v>44994</v>
      </c>
      <c r="E23" s="430">
        <v>44994</v>
      </c>
      <c r="F23" s="431" t="s">
        <v>10</v>
      </c>
    </row>
    <row r="24" spans="1:6" x14ac:dyDescent="0.2">
      <c r="A24" s="430">
        <v>44994</v>
      </c>
      <c r="B24" s="431" t="s">
        <v>1006</v>
      </c>
      <c r="C24" s="431" t="s">
        <v>1055</v>
      </c>
      <c r="D24" s="430">
        <v>44994</v>
      </c>
      <c r="E24" s="430">
        <v>44994</v>
      </c>
      <c r="F24" s="431" t="s">
        <v>10</v>
      </c>
    </row>
    <row r="25" spans="1:6" x14ac:dyDescent="0.2">
      <c r="A25" s="430">
        <v>44993</v>
      </c>
      <c r="B25" s="431" t="s">
        <v>1006</v>
      </c>
      <c r="C25" s="431" t="s">
        <v>1055</v>
      </c>
      <c r="D25" s="430">
        <v>45194</v>
      </c>
      <c r="E25" s="430">
        <v>45195</v>
      </c>
      <c r="F25" s="440" t="s">
        <v>263</v>
      </c>
    </row>
    <row r="26" spans="1:6" x14ac:dyDescent="0.2">
      <c r="A26" s="430">
        <v>44987</v>
      </c>
      <c r="B26" s="431" t="s">
        <v>1056</v>
      </c>
      <c r="C26" s="431" t="s">
        <v>1055</v>
      </c>
      <c r="D26" s="430">
        <v>45044</v>
      </c>
      <c r="E26" s="430">
        <v>45083</v>
      </c>
      <c r="F26" s="431" t="s">
        <v>1058</v>
      </c>
    </row>
    <row r="27" spans="1:6" x14ac:dyDescent="0.2">
      <c r="A27" s="430">
        <v>44986</v>
      </c>
      <c r="B27" s="431" t="s">
        <v>1053</v>
      </c>
      <c r="C27" s="431" t="s">
        <v>1055</v>
      </c>
      <c r="D27" s="433">
        <v>44356</v>
      </c>
      <c r="E27" s="430">
        <v>45126</v>
      </c>
      <c r="F27" s="431" t="s">
        <v>1058</v>
      </c>
    </row>
    <row r="28" spans="1:6" x14ac:dyDescent="0.2">
      <c r="A28" s="430">
        <v>44986</v>
      </c>
      <c r="B28" s="431" t="s">
        <v>1006</v>
      </c>
      <c r="C28" s="431" t="s">
        <v>1055</v>
      </c>
      <c r="D28" s="430">
        <v>44993</v>
      </c>
      <c r="E28" s="430">
        <v>44994</v>
      </c>
      <c r="F28" s="431" t="s">
        <v>1057</v>
      </c>
    </row>
    <row r="29" spans="1:6" x14ac:dyDescent="0.2">
      <c r="A29" s="427">
        <v>44984</v>
      </c>
      <c r="B29" s="281" t="s">
        <v>1054</v>
      </c>
      <c r="C29" s="281" t="s">
        <v>1055</v>
      </c>
      <c r="D29" s="429" t="s">
        <v>1063</v>
      </c>
      <c r="E29" s="281"/>
      <c r="F29" s="281" t="s">
        <v>1058</v>
      </c>
    </row>
  </sheetData>
  <sortState xmlns:xlrd2="http://schemas.microsoft.com/office/spreadsheetml/2017/richdata2" ref="A3:F29">
    <sortCondition descending="1" ref="A5:A29"/>
  </sortState>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38D95-4C8C-4D61-AAC7-040F72F69F81}">
  <dimension ref="A1:E8"/>
  <sheetViews>
    <sheetView workbookViewId="0">
      <selection activeCell="A6" sqref="A6"/>
    </sheetView>
  </sheetViews>
  <sheetFormatPr defaultRowHeight="12.75" x14ac:dyDescent="0.2"/>
  <cols>
    <col min="4" max="4" width="12.28515625" bestFit="1" customWidth="1"/>
    <col min="5" max="5" width="35.7109375" bestFit="1" customWidth="1"/>
    <col min="6" max="6" width="52.7109375" customWidth="1"/>
  </cols>
  <sheetData>
    <row r="1" spans="1:5" x14ac:dyDescent="0.2">
      <c r="A1" t="s">
        <v>1052</v>
      </c>
    </row>
    <row r="2" spans="1:5" x14ac:dyDescent="0.2">
      <c r="A2" s="281" t="s">
        <v>1051</v>
      </c>
      <c r="B2" s="281" t="s">
        <v>1048</v>
      </c>
      <c r="C2" s="281" t="s">
        <v>1049</v>
      </c>
      <c r="D2" s="281" t="s">
        <v>2</v>
      </c>
      <c r="E2" s="281" t="s">
        <v>5</v>
      </c>
    </row>
    <row r="3" spans="1:5" x14ac:dyDescent="0.2">
      <c r="A3" s="281" t="s">
        <v>1006</v>
      </c>
      <c r="B3" s="281" t="s">
        <v>1059</v>
      </c>
      <c r="C3" s="427">
        <v>45043</v>
      </c>
      <c r="D3" s="281" t="s">
        <v>1094</v>
      </c>
      <c r="E3" s="281" t="s">
        <v>1095</v>
      </c>
    </row>
    <row r="4" spans="1:5" x14ac:dyDescent="0.2">
      <c r="A4" s="281" t="s">
        <v>1006</v>
      </c>
      <c r="B4" s="281" t="s">
        <v>1059</v>
      </c>
      <c r="C4" s="427">
        <v>45055</v>
      </c>
      <c r="D4" s="281" t="s">
        <v>1065</v>
      </c>
      <c r="E4" s="281" t="s">
        <v>1096</v>
      </c>
    </row>
    <row r="5" spans="1:5" x14ac:dyDescent="0.2">
      <c r="A5" s="281" t="s">
        <v>1006</v>
      </c>
      <c r="B5" s="281" t="s">
        <v>1117</v>
      </c>
      <c r="C5" s="427">
        <v>45194</v>
      </c>
      <c r="D5" s="281" t="s">
        <v>1129</v>
      </c>
      <c r="E5" s="281" t="s">
        <v>1136</v>
      </c>
    </row>
    <row r="6" spans="1:5" x14ac:dyDescent="0.2">
      <c r="A6" s="281"/>
      <c r="B6" s="281"/>
      <c r="C6" s="281"/>
      <c r="D6" s="281"/>
      <c r="E6" s="281"/>
    </row>
    <row r="7" spans="1:5" x14ac:dyDescent="0.2">
      <c r="A7" s="281"/>
      <c r="B7" s="281"/>
      <c r="C7" s="281"/>
      <c r="D7" s="281"/>
      <c r="E7" s="281"/>
    </row>
    <row r="8" spans="1:5" x14ac:dyDescent="0.2">
      <c r="A8" s="281"/>
      <c r="B8" s="281"/>
      <c r="C8" s="281"/>
      <c r="D8" s="281"/>
      <c r="E8" s="28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8"/>
  <sheetViews>
    <sheetView showGridLines="0" zoomScaleNormal="100" zoomScaleSheetLayoutView="75" workbookViewId="0">
      <selection activeCell="G14" sqref="G14"/>
    </sheetView>
  </sheetViews>
  <sheetFormatPr defaultRowHeight="12.75" x14ac:dyDescent="0.2"/>
  <cols>
    <col min="1" max="1" width="22.28515625" bestFit="1" customWidth="1"/>
    <col min="2" max="2" width="14.28515625" customWidth="1"/>
    <col min="3" max="3" width="17" customWidth="1"/>
    <col min="4" max="4" width="12.85546875" customWidth="1"/>
    <col min="5" max="5" width="17.7109375" bestFit="1" customWidth="1"/>
    <col min="6" max="6" width="14.28515625" customWidth="1"/>
    <col min="7" max="7" width="24.7109375" customWidth="1"/>
    <col min="8" max="8" width="23" customWidth="1"/>
  </cols>
  <sheetData>
    <row r="1" spans="1:7" ht="13.5" thickBot="1" x14ac:dyDescent="0.25"/>
    <row r="2" spans="1:7" ht="21" thickBot="1" x14ac:dyDescent="0.35">
      <c r="A2" s="525" t="s">
        <v>563</v>
      </c>
      <c r="B2" s="528"/>
      <c r="C2" s="528"/>
      <c r="D2" s="528"/>
      <c r="E2" s="528"/>
      <c r="F2" s="528"/>
      <c r="G2" s="529"/>
    </row>
    <row r="3" spans="1:7" ht="20.25" x14ac:dyDescent="0.3">
      <c r="A3" s="41"/>
      <c r="B3" s="13" t="s">
        <v>474</v>
      </c>
      <c r="C3" s="13"/>
      <c r="D3" s="13"/>
      <c r="E3" s="14"/>
      <c r="F3" s="13"/>
      <c r="G3" s="39"/>
    </row>
    <row r="4" spans="1:7" x14ac:dyDescent="0.2">
      <c r="A4" s="41" t="s">
        <v>477</v>
      </c>
      <c r="B4" s="18">
        <v>20000</v>
      </c>
      <c r="C4" s="18"/>
      <c r="D4" s="18"/>
      <c r="E4" s="161"/>
      <c r="F4" s="13"/>
      <c r="G4" s="39"/>
    </row>
    <row r="5" spans="1:7" x14ac:dyDescent="0.2">
      <c r="A5" s="41" t="s">
        <v>475</v>
      </c>
      <c r="B5" s="18">
        <f>SUM(B4:B4)</f>
        <v>20000</v>
      </c>
      <c r="C5" s="18"/>
      <c r="D5" s="18"/>
      <c r="E5" s="130"/>
      <c r="F5" s="13"/>
      <c r="G5" s="39"/>
    </row>
    <row r="6" spans="1:7" x14ac:dyDescent="0.2">
      <c r="A6" s="41" t="s">
        <v>559</v>
      </c>
      <c r="B6" s="18">
        <f>C15</f>
        <v>19903</v>
      </c>
      <c r="C6" s="18"/>
      <c r="D6" s="18"/>
      <c r="E6" s="151"/>
      <c r="F6" s="13"/>
      <c r="G6" s="39"/>
    </row>
    <row r="7" spans="1:7" x14ac:dyDescent="0.2">
      <c r="A7" s="41" t="s">
        <v>35</v>
      </c>
      <c r="B7" s="40">
        <f>B5-B6</f>
        <v>97</v>
      </c>
      <c r="C7" s="18"/>
      <c r="D7" s="226"/>
      <c r="E7" s="493"/>
      <c r="F7" s="503"/>
      <c r="G7" s="146"/>
    </row>
    <row r="8" spans="1:7" ht="21" thickBot="1" x14ac:dyDescent="0.35">
      <c r="A8" s="41"/>
      <c r="B8" s="13"/>
      <c r="C8" s="13"/>
      <c r="D8" s="13"/>
      <c r="E8" s="14"/>
      <c r="F8" s="13"/>
      <c r="G8" s="39"/>
    </row>
    <row r="9" spans="1:7" ht="25.5" x14ac:dyDescent="0.2">
      <c r="A9" s="19" t="s">
        <v>41</v>
      </c>
      <c r="B9" s="20" t="s">
        <v>561</v>
      </c>
      <c r="C9" s="20" t="s">
        <v>64</v>
      </c>
      <c r="D9" s="20" t="s">
        <v>560</v>
      </c>
      <c r="E9" s="20" t="s">
        <v>37</v>
      </c>
      <c r="F9" s="20" t="s">
        <v>40</v>
      </c>
      <c r="G9" s="227" t="s">
        <v>5</v>
      </c>
    </row>
    <row r="10" spans="1:7" x14ac:dyDescent="0.2">
      <c r="A10" s="34"/>
      <c r="B10" s="34"/>
      <c r="C10" s="62"/>
      <c r="D10" s="34"/>
      <c r="E10" s="62"/>
      <c r="F10" s="34"/>
      <c r="G10" s="34"/>
    </row>
    <row r="11" spans="1:7" x14ac:dyDescent="0.2">
      <c r="A11" s="25" t="s">
        <v>42</v>
      </c>
      <c r="B11" s="43"/>
      <c r="C11" s="156"/>
      <c r="D11" s="56"/>
      <c r="E11" s="56"/>
      <c r="F11" s="43"/>
      <c r="G11" s="45"/>
    </row>
    <row r="12" spans="1:7" x14ac:dyDescent="0.2">
      <c r="A12" s="155"/>
      <c r="B12" s="170" t="s">
        <v>616</v>
      </c>
      <c r="C12" s="61">
        <v>5000</v>
      </c>
      <c r="D12" s="173">
        <v>43440</v>
      </c>
      <c r="E12" s="156">
        <v>5000</v>
      </c>
      <c r="F12" s="56" t="s">
        <v>619</v>
      </c>
      <c r="G12" s="45" t="s">
        <v>620</v>
      </c>
    </row>
    <row r="13" spans="1:7" x14ac:dyDescent="0.2">
      <c r="A13" s="155"/>
      <c r="B13" s="170" t="s">
        <v>617</v>
      </c>
      <c r="C13" s="61">
        <v>6528</v>
      </c>
      <c r="D13" s="173">
        <v>43444</v>
      </c>
      <c r="E13" s="156">
        <v>6528</v>
      </c>
      <c r="F13" s="56" t="s">
        <v>619</v>
      </c>
      <c r="G13" s="149" t="s">
        <v>620</v>
      </c>
    </row>
    <row r="14" spans="1:7" x14ac:dyDescent="0.2">
      <c r="A14" s="155"/>
      <c r="B14" s="170" t="s">
        <v>618</v>
      </c>
      <c r="C14" s="61">
        <v>8375</v>
      </c>
      <c r="D14" s="56">
        <v>43452</v>
      </c>
      <c r="E14" s="156">
        <f>C14</f>
        <v>8375</v>
      </c>
      <c r="F14" s="56" t="s">
        <v>619</v>
      </c>
      <c r="G14" s="149" t="s">
        <v>620</v>
      </c>
    </row>
    <row r="15" spans="1:7" ht="13.5" thickBot="1" x14ac:dyDescent="0.25">
      <c r="A15" s="29" t="s">
        <v>43</v>
      </c>
      <c r="B15" s="30"/>
      <c r="C15" s="59">
        <f>SUM(C11:C14)</f>
        <v>19903</v>
      </c>
      <c r="D15" s="30"/>
      <c r="E15" s="59">
        <f>SUM(E11:E14)</f>
        <v>19903</v>
      </c>
      <c r="F15" s="30"/>
      <c r="G15" s="31"/>
    </row>
    <row r="16" spans="1:7" ht="13.5" thickBot="1" x14ac:dyDescent="0.25">
      <c r="A16" s="220"/>
      <c r="B16" s="217"/>
      <c r="C16" s="218"/>
      <c r="D16" s="217"/>
      <c r="E16" s="218"/>
      <c r="F16" s="217"/>
      <c r="G16" s="219"/>
    </row>
    <row r="18" spans="1:12" ht="18.75" customHeight="1" x14ac:dyDescent="0.3">
      <c r="A18" s="11"/>
      <c r="B18" s="11"/>
      <c r="C18" s="11"/>
      <c r="D18" s="11"/>
      <c r="E18" s="11"/>
      <c r="F18" s="11"/>
      <c r="G18" s="11"/>
      <c r="I18" s="9"/>
      <c r="J18" s="9"/>
      <c r="K18" s="9"/>
      <c r="L18" s="9"/>
    </row>
  </sheetData>
  <mergeCells count="2">
    <mergeCell ref="A2:G2"/>
    <mergeCell ref="E7:F7"/>
  </mergeCells>
  <pageMargins left="0.69" right="0.28999999999999998" top="0.48" bottom="0.44" header="0.5" footer="0.5"/>
  <pageSetup scale="68" orientation="landscape" r:id="rId1"/>
  <headerFooter alignWithMargins="0">
    <oddFooter>&amp;CCurrent as of &amp;D</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8"/>
  <sheetViews>
    <sheetView showGridLines="0" zoomScaleNormal="100" zoomScaleSheetLayoutView="75" workbookViewId="0">
      <selection activeCell="G14" sqref="G14"/>
    </sheetView>
  </sheetViews>
  <sheetFormatPr defaultRowHeight="12.75" x14ac:dyDescent="0.2"/>
  <cols>
    <col min="1" max="1" width="22.28515625" bestFit="1" customWidth="1"/>
    <col min="2" max="2" width="14.28515625" customWidth="1"/>
    <col min="3" max="3" width="17" customWidth="1"/>
    <col min="4" max="4" width="12.85546875" customWidth="1"/>
    <col min="5" max="5" width="17.7109375" bestFit="1" customWidth="1"/>
    <col min="6" max="6" width="14.28515625" customWidth="1"/>
    <col min="7" max="7" width="24.7109375" customWidth="1"/>
    <col min="8" max="8" width="23" customWidth="1"/>
  </cols>
  <sheetData>
    <row r="1" spans="1:7" ht="13.5" thickBot="1" x14ac:dyDescent="0.25"/>
    <row r="2" spans="1:7" ht="21" thickBot="1" x14ac:dyDescent="0.35">
      <c r="A2" s="525" t="s">
        <v>562</v>
      </c>
      <c r="B2" s="528"/>
      <c r="C2" s="528"/>
      <c r="D2" s="528"/>
      <c r="E2" s="528"/>
      <c r="F2" s="528"/>
      <c r="G2" s="529"/>
    </row>
    <row r="3" spans="1:7" ht="20.25" x14ac:dyDescent="0.3">
      <c r="A3" s="41"/>
      <c r="B3" s="13" t="s">
        <v>474</v>
      </c>
      <c r="C3" s="13"/>
      <c r="D3" s="13"/>
      <c r="E3" s="14"/>
      <c r="F3" s="13"/>
      <c r="G3" s="39"/>
    </row>
    <row r="4" spans="1:7" x14ac:dyDescent="0.2">
      <c r="A4" s="41" t="s">
        <v>477</v>
      </c>
      <c r="B4" s="18">
        <v>20000</v>
      </c>
      <c r="C4" s="18"/>
      <c r="D4" s="18"/>
      <c r="E4" s="161"/>
      <c r="F4" s="13"/>
      <c r="G4" s="39"/>
    </row>
    <row r="5" spans="1:7" x14ac:dyDescent="0.2">
      <c r="A5" s="41" t="s">
        <v>475</v>
      </c>
      <c r="B5" s="18">
        <f>SUM(B4:B4)</f>
        <v>20000</v>
      </c>
      <c r="C5" s="18"/>
      <c r="D5" s="18"/>
      <c r="E5" s="130"/>
      <c r="F5" s="13"/>
      <c r="G5" s="39"/>
    </row>
    <row r="6" spans="1:7" x14ac:dyDescent="0.2">
      <c r="A6" s="41" t="s">
        <v>559</v>
      </c>
      <c r="B6" s="18">
        <f>C15</f>
        <v>19903</v>
      </c>
      <c r="C6" s="18"/>
      <c r="D6" s="18"/>
      <c r="E6" s="151"/>
      <c r="F6" s="13"/>
      <c r="G6" s="39"/>
    </row>
    <row r="7" spans="1:7" x14ac:dyDescent="0.2">
      <c r="A7" s="41" t="s">
        <v>35</v>
      </c>
      <c r="B7" s="40">
        <f>B5-B6</f>
        <v>97</v>
      </c>
      <c r="C7" s="18"/>
      <c r="D7" s="226"/>
      <c r="E7" s="493"/>
      <c r="F7" s="503"/>
      <c r="G7" s="146"/>
    </row>
    <row r="8" spans="1:7" ht="21" thickBot="1" x14ac:dyDescent="0.35">
      <c r="A8" s="41"/>
      <c r="B8" s="13"/>
      <c r="C8" s="13"/>
      <c r="D8" s="13"/>
      <c r="E8" s="14"/>
      <c r="F8" s="13"/>
      <c r="G8" s="39"/>
    </row>
    <row r="9" spans="1:7" ht="25.5" x14ac:dyDescent="0.2">
      <c r="A9" s="19" t="s">
        <v>41</v>
      </c>
      <c r="B9" s="20" t="s">
        <v>561</v>
      </c>
      <c r="C9" s="20" t="s">
        <v>64</v>
      </c>
      <c r="D9" s="20" t="s">
        <v>560</v>
      </c>
      <c r="E9" s="20" t="s">
        <v>37</v>
      </c>
      <c r="F9" s="20" t="s">
        <v>40</v>
      </c>
      <c r="G9" s="227" t="s">
        <v>5</v>
      </c>
    </row>
    <row r="10" spans="1:7" x14ac:dyDescent="0.2">
      <c r="A10" s="34"/>
      <c r="B10" s="34"/>
      <c r="C10" s="62"/>
      <c r="D10" s="34"/>
      <c r="E10" s="62"/>
      <c r="F10" s="34"/>
      <c r="G10" s="34"/>
    </row>
    <row r="11" spans="1:7" x14ac:dyDescent="0.2">
      <c r="A11" s="25" t="s">
        <v>42</v>
      </c>
      <c r="B11" s="43"/>
      <c r="C11" s="156"/>
      <c r="D11" s="56"/>
      <c r="E11" s="56"/>
      <c r="F11" s="43"/>
      <c r="G11" s="45"/>
    </row>
    <row r="12" spans="1:7" x14ac:dyDescent="0.2">
      <c r="A12" s="155"/>
      <c r="B12" s="170" t="s">
        <v>616</v>
      </c>
      <c r="C12" s="61">
        <v>5000</v>
      </c>
      <c r="D12" s="173">
        <v>43440</v>
      </c>
      <c r="E12" s="156">
        <v>5000</v>
      </c>
      <c r="F12" s="56" t="s">
        <v>619</v>
      </c>
      <c r="G12" s="45" t="s">
        <v>620</v>
      </c>
    </row>
    <row r="13" spans="1:7" x14ac:dyDescent="0.2">
      <c r="A13" s="155"/>
      <c r="B13" s="170" t="s">
        <v>617</v>
      </c>
      <c r="C13" s="61">
        <v>6528</v>
      </c>
      <c r="D13" s="173">
        <v>43444</v>
      </c>
      <c r="E13" s="156">
        <v>6528</v>
      </c>
      <c r="F13" s="56" t="s">
        <v>619</v>
      </c>
      <c r="G13" s="149" t="s">
        <v>620</v>
      </c>
    </row>
    <row r="14" spans="1:7" x14ac:dyDescent="0.2">
      <c r="A14" s="155"/>
      <c r="B14" s="170" t="s">
        <v>618</v>
      </c>
      <c r="C14" s="61">
        <v>8375</v>
      </c>
      <c r="D14" s="56">
        <v>43452</v>
      </c>
      <c r="E14" s="156">
        <f>C14</f>
        <v>8375</v>
      </c>
      <c r="F14" s="56" t="s">
        <v>619</v>
      </c>
      <c r="G14" s="149" t="s">
        <v>620</v>
      </c>
    </row>
    <row r="15" spans="1:7" ht="13.5" thickBot="1" x14ac:dyDescent="0.25">
      <c r="A15" s="29" t="s">
        <v>43</v>
      </c>
      <c r="B15" s="30"/>
      <c r="C15" s="59">
        <f>SUM(C11:C14)</f>
        <v>19903</v>
      </c>
      <c r="D15" s="30"/>
      <c r="E15" s="59">
        <f>SUM(E11:E14)</f>
        <v>19903</v>
      </c>
      <c r="F15" s="30"/>
      <c r="G15" s="31"/>
    </row>
    <row r="16" spans="1:7" ht="13.5" thickBot="1" x14ac:dyDescent="0.25">
      <c r="A16" s="220"/>
      <c r="B16" s="217"/>
      <c r="C16" s="218"/>
      <c r="D16" s="217"/>
      <c r="E16" s="218"/>
      <c r="F16" s="217"/>
      <c r="G16" s="219"/>
    </row>
    <row r="18" spans="1:12" ht="18.75" customHeight="1" x14ac:dyDescent="0.3">
      <c r="A18" s="11"/>
      <c r="B18" s="11"/>
      <c r="C18" s="11"/>
      <c r="D18" s="11"/>
      <c r="E18" s="11"/>
      <c r="F18" s="11"/>
      <c r="G18" s="11"/>
      <c r="I18" s="9"/>
      <c r="J18" s="9"/>
      <c r="K18" s="9"/>
      <c r="L18" s="9"/>
    </row>
  </sheetData>
  <mergeCells count="2">
    <mergeCell ref="A2:G2"/>
    <mergeCell ref="E7:F7"/>
  </mergeCells>
  <pageMargins left="0.69" right="0.28999999999999998" top="0.48" bottom="0.44" header="0.5" footer="0.5"/>
  <pageSetup scale="68" orientation="landscape" r:id="rId1"/>
  <headerFooter alignWithMargins="0">
    <oddFooter>&amp;CCurrent as of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topLeftCell="A6" zoomScale="91" zoomScaleNormal="100" workbookViewId="0">
      <selection activeCell="V4" sqref="V4"/>
    </sheetView>
  </sheetViews>
  <sheetFormatPr defaultRowHeight="12.75" x14ac:dyDescent="0.2"/>
  <cols>
    <col min="1" max="1" width="11.85546875" bestFit="1" customWidth="1"/>
    <col min="2" max="2" width="11.140625" bestFit="1" customWidth="1"/>
    <col min="3" max="3" width="10.85546875" bestFit="1" customWidth="1"/>
    <col min="4" max="4" width="10.85546875" customWidth="1"/>
    <col min="5" max="5" width="10.42578125" customWidth="1"/>
    <col min="6" max="6" width="11.28515625" bestFit="1" customWidth="1"/>
    <col min="7" max="7" width="13.140625" bestFit="1" customWidth="1"/>
    <col min="8" max="8" width="13.140625" customWidth="1"/>
    <col min="9" max="9" width="10.7109375" customWidth="1"/>
    <col min="10" max="10" width="11.28515625" bestFit="1" customWidth="1"/>
    <col min="11" max="11" width="13.28515625" customWidth="1"/>
    <col min="12" max="12" width="12.5703125" customWidth="1"/>
    <col min="13" max="13" width="10.5703125" customWidth="1"/>
    <col min="14" max="14" width="11.85546875" bestFit="1" customWidth="1"/>
    <col min="15" max="15" width="11.42578125" bestFit="1" customWidth="1"/>
    <col min="16" max="16" width="14" bestFit="1" customWidth="1"/>
    <col min="17" max="17" width="14" customWidth="1"/>
    <col min="18" max="18" width="14" bestFit="1" customWidth="1"/>
    <col min="19" max="19" width="11.42578125" bestFit="1" customWidth="1"/>
    <col min="20" max="20" width="14" bestFit="1" customWidth="1"/>
    <col min="21" max="21" width="14" customWidth="1"/>
    <col min="22" max="22" width="14" bestFit="1" customWidth="1"/>
    <col min="23" max="23" width="13.85546875" customWidth="1"/>
    <col min="24" max="24" width="13.7109375" customWidth="1"/>
    <col min="25" max="25" width="13.7109375" hidden="1" customWidth="1"/>
    <col min="26" max="26" width="13.85546875" hidden="1" customWidth="1"/>
    <col min="27" max="27" width="15" hidden="1" customWidth="1"/>
    <col min="28" max="29" width="8.85546875" customWidth="1"/>
  </cols>
  <sheetData>
    <row r="1" spans="1:27" ht="14.25" customHeight="1" thickBot="1" x14ac:dyDescent="0.25">
      <c r="A1" s="481" t="s">
        <v>1000</v>
      </c>
      <c r="B1" s="469"/>
      <c r="C1" s="469"/>
      <c r="D1" s="469"/>
      <c r="E1" s="469"/>
      <c r="F1" s="469"/>
      <c r="G1" s="469"/>
      <c r="H1" s="469"/>
      <c r="I1" s="469"/>
      <c r="J1" s="469"/>
      <c r="K1" s="469"/>
      <c r="L1" s="469"/>
      <c r="M1" s="469"/>
      <c r="N1" s="481" t="s">
        <v>1000</v>
      </c>
      <c r="O1" s="482"/>
      <c r="P1" s="482"/>
      <c r="Q1" s="482"/>
      <c r="R1" s="482"/>
      <c r="S1" s="482"/>
      <c r="T1" s="482"/>
      <c r="U1" s="482"/>
      <c r="V1" s="482"/>
      <c r="W1" s="482"/>
      <c r="X1" s="482"/>
      <c r="Y1" s="474" t="s">
        <v>695</v>
      </c>
      <c r="Z1" s="468"/>
      <c r="AA1" s="468"/>
    </row>
    <row r="2" spans="1:27" ht="12.75" customHeight="1" x14ac:dyDescent="0.2">
      <c r="B2" s="470" t="s">
        <v>52</v>
      </c>
      <c r="C2" s="471"/>
      <c r="D2" s="471"/>
      <c r="E2" s="472"/>
      <c r="F2" s="470" t="s">
        <v>53</v>
      </c>
      <c r="G2" s="471"/>
      <c r="H2" s="471"/>
      <c r="I2" s="472"/>
      <c r="J2" s="470" t="s">
        <v>14</v>
      </c>
      <c r="K2" s="471"/>
      <c r="L2" s="471"/>
      <c r="M2" s="472"/>
      <c r="O2" s="470" t="s">
        <v>55</v>
      </c>
      <c r="P2" s="471"/>
      <c r="Q2" s="471"/>
      <c r="R2" s="472"/>
      <c r="S2" s="470" t="s">
        <v>56</v>
      </c>
      <c r="T2" s="471"/>
      <c r="U2" s="471"/>
      <c r="V2" s="472"/>
      <c r="W2" s="473" t="s">
        <v>101</v>
      </c>
      <c r="X2" s="468"/>
      <c r="Y2" s="11"/>
      <c r="Z2" s="473" t="s">
        <v>104</v>
      </c>
      <c r="AA2" s="468"/>
    </row>
    <row r="3" spans="1:27" ht="24.6" customHeight="1" x14ac:dyDescent="0.2">
      <c r="B3" s="293" t="s">
        <v>10</v>
      </c>
      <c r="C3" t="s">
        <v>44</v>
      </c>
      <c r="D3" t="s">
        <v>42</v>
      </c>
      <c r="E3" s="358" t="s">
        <v>1002</v>
      </c>
      <c r="F3" t="s">
        <v>10</v>
      </c>
      <c r="G3" t="s">
        <v>54</v>
      </c>
      <c r="H3" t="s">
        <v>42</v>
      </c>
      <c r="I3" s="294" t="s">
        <v>968</v>
      </c>
      <c r="J3" t="s">
        <v>10</v>
      </c>
      <c r="K3" t="s">
        <v>54</v>
      </c>
      <c r="L3" t="s">
        <v>42</v>
      </c>
      <c r="M3" s="294" t="s">
        <v>968</v>
      </c>
      <c r="O3" s="293" t="s">
        <v>10</v>
      </c>
      <c r="P3" t="s">
        <v>54</v>
      </c>
      <c r="Q3" t="s">
        <v>42</v>
      </c>
      <c r="R3" s="294" t="s">
        <v>1005</v>
      </c>
      <c r="S3" s="293" t="s">
        <v>10</v>
      </c>
      <c r="T3" t="s">
        <v>54</v>
      </c>
      <c r="U3" t="s">
        <v>42</v>
      </c>
      <c r="V3" s="121" t="s">
        <v>968</v>
      </c>
      <c r="W3" s="97" t="s">
        <v>10</v>
      </c>
      <c r="X3" s="97" t="s">
        <v>42</v>
      </c>
      <c r="Y3" s="97"/>
      <c r="Z3" s="97" t="s">
        <v>102</v>
      </c>
      <c r="AA3" s="97" t="s">
        <v>103</v>
      </c>
    </row>
    <row r="4" spans="1:27" ht="24.6" customHeight="1" x14ac:dyDescent="0.2">
      <c r="A4" t="s">
        <v>58</v>
      </c>
      <c r="B4" s="295">
        <f>PGE!B35</f>
        <v>0</v>
      </c>
      <c r="C4" s="48">
        <f>PGE!C35</f>
        <v>81868</v>
      </c>
      <c r="D4" s="48">
        <f>PGE!D35</f>
        <v>29761</v>
      </c>
      <c r="E4" s="296"/>
      <c r="F4" s="48">
        <f>PACIFIC!B71</f>
        <v>0</v>
      </c>
      <c r="G4" s="48">
        <f>PACIFIC!C71</f>
        <v>57414.540725999999</v>
      </c>
      <c r="H4" s="48">
        <f>PACIFIC!C71</f>
        <v>57414.540725999999</v>
      </c>
      <c r="I4" s="296">
        <v>0</v>
      </c>
      <c r="J4" s="48">
        <f>NWN!B71</f>
        <v>0</v>
      </c>
      <c r="K4" s="48">
        <f>NWN!C71</f>
        <v>81867.259821779997</v>
      </c>
      <c r="L4" s="48">
        <f>NWN!D71</f>
        <v>143750</v>
      </c>
      <c r="M4" s="294">
        <v>0</v>
      </c>
      <c r="N4" t="s">
        <v>58</v>
      </c>
      <c r="O4" s="295">
        <f>CASCADE!B61</f>
        <v>0</v>
      </c>
      <c r="P4" s="48">
        <f>CASCADE!C61</f>
        <v>42713.059339499996</v>
      </c>
      <c r="Q4" s="48">
        <f>CASCADE!D61</f>
        <v>34500</v>
      </c>
      <c r="R4" s="294">
        <v>0</v>
      </c>
      <c r="S4" s="295">
        <f>AVISTA!B68</f>
        <v>0</v>
      </c>
      <c r="T4" s="48">
        <f>AVISTA!C68</f>
        <v>42713.059339499996</v>
      </c>
      <c r="U4" s="48">
        <f>AVISTA!D68</f>
        <v>70000</v>
      </c>
      <c r="V4" s="121">
        <v>0</v>
      </c>
      <c r="W4" s="48">
        <f>'IDAHO POWER'!B66</f>
        <v>0</v>
      </c>
      <c r="X4" s="48">
        <f>'IDAHO POWER'!C66</f>
        <v>31500</v>
      </c>
      <c r="Y4" s="101" t="s">
        <v>58</v>
      </c>
      <c r="Z4" s="48">
        <v>0</v>
      </c>
      <c r="AA4" s="48">
        <v>0</v>
      </c>
    </row>
    <row r="5" spans="1:27" ht="24.6" customHeight="1" x14ac:dyDescent="0.2">
      <c r="A5" t="s">
        <v>57</v>
      </c>
      <c r="B5" s="295">
        <f>PGE!B34</f>
        <v>116294</v>
      </c>
      <c r="C5" s="48">
        <f>PGE!C34</f>
        <v>81868</v>
      </c>
      <c r="D5" s="48">
        <f>PGE!D34</f>
        <v>165313</v>
      </c>
      <c r="E5" s="296">
        <f>PGE!E34</f>
        <v>10000</v>
      </c>
      <c r="F5" s="48">
        <f>PACIFIC!B70</f>
        <v>101125</v>
      </c>
      <c r="G5" s="48">
        <f>PACIFIC!C70</f>
        <v>81867.259821779997</v>
      </c>
      <c r="H5" s="48">
        <f>PACIFIC!C70</f>
        <v>81867.259821779997</v>
      </c>
      <c r="I5" s="296">
        <v>10000</v>
      </c>
      <c r="J5" s="48">
        <f>NWN!B70</f>
        <v>101125</v>
      </c>
      <c r="K5" s="48">
        <f>NWN!C71</f>
        <v>81867.259821779997</v>
      </c>
      <c r="L5" s="48">
        <f>NWN!D70</f>
        <v>143750</v>
      </c>
      <c r="M5" s="294">
        <v>10000</v>
      </c>
      <c r="N5" t="s">
        <v>57</v>
      </c>
      <c r="O5" s="295">
        <f>CASCADE!B60</f>
        <v>39500</v>
      </c>
      <c r="P5" s="48">
        <f>CASCADE!C60</f>
        <v>42713.059339499996</v>
      </c>
      <c r="Q5" s="48">
        <f>CASCADE!D60</f>
        <v>34500</v>
      </c>
      <c r="R5" s="294">
        <v>2500</v>
      </c>
      <c r="S5" s="295">
        <f>AVISTA!B67</f>
        <v>44500</v>
      </c>
      <c r="T5" s="48">
        <f>AVISTA!C67</f>
        <v>42713.059339499996</v>
      </c>
      <c r="U5" s="48">
        <f>AVISTA!D67</f>
        <v>70000</v>
      </c>
      <c r="V5" s="121">
        <v>5000</v>
      </c>
      <c r="W5" s="48">
        <f>'IDAHO POWER'!B65</f>
        <v>33000</v>
      </c>
      <c r="X5" s="48">
        <f>'IDAHO POWER'!C65</f>
        <v>31500</v>
      </c>
      <c r="Y5" s="111" t="s">
        <v>57</v>
      </c>
      <c r="Z5" s="48">
        <v>0</v>
      </c>
      <c r="AA5" s="48">
        <v>0</v>
      </c>
    </row>
    <row r="6" spans="1:27" ht="24.6" customHeight="1" x14ac:dyDescent="0.2">
      <c r="A6" s="51" t="s">
        <v>59</v>
      </c>
      <c r="B6" s="295">
        <f t="shared" ref="B6:J6" si="0">SUM(B4:B5)</f>
        <v>116294</v>
      </c>
      <c r="C6" s="48">
        <f t="shared" si="0"/>
        <v>163736</v>
      </c>
      <c r="D6" s="48">
        <f t="shared" si="0"/>
        <v>195074</v>
      </c>
      <c r="E6" s="296">
        <f t="shared" si="0"/>
        <v>10000</v>
      </c>
      <c r="F6" s="48">
        <f t="shared" si="0"/>
        <v>101125</v>
      </c>
      <c r="G6" s="48">
        <f t="shared" si="0"/>
        <v>139281.80054778</v>
      </c>
      <c r="H6" s="48">
        <f>SUM(H4:H5)</f>
        <v>139281.80054778</v>
      </c>
      <c r="I6" s="296">
        <f t="shared" si="0"/>
        <v>10000</v>
      </c>
      <c r="J6" s="48">
        <f t="shared" si="0"/>
        <v>101125</v>
      </c>
      <c r="K6" s="48">
        <f>SUM(K4:K5)</f>
        <v>163734.51964355999</v>
      </c>
      <c r="L6" s="48">
        <f>SUM(L4:L5)</f>
        <v>287500</v>
      </c>
      <c r="M6" s="294">
        <f>+SUM(M4:M5)</f>
        <v>10000</v>
      </c>
      <c r="N6" s="51" t="s">
        <v>59</v>
      </c>
      <c r="O6" s="295">
        <f t="shared" ref="O6:X6" si="1">SUM(O4:O5)</f>
        <v>39500</v>
      </c>
      <c r="P6" s="48">
        <f t="shared" si="1"/>
        <v>85426.118678999992</v>
      </c>
      <c r="Q6" s="48">
        <f>SUM(Q4:Q5)</f>
        <v>69000</v>
      </c>
      <c r="R6" s="294"/>
      <c r="S6" s="295">
        <f t="shared" si="1"/>
        <v>44500</v>
      </c>
      <c r="T6" s="48">
        <f t="shared" si="1"/>
        <v>85426.118678999992</v>
      </c>
      <c r="U6" s="48">
        <f>SUM(U4:U5)</f>
        <v>140000</v>
      </c>
      <c r="V6" s="121"/>
      <c r="W6" s="48">
        <f t="shared" si="1"/>
        <v>33000</v>
      </c>
      <c r="X6" s="48">
        <f t="shared" si="1"/>
        <v>63000</v>
      </c>
      <c r="Y6" s="111" t="s">
        <v>59</v>
      </c>
      <c r="Z6" s="48">
        <f>SUM(Z4:Z5)</f>
        <v>0</v>
      </c>
      <c r="AA6" s="48">
        <f>SUM(AA4:AA5)</f>
        <v>0</v>
      </c>
    </row>
    <row r="7" spans="1:27" ht="24.6" customHeight="1" x14ac:dyDescent="0.2">
      <c r="A7" s="127" t="s">
        <v>1001</v>
      </c>
      <c r="B7" s="295">
        <f>PGE!E43</f>
        <v>116294</v>
      </c>
      <c r="C7" s="48">
        <f>PGE!F43</f>
        <v>0</v>
      </c>
      <c r="D7" s="48">
        <f>PGE!G43</f>
        <v>0</v>
      </c>
      <c r="E7" s="296">
        <f>PGE!H43</f>
        <v>0</v>
      </c>
      <c r="F7" s="48">
        <f>PACIFIC!E80</f>
        <v>101125</v>
      </c>
      <c r="G7" s="48">
        <f>PACIFIC!E84</f>
        <v>13572.75</v>
      </c>
      <c r="H7" s="48">
        <f>PACIFIC!D98</f>
        <v>0</v>
      </c>
      <c r="I7" s="296">
        <f>PACIFIC!E98</f>
        <v>119060.39</v>
      </c>
      <c r="J7" s="48">
        <f>NWN!E80</f>
        <v>101125</v>
      </c>
      <c r="K7" s="48">
        <f>NWN!E85</f>
        <v>0</v>
      </c>
      <c r="L7" s="48">
        <f>NWN!E91</f>
        <v>209500</v>
      </c>
      <c r="M7" s="294"/>
      <c r="N7" s="127" t="s">
        <v>1001</v>
      </c>
      <c r="O7" s="295">
        <f>CASCADE!E3768</f>
        <v>0</v>
      </c>
      <c r="P7" s="48">
        <f>CASCADE!E75</f>
        <v>4008.0299999999997</v>
      </c>
      <c r="Q7" s="48">
        <f>CASCADE!E79</f>
        <v>6000</v>
      </c>
      <c r="R7" s="294"/>
      <c r="S7" s="295">
        <f>AVISTA!E77</f>
        <v>44500</v>
      </c>
      <c r="T7" s="48">
        <f>AVISTA!E81</f>
        <v>4480.1900000000005</v>
      </c>
      <c r="U7" s="48">
        <f>AVISTA!E89</f>
        <v>46628.32</v>
      </c>
      <c r="V7" s="121"/>
      <c r="W7" s="48">
        <f>'IDAHO POWER'!E76</f>
        <v>0</v>
      </c>
      <c r="X7" s="48">
        <f>'IDAHO POWER'!E82</f>
        <v>13507</v>
      </c>
      <c r="Y7" s="79" t="s">
        <v>707</v>
      </c>
      <c r="Z7" s="48">
        <f>'PACIFICORP MSP'!D120</f>
        <v>57500</v>
      </c>
      <c r="AA7" s="48">
        <v>0</v>
      </c>
    </row>
    <row r="8" spans="1:27" ht="24.6" customHeight="1" x14ac:dyDescent="0.2">
      <c r="A8" s="51" t="s">
        <v>61</v>
      </c>
      <c r="B8" s="295">
        <f>PGE!F43</f>
        <v>0</v>
      </c>
      <c r="C8" s="48">
        <f>PGE!G43</f>
        <v>0</v>
      </c>
      <c r="D8" s="48">
        <f>PGE!H43</f>
        <v>0</v>
      </c>
      <c r="E8" s="296">
        <f>PGE!I43</f>
        <v>0</v>
      </c>
      <c r="F8" s="48">
        <f>PACIFIC!G80</f>
        <v>0</v>
      </c>
      <c r="G8" s="48">
        <f>PACIFIC!G84</f>
        <v>94311.82</v>
      </c>
      <c r="H8" s="48">
        <f>SUM(PACIFIC!F98+(PACIFIC!C71-PACIFIC!C73))</f>
        <v>0</v>
      </c>
      <c r="I8" s="296">
        <f>SUM(PACIFIC!G98+(PACIFIC!D71-PACIFIC!D73))</f>
        <v>26201.79</v>
      </c>
      <c r="J8" s="48">
        <f>NWN!F80</f>
        <v>0</v>
      </c>
      <c r="K8" s="48">
        <f>NWN!F85</f>
        <v>0</v>
      </c>
      <c r="L8" s="48">
        <f>SUM(NWN!F91+(NWN!D71-NWN!D73))</f>
        <v>0</v>
      </c>
      <c r="M8" s="294"/>
      <c r="N8" s="51" t="s">
        <v>61</v>
      </c>
      <c r="O8" s="295">
        <f>CASCADE!F70</f>
        <v>0</v>
      </c>
      <c r="P8" s="48">
        <f>CASCADE!F79</f>
        <v>0</v>
      </c>
      <c r="Q8" s="48">
        <f>SUM(CASCADE!F79+(CASCADE!D61-CASCADE!D63))</f>
        <v>0</v>
      </c>
      <c r="R8" s="294"/>
      <c r="S8" s="295">
        <f>AVISTA!F77</f>
        <v>0</v>
      </c>
      <c r="T8" s="48">
        <f>AVISTA!F81</f>
        <v>0</v>
      </c>
      <c r="U8" s="48">
        <f>SUM(AVISTA!F89+(AVISTA!D68-AVISTA!D70))</f>
        <v>3937.4600000000064</v>
      </c>
      <c r="V8" s="121"/>
      <c r="W8" s="48">
        <f>'IDAHO POWER'!F75</f>
        <v>0</v>
      </c>
      <c r="X8" s="48">
        <f>SUM('IDAHO POWER'!F82+('IDAHO POWER'!C66-'IDAHO POWER'!C68))</f>
        <v>0</v>
      </c>
      <c r="Y8" s="111" t="s">
        <v>61</v>
      </c>
      <c r="Z8" s="48">
        <v>0</v>
      </c>
      <c r="AA8" s="48">
        <f>'PACIFICORP MSP'!E125</f>
        <v>0</v>
      </c>
    </row>
    <row r="9" spans="1:27" ht="36.75" customHeight="1" thickBot="1" x14ac:dyDescent="0.25">
      <c r="A9" s="81" t="s">
        <v>60</v>
      </c>
      <c r="B9" s="297">
        <f>PGE!B40</f>
        <v>0</v>
      </c>
      <c r="C9" s="298">
        <f>PGE!C40</f>
        <v>28920.349999999977</v>
      </c>
      <c r="D9" s="298">
        <f>PGE!D40</f>
        <v>0</v>
      </c>
      <c r="E9" s="299">
        <f>PGE!E40</f>
        <v>0</v>
      </c>
      <c r="F9" s="298">
        <f>PACIFIC!B76</f>
        <v>0</v>
      </c>
      <c r="G9" s="298">
        <f>PACIFIC!C76</f>
        <v>31397.230547779996</v>
      </c>
      <c r="H9" s="298">
        <f>PACIFIC!C76</f>
        <v>31397.230547779996</v>
      </c>
      <c r="I9" s="299">
        <f>PACIFIC!D76</f>
        <v>-3.637978807091713E-11</v>
      </c>
      <c r="J9" s="298">
        <f>NWN!B76</f>
        <v>0</v>
      </c>
      <c r="K9" s="298">
        <f>NWN!C76</f>
        <v>109485.83964356</v>
      </c>
      <c r="L9" s="298">
        <f>NWN!D76</f>
        <v>78000</v>
      </c>
      <c r="M9" s="359"/>
      <c r="N9" s="81" t="s">
        <v>60</v>
      </c>
      <c r="O9" s="297">
        <f>CASCADE!B66</f>
        <v>0</v>
      </c>
      <c r="P9" s="298">
        <f>CASCADE!C66</f>
        <v>81418.088678999993</v>
      </c>
      <c r="Q9" s="298">
        <f>CASCADE!D66</f>
        <v>63000</v>
      </c>
      <c r="R9" s="359"/>
      <c r="S9" s="297">
        <f>AVISTA!B73</f>
        <v>0</v>
      </c>
      <c r="T9" s="298">
        <f>AVISTA!C73</f>
        <v>80945.92867899999</v>
      </c>
      <c r="U9" s="360">
        <f>AVISTA!D73</f>
        <v>89434.219999999972</v>
      </c>
      <c r="V9" s="122"/>
      <c r="W9" s="80">
        <f>'IDAHO POWER'!B71</f>
        <v>0</v>
      </c>
      <c r="X9" s="80">
        <f>'IDAHO POWER'!C71</f>
        <v>49493</v>
      </c>
      <c r="Y9" s="112" t="s">
        <v>60</v>
      </c>
      <c r="Z9" s="80">
        <f>'PACIFICORP MSP'!B114</f>
        <v>0</v>
      </c>
      <c r="AA9" s="80">
        <v>0</v>
      </c>
    </row>
    <row r="10" spans="1:27" ht="13.5" thickBot="1" x14ac:dyDescent="0.25">
      <c r="C10" s="48"/>
      <c r="D10" s="48"/>
      <c r="E10" s="48"/>
    </row>
    <row r="11" spans="1:27" ht="6" customHeight="1" thickTop="1" thickBot="1" x14ac:dyDescent="0.25">
      <c r="A11" s="69"/>
      <c r="B11" s="69"/>
      <c r="C11" s="69"/>
      <c r="D11" s="69"/>
      <c r="E11" s="69"/>
      <c r="F11" s="69"/>
      <c r="G11" s="69"/>
      <c r="H11" s="69"/>
      <c r="I11" s="69"/>
      <c r="J11" s="69"/>
      <c r="K11" s="69"/>
      <c r="L11" s="69"/>
      <c r="M11" s="69"/>
      <c r="N11" s="82"/>
      <c r="O11" s="82"/>
      <c r="P11" s="82"/>
      <c r="Q11" s="82"/>
      <c r="R11" s="82"/>
      <c r="S11" s="82"/>
      <c r="T11" s="82"/>
      <c r="U11" s="82"/>
      <c r="V11" s="82"/>
      <c r="W11" s="69"/>
      <c r="X11" s="69"/>
      <c r="Y11" s="113"/>
      <c r="Z11" s="114"/>
      <c r="AA11" s="115"/>
    </row>
    <row r="12" spans="1:27" ht="14.25" customHeight="1" thickTop="1" x14ac:dyDescent="0.2">
      <c r="A12" s="478" t="s">
        <v>857</v>
      </c>
      <c r="B12" s="479"/>
      <c r="C12" s="479"/>
      <c r="D12" s="479"/>
      <c r="E12" s="479"/>
      <c r="F12" s="479"/>
      <c r="G12" s="479"/>
      <c r="H12" s="479"/>
      <c r="I12" s="479"/>
      <c r="J12" s="479"/>
      <c r="K12" s="479"/>
      <c r="L12" s="479"/>
      <c r="M12" s="480"/>
      <c r="N12" s="478" t="s">
        <v>857</v>
      </c>
      <c r="O12" s="479"/>
      <c r="P12" s="479"/>
      <c r="Q12" s="479"/>
      <c r="R12" s="479"/>
      <c r="S12" s="479"/>
      <c r="T12" s="479"/>
      <c r="U12" s="479"/>
      <c r="V12" s="479"/>
      <c r="W12" s="82"/>
      <c r="X12" s="98"/>
      <c r="Y12" s="125"/>
      <c r="Z12" s="116"/>
      <c r="AA12" s="117"/>
    </row>
    <row r="13" spans="1:27" ht="13.5" thickBot="1" x14ac:dyDescent="0.25">
      <c r="A13" s="475" t="s">
        <v>858</v>
      </c>
      <c r="B13" s="476"/>
      <c r="C13" s="476"/>
      <c r="D13" s="476"/>
      <c r="E13" s="476"/>
      <c r="F13" s="476"/>
      <c r="G13" s="476"/>
      <c r="H13" s="476"/>
      <c r="I13" s="476"/>
      <c r="J13" s="476"/>
      <c r="K13" s="476"/>
      <c r="L13" s="476"/>
      <c r="M13" s="477"/>
      <c r="N13" s="475" t="s">
        <v>858</v>
      </c>
      <c r="O13" s="476"/>
      <c r="P13" s="476"/>
      <c r="Q13" s="476"/>
      <c r="R13" s="476"/>
      <c r="S13" s="476"/>
      <c r="T13" s="476"/>
      <c r="U13" s="476"/>
      <c r="V13" s="476"/>
      <c r="W13" s="99"/>
      <c r="X13" s="100"/>
      <c r="Y13" s="126"/>
      <c r="Z13" s="99"/>
      <c r="AA13" s="100"/>
    </row>
    <row r="14" spans="1:27" ht="13.5" thickTop="1" x14ac:dyDescent="0.2">
      <c r="A14" s="72"/>
      <c r="B14" s="483" t="s">
        <v>10</v>
      </c>
      <c r="C14" s="484"/>
      <c r="D14" s="484"/>
      <c r="E14" s="485"/>
      <c r="F14" s="483" t="s">
        <v>997</v>
      </c>
      <c r="G14" s="484"/>
      <c r="H14" s="484"/>
      <c r="I14" s="485"/>
      <c r="J14" s="484" t="s">
        <v>998</v>
      </c>
      <c r="K14" s="484"/>
      <c r="L14" s="484"/>
      <c r="M14" s="485"/>
      <c r="N14" s="486" t="s">
        <v>999</v>
      </c>
      <c r="O14" s="487"/>
      <c r="P14" s="488"/>
      <c r="Q14" s="356"/>
      <c r="Y14" s="118"/>
      <c r="Z14" s="82"/>
      <c r="AA14" s="119"/>
    </row>
    <row r="15" spans="1:27" ht="25.5" x14ac:dyDescent="0.2">
      <c r="A15" s="70"/>
      <c r="B15" s="72" t="s">
        <v>85</v>
      </c>
      <c r="C15" s="51" t="s">
        <v>86</v>
      </c>
      <c r="D15" s="51"/>
      <c r="E15" s="71" t="s">
        <v>87</v>
      </c>
      <c r="F15" s="72" t="s">
        <v>85</v>
      </c>
      <c r="G15" s="51" t="s">
        <v>86</v>
      </c>
      <c r="H15" s="51"/>
      <c r="I15" s="71" t="s">
        <v>87</v>
      </c>
      <c r="J15" s="51" t="s">
        <v>4</v>
      </c>
      <c r="K15" s="51" t="s">
        <v>86</v>
      </c>
      <c r="L15" s="51"/>
      <c r="M15" s="71" t="s">
        <v>87</v>
      </c>
      <c r="N15" s="70" t="s">
        <v>85</v>
      </c>
      <c r="O15" s="51" t="s">
        <v>86</v>
      </c>
      <c r="P15" s="71" t="s">
        <v>97</v>
      </c>
      <c r="Q15" s="51"/>
      <c r="Y15" s="88"/>
      <c r="Z15" s="120"/>
      <c r="AA15" s="234"/>
    </row>
    <row r="16" spans="1:27" x14ac:dyDescent="0.2">
      <c r="A16" s="72"/>
      <c r="B16" s="124"/>
      <c r="C16" s="48"/>
      <c r="D16" s="48"/>
      <c r="E16" s="73"/>
      <c r="F16" s="124"/>
      <c r="G16" s="48"/>
      <c r="H16" s="48"/>
      <c r="I16" s="73"/>
      <c r="K16" s="48"/>
      <c r="L16" s="48"/>
      <c r="M16" s="73"/>
      <c r="N16" s="124"/>
      <c r="O16" s="101"/>
      <c r="P16" s="79"/>
      <c r="Q16" s="79"/>
      <c r="Y16" s="72"/>
      <c r="Z16" s="42"/>
      <c r="AA16" s="42"/>
    </row>
    <row r="17" spans="1:27" x14ac:dyDescent="0.2">
      <c r="A17" s="72"/>
      <c r="B17" s="124"/>
      <c r="C17" s="48"/>
      <c r="D17" s="48"/>
      <c r="E17" s="73"/>
      <c r="F17" s="124"/>
      <c r="G17" s="48"/>
      <c r="H17" s="48"/>
      <c r="I17" s="73"/>
      <c r="J17" s="127"/>
      <c r="K17" s="48"/>
      <c r="L17" s="48"/>
      <c r="M17" s="73"/>
      <c r="N17" s="124"/>
      <c r="O17" s="48"/>
      <c r="P17" s="73"/>
      <c r="Q17" s="48"/>
      <c r="Y17" s="72"/>
      <c r="AA17" s="121"/>
    </row>
    <row r="18" spans="1:27" x14ac:dyDescent="0.2">
      <c r="A18" s="72"/>
      <c r="B18" s="124"/>
      <c r="C18" s="48"/>
      <c r="D18" s="48"/>
      <c r="E18" s="73"/>
      <c r="F18" s="124"/>
      <c r="G18" s="79"/>
      <c r="H18" s="79"/>
      <c r="I18" s="213"/>
      <c r="K18" s="48"/>
      <c r="L18" s="48"/>
      <c r="M18" s="73"/>
      <c r="N18" s="124"/>
      <c r="O18" s="48"/>
      <c r="P18" s="73"/>
      <c r="Q18" s="48"/>
      <c r="Y18" s="72"/>
      <c r="AA18" s="121"/>
    </row>
    <row r="19" spans="1:27" x14ac:dyDescent="0.2">
      <c r="A19" s="72"/>
      <c r="B19" s="124"/>
      <c r="C19" s="48"/>
      <c r="D19" s="48"/>
      <c r="E19" s="73"/>
      <c r="F19" s="124"/>
      <c r="G19" s="48"/>
      <c r="H19" s="48"/>
      <c r="I19" s="73"/>
      <c r="K19" s="48"/>
      <c r="L19" s="48"/>
      <c r="M19" s="73"/>
      <c r="N19" s="124"/>
      <c r="O19" s="48"/>
      <c r="P19" s="73"/>
      <c r="Q19" s="48"/>
      <c r="Y19" s="72"/>
      <c r="AA19" s="121"/>
    </row>
    <row r="20" spans="1:27" x14ac:dyDescent="0.2">
      <c r="A20" s="72"/>
      <c r="B20" s="124"/>
      <c r="C20" s="48"/>
      <c r="D20" s="48"/>
      <c r="E20" s="73"/>
      <c r="F20" s="124"/>
      <c r="G20" s="48"/>
      <c r="H20" s="48"/>
      <c r="I20" s="73"/>
      <c r="K20" s="48"/>
      <c r="L20" s="48"/>
      <c r="M20" s="73"/>
      <c r="N20" s="124"/>
      <c r="O20" s="48"/>
      <c r="P20" s="73"/>
      <c r="Q20" s="48"/>
      <c r="Y20" s="72"/>
      <c r="AA20" s="121"/>
    </row>
    <row r="21" spans="1:27" x14ac:dyDescent="0.2">
      <c r="A21" s="72"/>
      <c r="B21" s="124"/>
      <c r="C21" s="48"/>
      <c r="D21" s="48"/>
      <c r="E21" s="73"/>
      <c r="F21" s="124"/>
      <c r="G21" s="48"/>
      <c r="H21" s="48"/>
      <c r="I21" s="73"/>
      <c r="K21" s="48"/>
      <c r="L21" s="48"/>
      <c r="M21" s="73"/>
      <c r="N21" s="72"/>
      <c r="O21" s="48"/>
      <c r="P21" s="73"/>
      <c r="Q21" s="48"/>
      <c r="Y21" s="72"/>
      <c r="AA21" s="121"/>
    </row>
    <row r="22" spans="1:27" x14ac:dyDescent="0.2">
      <c r="A22" s="72"/>
      <c r="B22" s="124"/>
      <c r="C22" s="48"/>
      <c r="D22" s="48"/>
      <c r="E22" s="73"/>
      <c r="F22" s="124"/>
      <c r="G22" s="48"/>
      <c r="H22" s="48"/>
      <c r="I22" s="73"/>
      <c r="K22" s="48"/>
      <c r="L22" s="48"/>
      <c r="M22" s="73"/>
      <c r="N22" s="72"/>
      <c r="O22" s="48"/>
      <c r="P22" s="73"/>
      <c r="Q22" s="48"/>
      <c r="Y22" s="72"/>
      <c r="AA22" s="121"/>
    </row>
    <row r="23" spans="1:27" x14ac:dyDescent="0.2">
      <c r="A23" s="72"/>
      <c r="B23" s="124"/>
      <c r="C23" s="48"/>
      <c r="D23" s="48"/>
      <c r="E23" s="73"/>
      <c r="F23" s="124"/>
      <c r="G23" s="48"/>
      <c r="H23" s="48"/>
      <c r="I23" s="73"/>
      <c r="K23" s="48"/>
      <c r="L23" s="48"/>
      <c r="M23" s="73"/>
      <c r="N23" s="72"/>
      <c r="O23" s="48"/>
      <c r="P23" s="73"/>
      <c r="Q23" s="48"/>
      <c r="Y23" s="72"/>
      <c r="AA23" s="121"/>
    </row>
    <row r="24" spans="1:27" x14ac:dyDescent="0.2">
      <c r="A24" s="72"/>
      <c r="B24" s="124"/>
      <c r="C24" s="48"/>
      <c r="D24" s="48"/>
      <c r="E24" s="73"/>
      <c r="F24" s="88"/>
      <c r="G24" s="48"/>
      <c r="H24" s="48"/>
      <c r="I24" s="73"/>
      <c r="K24" s="48"/>
      <c r="L24" s="48"/>
      <c r="M24" s="73"/>
      <c r="N24" s="72"/>
      <c r="O24" s="48"/>
      <c r="P24" s="73"/>
      <c r="Q24" s="48"/>
      <c r="Y24" s="72"/>
      <c r="AA24" s="121"/>
    </row>
    <row r="25" spans="1:27" x14ac:dyDescent="0.2">
      <c r="A25" s="72"/>
      <c r="B25" s="124"/>
      <c r="C25" s="48"/>
      <c r="D25" s="48"/>
      <c r="E25" s="73"/>
      <c r="F25" s="88"/>
      <c r="G25" s="48"/>
      <c r="H25" s="48"/>
      <c r="I25" s="73"/>
      <c r="K25" s="48"/>
      <c r="L25" s="48"/>
      <c r="M25" s="73"/>
      <c r="N25" s="72"/>
      <c r="O25" s="48"/>
      <c r="P25" s="73"/>
      <c r="Q25" s="48"/>
      <c r="Y25" s="72"/>
      <c r="AA25" s="121"/>
    </row>
    <row r="26" spans="1:27" x14ac:dyDescent="0.2">
      <c r="A26" s="72"/>
      <c r="B26" s="124"/>
      <c r="C26" s="48"/>
      <c r="D26" s="48"/>
      <c r="E26" s="73"/>
      <c r="F26" s="88"/>
      <c r="G26" s="48"/>
      <c r="H26" s="48"/>
      <c r="I26" s="73"/>
      <c r="K26" s="48"/>
      <c r="L26" s="48"/>
      <c r="M26" s="73"/>
      <c r="N26" s="72"/>
      <c r="O26" s="48"/>
      <c r="P26" s="73"/>
      <c r="Q26" s="48"/>
      <c r="Y26" s="72"/>
      <c r="AA26" s="121"/>
    </row>
    <row r="27" spans="1:27" x14ac:dyDescent="0.2">
      <c r="A27" s="72"/>
      <c r="B27" s="124"/>
      <c r="C27" s="48"/>
      <c r="D27" s="48"/>
      <c r="E27" s="73"/>
      <c r="F27" s="88"/>
      <c r="G27" s="48"/>
      <c r="H27" s="48"/>
      <c r="I27" s="73"/>
      <c r="K27" s="48"/>
      <c r="L27" s="48"/>
      <c r="M27" s="73"/>
      <c r="N27" s="72"/>
      <c r="O27" s="48"/>
      <c r="P27" s="73"/>
      <c r="Q27" s="48"/>
      <c r="Y27" s="72"/>
      <c r="AA27" s="121"/>
    </row>
    <row r="28" spans="1:27" x14ac:dyDescent="0.2">
      <c r="A28" s="72"/>
      <c r="B28" s="124"/>
      <c r="C28" s="48"/>
      <c r="D28" s="48"/>
      <c r="E28" s="73"/>
      <c r="F28" s="88"/>
      <c r="G28" s="48"/>
      <c r="H28" s="48"/>
      <c r="I28" s="73"/>
      <c r="K28" s="48"/>
      <c r="L28" s="48"/>
      <c r="M28" s="73"/>
      <c r="N28" s="72"/>
      <c r="O28" s="48"/>
      <c r="P28" s="73"/>
      <c r="Q28" s="48"/>
      <c r="Y28" s="72"/>
      <c r="AA28" s="121"/>
    </row>
    <row r="29" spans="1:27" x14ac:dyDescent="0.2">
      <c r="A29" s="72"/>
      <c r="B29" s="124"/>
      <c r="C29" s="48"/>
      <c r="D29" s="48"/>
      <c r="E29" s="73"/>
      <c r="F29" s="88"/>
      <c r="G29" s="48"/>
      <c r="H29" s="48"/>
      <c r="I29" s="73"/>
      <c r="K29" s="48"/>
      <c r="L29" s="48"/>
      <c r="M29" s="73"/>
      <c r="N29" s="72"/>
      <c r="O29" s="48"/>
      <c r="P29" s="73"/>
      <c r="Q29" s="48"/>
      <c r="Y29" s="72"/>
      <c r="AA29" s="121"/>
    </row>
    <row r="30" spans="1:27" x14ac:dyDescent="0.2">
      <c r="A30" s="72"/>
      <c r="B30" s="124"/>
      <c r="C30" s="48"/>
      <c r="D30" s="48"/>
      <c r="E30" s="73"/>
      <c r="F30" s="88"/>
      <c r="G30" s="48"/>
      <c r="H30" s="48"/>
      <c r="I30" s="73"/>
      <c r="K30" s="48"/>
      <c r="L30" s="48"/>
      <c r="M30" s="73"/>
      <c r="N30" s="72"/>
      <c r="O30" s="48"/>
      <c r="P30" s="73"/>
      <c r="Q30" s="48"/>
      <c r="Y30" s="72"/>
      <c r="AA30" s="121"/>
    </row>
    <row r="31" spans="1:27" x14ac:dyDescent="0.2">
      <c r="A31" s="72"/>
      <c r="B31" s="124"/>
      <c r="C31" s="48"/>
      <c r="D31" s="48"/>
      <c r="E31" s="73"/>
      <c r="F31" s="88"/>
      <c r="G31" s="48"/>
      <c r="H31" s="48"/>
      <c r="I31" s="73"/>
      <c r="K31" s="48"/>
      <c r="L31" s="48"/>
      <c r="M31" s="73"/>
      <c r="N31" s="72"/>
      <c r="O31" s="48"/>
      <c r="P31" s="73"/>
      <c r="Q31" s="48"/>
      <c r="Y31" s="72"/>
      <c r="AA31" s="121"/>
    </row>
    <row r="32" spans="1:27" x14ac:dyDescent="0.2">
      <c r="A32" s="72"/>
      <c r="B32" s="124"/>
      <c r="C32" s="48"/>
      <c r="D32" s="48"/>
      <c r="E32" s="73"/>
      <c r="F32" s="88"/>
      <c r="G32" s="48"/>
      <c r="H32" s="48"/>
      <c r="I32" s="73"/>
      <c r="K32" s="48"/>
      <c r="L32" s="48"/>
      <c r="M32" s="73"/>
      <c r="N32" s="72"/>
      <c r="O32" s="48"/>
      <c r="P32" s="73"/>
      <c r="Q32" s="48"/>
      <c r="Y32" s="72"/>
      <c r="AA32" s="121"/>
    </row>
    <row r="33" spans="1:27" x14ac:dyDescent="0.2">
      <c r="A33" s="72"/>
      <c r="B33" s="124"/>
      <c r="C33" s="48"/>
      <c r="D33" s="48"/>
      <c r="E33" s="73"/>
      <c r="F33" s="88"/>
      <c r="G33" s="48"/>
      <c r="H33" s="48"/>
      <c r="I33" s="73"/>
      <c r="K33" s="48"/>
      <c r="L33" s="48"/>
      <c r="M33" s="73"/>
      <c r="N33" s="72"/>
      <c r="O33" s="48"/>
      <c r="P33" s="73"/>
      <c r="Q33" s="48"/>
      <c r="Y33" s="72"/>
      <c r="AA33" s="121"/>
    </row>
    <row r="34" spans="1:27" x14ac:dyDescent="0.2">
      <c r="A34" s="72"/>
      <c r="B34" s="124"/>
      <c r="C34" s="48"/>
      <c r="D34" s="48"/>
      <c r="E34" s="73"/>
      <c r="F34" s="88"/>
      <c r="G34" s="48"/>
      <c r="H34" s="48"/>
      <c r="I34" s="73"/>
      <c r="K34" s="48"/>
      <c r="L34" s="48"/>
      <c r="M34" s="73"/>
      <c r="N34" s="72"/>
      <c r="O34" s="48"/>
      <c r="P34" s="73"/>
      <c r="Q34" s="48"/>
      <c r="Y34" s="72"/>
      <c r="AA34" s="121"/>
    </row>
    <row r="35" spans="1:27" x14ac:dyDescent="0.2">
      <c r="A35" s="72"/>
      <c r="B35" s="124"/>
      <c r="C35" s="48"/>
      <c r="D35" s="48"/>
      <c r="E35" s="73"/>
      <c r="F35" s="88"/>
      <c r="G35" s="48"/>
      <c r="H35" s="48"/>
      <c r="I35" s="73"/>
      <c r="K35" s="48"/>
      <c r="L35" s="48"/>
      <c r="M35" s="73"/>
      <c r="N35" s="72"/>
      <c r="O35" s="48"/>
      <c r="P35" s="73"/>
      <c r="Q35" s="48"/>
      <c r="Y35" s="72"/>
      <c r="AA35" s="121"/>
    </row>
    <row r="36" spans="1:27" x14ac:dyDescent="0.2">
      <c r="A36" s="74" t="s">
        <v>88</v>
      </c>
      <c r="B36" s="74"/>
      <c r="C36" s="76">
        <f>SUM(C16:C35)</f>
        <v>0</v>
      </c>
      <c r="D36" s="76"/>
      <c r="E36" s="77">
        <f>SUM(E16:E35)</f>
        <v>0</v>
      </c>
      <c r="F36" s="74"/>
      <c r="G36" s="76">
        <f>SUM(G16:G23)</f>
        <v>0</v>
      </c>
      <c r="H36" s="76"/>
      <c r="I36" s="77">
        <f>SUM(I16:I22)</f>
        <v>0</v>
      </c>
      <c r="J36" s="75"/>
      <c r="K36" s="76">
        <f>SUM(K16:K17)</f>
        <v>0</v>
      </c>
      <c r="L36" s="76"/>
      <c r="M36" s="77">
        <f>SUM(M16:M17)</f>
        <v>0</v>
      </c>
      <c r="N36" s="74"/>
      <c r="O36" s="76">
        <f>SUM(O16:O22)</f>
        <v>0</v>
      </c>
      <c r="P36" s="77">
        <f>SUM(P16:P22)</f>
        <v>0</v>
      </c>
      <c r="Q36" s="76"/>
      <c r="R36" s="75"/>
      <c r="S36" s="75"/>
      <c r="T36" s="75"/>
      <c r="U36" s="75"/>
      <c r="V36" s="75"/>
      <c r="W36" s="75"/>
      <c r="X36" s="75"/>
      <c r="Y36" s="74"/>
      <c r="Z36" s="75"/>
      <c r="AA36" s="122"/>
    </row>
    <row r="37" spans="1:27" x14ac:dyDescent="0.2">
      <c r="C37" s="48"/>
      <c r="D37" s="48"/>
      <c r="E37" s="48"/>
      <c r="G37" s="48"/>
      <c r="H37" s="48"/>
      <c r="I37" s="48"/>
      <c r="K37" s="48"/>
      <c r="L37" s="48"/>
      <c r="M37" s="48"/>
    </row>
    <row r="38" spans="1:27" x14ac:dyDescent="0.2">
      <c r="C38" s="48"/>
      <c r="D38" s="48"/>
      <c r="E38" s="48"/>
      <c r="G38" s="48"/>
      <c r="H38" s="48"/>
      <c r="I38" s="48"/>
      <c r="K38" s="48"/>
      <c r="L38" s="48"/>
      <c r="M38" s="48"/>
    </row>
    <row r="39" spans="1:27" x14ac:dyDescent="0.2">
      <c r="C39" s="48"/>
      <c r="D39" s="48"/>
      <c r="E39" s="48"/>
      <c r="G39" s="48"/>
      <c r="H39" s="48"/>
      <c r="I39" s="48"/>
      <c r="K39" s="48"/>
      <c r="L39" s="48"/>
      <c r="M39" s="48"/>
    </row>
    <row r="40" spans="1:27" x14ac:dyDescent="0.2">
      <c r="C40" s="48"/>
      <c r="D40" s="48"/>
      <c r="E40" s="48"/>
      <c r="G40" s="48"/>
      <c r="H40" s="48"/>
      <c r="I40" s="48"/>
      <c r="K40" s="48"/>
      <c r="L40" s="48"/>
      <c r="M40" s="48"/>
    </row>
    <row r="41" spans="1:27" x14ac:dyDescent="0.2">
      <c r="C41" s="48"/>
      <c r="D41" s="48"/>
      <c r="E41" s="48"/>
      <c r="G41" s="48"/>
      <c r="H41" s="48"/>
      <c r="I41" s="48"/>
      <c r="K41" s="48"/>
      <c r="L41" s="48"/>
      <c r="M41" s="48"/>
    </row>
    <row r="42" spans="1:27" x14ac:dyDescent="0.2">
      <c r="C42" s="48"/>
      <c r="D42" s="48"/>
      <c r="E42" s="48"/>
      <c r="G42" s="48"/>
      <c r="H42" s="48"/>
      <c r="I42" s="48"/>
      <c r="K42" s="48"/>
      <c r="L42" s="48"/>
      <c r="M42" s="48"/>
    </row>
    <row r="43" spans="1:27" x14ac:dyDescent="0.2">
      <c r="C43" s="48"/>
      <c r="D43" s="48"/>
      <c r="E43" s="48"/>
      <c r="G43" s="48"/>
      <c r="H43" s="48"/>
      <c r="I43" s="48"/>
      <c r="K43" s="48"/>
      <c r="L43" s="48"/>
      <c r="M43" s="48"/>
    </row>
    <row r="44" spans="1:27" x14ac:dyDescent="0.2">
      <c r="C44" s="48"/>
      <c r="D44" s="48"/>
      <c r="E44" s="48"/>
    </row>
    <row r="45" spans="1:27" x14ac:dyDescent="0.2">
      <c r="I45" s="48"/>
    </row>
  </sheetData>
  <mergeCells count="18">
    <mergeCell ref="B14:E14"/>
    <mergeCell ref="F14:I14"/>
    <mergeCell ref="J14:M14"/>
    <mergeCell ref="N12:V12"/>
    <mergeCell ref="N13:V13"/>
    <mergeCell ref="N14:P14"/>
    <mergeCell ref="J2:M2"/>
    <mergeCell ref="O2:R2"/>
    <mergeCell ref="Z2:AA2"/>
    <mergeCell ref="Y1:AA1"/>
    <mergeCell ref="A13:M13"/>
    <mergeCell ref="A12:M12"/>
    <mergeCell ref="W2:X2"/>
    <mergeCell ref="N1:X1"/>
    <mergeCell ref="S2:V2"/>
    <mergeCell ref="A1:M1"/>
    <mergeCell ref="B2:E2"/>
    <mergeCell ref="F2:I2"/>
  </mergeCells>
  <phoneticPr fontId="7" type="noConversion"/>
  <printOptions gridLines="1"/>
  <pageMargins left="0.75" right="0.75" top="1" bottom="1" header="0.5" footer="0.5"/>
  <pageSetup scale="85" fitToWidth="0" orientation="landscape" r:id="rId1"/>
  <headerFooter alignWithMargins="0">
    <oddFooter>&amp;CCurrent as of &amp;D</oddFooter>
  </headerFooter>
  <rowBreaks count="1" manualBreakCount="1">
    <brk id="10" max="21" man="1"/>
  </rowBreaks>
  <colBreaks count="2" manualBreakCount="2">
    <brk id="13" max="1048575" man="1"/>
    <brk id="24" max="24"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17"/>
  <sheetViews>
    <sheetView showGridLines="0" view="pageLayout" zoomScaleNormal="100" zoomScaleSheetLayoutView="75" workbookViewId="0">
      <selection activeCell="D11" sqref="D11"/>
    </sheetView>
  </sheetViews>
  <sheetFormatPr defaultRowHeight="12.75" x14ac:dyDescent="0.2"/>
  <cols>
    <col min="1" max="1" width="22.28515625" bestFit="1" customWidth="1"/>
    <col min="2" max="2" width="19.28515625" bestFit="1" customWidth="1"/>
    <col min="3" max="3" width="17" customWidth="1"/>
    <col min="4" max="4" width="12.85546875" customWidth="1"/>
    <col min="5" max="5" width="18.140625" customWidth="1"/>
    <col min="6" max="6" width="13.28515625" customWidth="1"/>
    <col min="7" max="7" width="14.28515625" customWidth="1"/>
    <col min="8" max="8" width="12.140625" customWidth="1"/>
    <col min="9" max="9" width="31.140625" customWidth="1"/>
    <col min="10" max="10" width="23" customWidth="1"/>
  </cols>
  <sheetData>
    <row r="1" spans="1:9" ht="13.5" thickBot="1" x14ac:dyDescent="0.25"/>
    <row r="2" spans="1:9" ht="21" thickBot="1" x14ac:dyDescent="0.25">
      <c r="A2" s="489" t="s">
        <v>1139</v>
      </c>
      <c r="B2" s="490"/>
      <c r="C2" s="490"/>
      <c r="D2" s="490"/>
      <c r="E2" s="490"/>
      <c r="F2" s="490"/>
      <c r="G2" s="490"/>
      <c r="H2" s="490"/>
      <c r="I2" s="491"/>
    </row>
    <row r="3" spans="1:9" ht="20.25" x14ac:dyDescent="0.3">
      <c r="A3" s="41"/>
      <c r="B3" s="13" t="s">
        <v>1140</v>
      </c>
      <c r="C3" s="13" t="s">
        <v>1141</v>
      </c>
      <c r="D3" s="13" t="s">
        <v>1142</v>
      </c>
      <c r="E3" s="13" t="s">
        <v>1143</v>
      </c>
      <c r="F3" s="14"/>
      <c r="G3" s="13"/>
      <c r="H3" s="13"/>
      <c r="I3" s="39"/>
    </row>
    <row r="4" spans="1:9" x14ac:dyDescent="0.2">
      <c r="A4" s="41" t="s">
        <v>57</v>
      </c>
      <c r="B4" s="214">
        <f>B34+(B34*0.03)</f>
        <v>119782.82</v>
      </c>
      <c r="C4" s="214">
        <v>81868</v>
      </c>
      <c r="D4" s="214">
        <f>D34+(D34*0.03)</f>
        <v>170272.39</v>
      </c>
      <c r="E4" s="214">
        <v>10000</v>
      </c>
      <c r="F4" s="151" t="s">
        <v>972</v>
      </c>
      <c r="G4" s="329"/>
      <c r="H4" s="329"/>
      <c r="I4" s="161" t="s">
        <v>973</v>
      </c>
    </row>
    <row r="5" spans="1:9" ht="20.25" x14ac:dyDescent="0.3">
      <c r="A5" s="41" t="s">
        <v>36</v>
      </c>
      <c r="B5" s="215">
        <f>IF(B39&gt;B4, B4,B39)</f>
        <v>0</v>
      </c>
      <c r="C5" s="215">
        <f>IF(OR(C39&gt;=C4,C39&lt;C4),C39,C4)</f>
        <v>28920.349999999977</v>
      </c>
      <c r="D5" s="215">
        <f>IF(OR(D39&gt;=D4,D39&lt;D4),D39,D4)</f>
        <v>28538</v>
      </c>
      <c r="E5" s="316">
        <v>0</v>
      </c>
      <c r="F5" s="14"/>
      <c r="G5" s="13"/>
      <c r="H5" s="13"/>
      <c r="I5" s="39"/>
    </row>
    <row r="6" spans="1:9" x14ac:dyDescent="0.2">
      <c r="A6" s="41" t="s">
        <v>993</v>
      </c>
      <c r="B6" s="92">
        <f>SUM(B4:B5)</f>
        <v>119782.82</v>
      </c>
      <c r="C6" s="92">
        <f>SUM(C4:C5)</f>
        <v>110788.34999999998</v>
      </c>
      <c r="D6" s="92">
        <f>SUM(D4:D5)</f>
        <v>198810.39</v>
      </c>
      <c r="E6" s="256">
        <v>10000</v>
      </c>
      <c r="F6" s="130" t="s">
        <v>107</v>
      </c>
      <c r="G6" s="13"/>
      <c r="H6" s="13"/>
      <c r="I6" s="39"/>
    </row>
    <row r="7" spans="1:9" x14ac:dyDescent="0.2">
      <c r="A7" s="41" t="s">
        <v>47</v>
      </c>
      <c r="B7" s="92">
        <f>B40</f>
        <v>0</v>
      </c>
      <c r="C7" s="92">
        <f>IF(OR(C40&gt;=C4,C40&lt;C4),C40,C4)</f>
        <v>28920.349999999977</v>
      </c>
      <c r="D7" s="92">
        <f>IF(OR(D40&gt;=D4,D40&lt;D4),D40,D4)</f>
        <v>0</v>
      </c>
      <c r="E7" s="256">
        <v>0</v>
      </c>
      <c r="F7" s="315"/>
      <c r="G7" s="315"/>
      <c r="H7" s="13"/>
      <c r="I7" s="39"/>
    </row>
    <row r="8" spans="1:9" x14ac:dyDescent="0.2">
      <c r="A8" s="41" t="s">
        <v>479</v>
      </c>
      <c r="B8" s="92">
        <f>B4+B7</f>
        <v>119782.82</v>
      </c>
      <c r="C8" s="92">
        <f>C4+C7</f>
        <v>110788.34999999998</v>
      </c>
      <c r="D8" s="92">
        <f>D4+D7</f>
        <v>170272.39</v>
      </c>
      <c r="E8" s="256">
        <v>10000</v>
      </c>
      <c r="F8" s="151" t="s">
        <v>108</v>
      </c>
      <c r="G8" s="13"/>
      <c r="H8" s="13"/>
      <c r="I8" s="39"/>
    </row>
    <row r="9" spans="1:9" x14ac:dyDescent="0.2">
      <c r="A9" s="41" t="s">
        <v>39</v>
      </c>
      <c r="B9" s="92">
        <f>B6-E13</f>
        <v>0</v>
      </c>
      <c r="C9" s="92">
        <f>C6-E17</f>
        <v>110788.34999999998</v>
      </c>
      <c r="D9" s="92">
        <f>D6-E25</f>
        <v>198810.39</v>
      </c>
      <c r="E9" s="256">
        <v>10000</v>
      </c>
      <c r="F9" s="151" t="s">
        <v>109</v>
      </c>
      <c r="G9" s="13"/>
      <c r="H9" s="13"/>
      <c r="I9" s="39"/>
    </row>
    <row r="10" spans="1:9" ht="13.5" thickBot="1" x14ac:dyDescent="0.25">
      <c r="A10" s="41" t="s">
        <v>132</v>
      </c>
      <c r="B10" s="93">
        <f>B8-E13-F13</f>
        <v>0</v>
      </c>
      <c r="C10" s="93">
        <f>C8-E17-F17</f>
        <v>110788.34999999998</v>
      </c>
      <c r="D10" s="323">
        <f>D8-E25-F25</f>
        <v>170272.39</v>
      </c>
      <c r="E10" s="323">
        <f>E8-E30-F30</f>
        <v>10000</v>
      </c>
      <c r="F10" s="151" t="s">
        <v>110</v>
      </c>
      <c r="G10" s="151"/>
      <c r="H10" s="151"/>
      <c r="I10" s="151"/>
    </row>
    <row r="11" spans="1:9" ht="51" x14ac:dyDescent="0.2">
      <c r="A11" s="19" t="s">
        <v>41</v>
      </c>
      <c r="B11" s="20" t="s">
        <v>34</v>
      </c>
      <c r="C11" s="20" t="s">
        <v>64</v>
      </c>
      <c r="D11" s="20" t="s">
        <v>63</v>
      </c>
      <c r="E11" s="20" t="s">
        <v>37</v>
      </c>
      <c r="F11" s="20" t="s">
        <v>48</v>
      </c>
      <c r="G11" s="20" t="s">
        <v>40</v>
      </c>
      <c r="H11" s="20" t="s">
        <v>38</v>
      </c>
      <c r="I11" s="21" t="s">
        <v>5</v>
      </c>
    </row>
    <row r="12" spans="1:9" x14ac:dyDescent="0.2">
      <c r="A12" s="22" t="s">
        <v>10</v>
      </c>
      <c r="B12" s="23" t="s">
        <v>10</v>
      </c>
      <c r="C12" s="60">
        <v>119782.82</v>
      </c>
      <c r="D12" s="53">
        <v>45299</v>
      </c>
      <c r="E12" s="60">
        <f>C12</f>
        <v>119782.82</v>
      </c>
      <c r="F12" s="67">
        <f>IF(E12="",C12,0)</f>
        <v>0</v>
      </c>
      <c r="G12" s="23" t="s">
        <v>1158</v>
      </c>
      <c r="H12" s="23" t="s">
        <v>974</v>
      </c>
      <c r="I12" s="24"/>
    </row>
    <row r="13" spans="1:9" x14ac:dyDescent="0.2">
      <c r="A13" s="25" t="s">
        <v>43</v>
      </c>
      <c r="B13" s="26"/>
      <c r="C13" s="64">
        <f>C12</f>
        <v>119782.82</v>
      </c>
      <c r="D13" s="35"/>
      <c r="E13" s="64">
        <f>E12</f>
        <v>119782.82</v>
      </c>
      <c r="F13" s="64">
        <f>F12</f>
        <v>0</v>
      </c>
      <c r="G13" s="35"/>
      <c r="H13" s="35"/>
      <c r="I13" s="36"/>
    </row>
    <row r="14" spans="1:9" x14ac:dyDescent="0.2">
      <c r="A14" s="38"/>
      <c r="B14" s="38"/>
      <c r="C14" s="68"/>
      <c r="D14" s="38"/>
      <c r="E14" s="68"/>
      <c r="F14" s="68"/>
      <c r="G14" s="38"/>
      <c r="H14" s="38"/>
      <c r="I14" s="38"/>
    </row>
    <row r="15" spans="1:9" x14ac:dyDescent="0.2">
      <c r="A15" s="37" t="s">
        <v>44</v>
      </c>
      <c r="B15" s="26" t="s">
        <v>567</v>
      </c>
      <c r="C15" s="65"/>
      <c r="D15" s="58"/>
      <c r="E15" s="65"/>
      <c r="F15" s="87">
        <f>C15-E15</f>
        <v>0</v>
      </c>
      <c r="G15" s="54"/>
      <c r="H15" s="26" t="s">
        <v>974</v>
      </c>
      <c r="I15" s="84"/>
    </row>
    <row r="16" spans="1:9" x14ac:dyDescent="0.2">
      <c r="A16" s="37"/>
      <c r="B16" s="26"/>
      <c r="C16" s="274"/>
      <c r="D16" s="58"/>
      <c r="E16" s="274"/>
      <c r="F16" s="87"/>
      <c r="G16" s="54"/>
      <c r="H16" s="26"/>
      <c r="I16" s="84"/>
    </row>
    <row r="17" spans="1:9" x14ac:dyDescent="0.2">
      <c r="A17" s="37" t="s">
        <v>43</v>
      </c>
      <c r="B17" s="35"/>
      <c r="C17" s="63">
        <f>C15+C16</f>
        <v>0</v>
      </c>
      <c r="D17" s="35"/>
      <c r="E17" s="63">
        <f>E15+E16</f>
        <v>0</v>
      </c>
      <c r="F17" s="63">
        <f>SUM(F15:F16)</f>
        <v>0</v>
      </c>
      <c r="G17" s="35"/>
      <c r="H17" s="35"/>
      <c r="I17" s="36"/>
    </row>
    <row r="18" spans="1:9" x14ac:dyDescent="0.2">
      <c r="A18" s="38"/>
      <c r="B18" s="38"/>
      <c r="C18" s="68"/>
      <c r="D18" s="38"/>
      <c r="E18" s="68"/>
      <c r="F18" s="68"/>
      <c r="G18" s="158"/>
      <c r="H18" s="158"/>
      <c r="I18" s="38"/>
    </row>
    <row r="19" spans="1:9" x14ac:dyDescent="0.2">
      <c r="A19" s="37" t="s">
        <v>42</v>
      </c>
      <c r="B19" s="28"/>
      <c r="C19" s="65"/>
      <c r="D19" s="102"/>
      <c r="E19" s="65"/>
      <c r="F19" s="148"/>
      <c r="G19" s="263"/>
      <c r="H19" s="28"/>
      <c r="I19" s="157"/>
    </row>
    <row r="20" spans="1:9" x14ac:dyDescent="0.2">
      <c r="A20" s="142"/>
      <c r="B20" s="267"/>
      <c r="C20" s="268"/>
      <c r="D20" s="269"/>
      <c r="E20" s="270"/>
      <c r="F20" s="268"/>
      <c r="G20" s="271"/>
      <c r="H20" s="150"/>
      <c r="I20" s="149"/>
    </row>
    <row r="21" spans="1:9" x14ac:dyDescent="0.2">
      <c r="A21" s="46"/>
      <c r="B21" s="267"/>
      <c r="C21" s="268"/>
      <c r="D21" s="269"/>
      <c r="E21" s="270"/>
      <c r="F21" s="268"/>
      <c r="G21" s="271"/>
      <c r="H21" s="150"/>
      <c r="I21" s="149"/>
    </row>
    <row r="22" spans="1:9" x14ac:dyDescent="0.2">
      <c r="A22" s="46"/>
      <c r="B22" s="267"/>
      <c r="C22" s="268"/>
      <c r="D22" s="444"/>
      <c r="E22" s="270"/>
      <c r="F22" s="268"/>
      <c r="G22" s="271"/>
      <c r="H22" s="212"/>
      <c r="I22" s="149"/>
    </row>
    <row r="23" spans="1:9" x14ac:dyDescent="0.2">
      <c r="A23" s="46"/>
      <c r="B23" s="442"/>
      <c r="C23" s="443"/>
      <c r="D23" s="453"/>
      <c r="E23" s="445"/>
      <c r="F23" s="443"/>
      <c r="G23" s="446"/>
      <c r="H23" s="442"/>
      <c r="I23" s="149"/>
    </row>
    <row r="24" spans="1:9" x14ac:dyDescent="0.2">
      <c r="A24" s="456"/>
      <c r="B24" s="455"/>
      <c r="C24" s="457"/>
      <c r="D24" s="454"/>
      <c r="E24" s="458"/>
      <c r="F24" s="452"/>
      <c r="G24" s="451"/>
      <c r="H24" s="450"/>
      <c r="I24" s="160"/>
    </row>
    <row r="25" spans="1:9" ht="13.5" thickBot="1" x14ac:dyDescent="0.25">
      <c r="A25" s="447" t="s">
        <v>43</v>
      </c>
      <c r="B25" s="448"/>
      <c r="C25" s="449">
        <f>SUM(C20:C24)</f>
        <v>0</v>
      </c>
      <c r="D25" s="448"/>
      <c r="E25" s="449">
        <f>SUM(E20:E24)</f>
        <v>0</v>
      </c>
      <c r="F25" s="449">
        <f>SUM(F20:F24)</f>
        <v>0</v>
      </c>
      <c r="G25" s="448"/>
      <c r="H25" s="448"/>
      <c r="I25" s="31"/>
    </row>
    <row r="26" spans="1:9" x14ac:dyDescent="0.2">
      <c r="A26" s="317"/>
      <c r="B26" s="318"/>
      <c r="C26" s="319"/>
      <c r="D26" s="320"/>
      <c r="E26" s="321"/>
      <c r="F26" s="319"/>
      <c r="G26" s="318"/>
      <c r="H26" s="318"/>
      <c r="I26" s="322"/>
    </row>
    <row r="27" spans="1:9" x14ac:dyDescent="0.2">
      <c r="A27" s="155" t="s">
        <v>968</v>
      </c>
      <c r="B27" s="150"/>
      <c r="C27" s="148"/>
      <c r="D27" s="56"/>
      <c r="E27" s="86"/>
      <c r="F27" s="148"/>
      <c r="G27" s="150"/>
      <c r="H27" s="150"/>
      <c r="I27" s="149"/>
    </row>
    <row r="28" spans="1:9" x14ac:dyDescent="0.2">
      <c r="A28" s="142"/>
      <c r="B28" s="150"/>
      <c r="C28" s="148"/>
      <c r="D28" s="56"/>
      <c r="E28" s="86"/>
      <c r="F28" s="148"/>
      <c r="G28" s="150"/>
      <c r="H28" s="150"/>
      <c r="I28" s="149"/>
    </row>
    <row r="29" spans="1:9" x14ac:dyDescent="0.2">
      <c r="A29" s="142"/>
      <c r="B29" s="150"/>
      <c r="C29" s="148"/>
      <c r="D29" s="56"/>
      <c r="E29" s="86"/>
      <c r="F29" s="148"/>
      <c r="G29" s="150"/>
      <c r="H29" s="150"/>
      <c r="I29" s="149"/>
    </row>
    <row r="30" spans="1:9" ht="13.5" thickBot="1" x14ac:dyDescent="0.25">
      <c r="A30" s="29" t="s">
        <v>43</v>
      </c>
      <c r="B30" s="30"/>
      <c r="C30" s="59">
        <f>SUM(C28:C29)</f>
        <v>0</v>
      </c>
      <c r="D30" s="30"/>
      <c r="E30" s="59">
        <f>SUM(E28:E29)</f>
        <v>0</v>
      </c>
      <c r="F30" s="59">
        <f>SUM(F28:F29)</f>
        <v>0</v>
      </c>
      <c r="G30" s="30"/>
      <c r="H30" s="30"/>
      <c r="I30" s="31"/>
    </row>
    <row r="31" spans="1:9" ht="13.5" thickBot="1" x14ac:dyDescent="0.25"/>
    <row r="32" spans="1:9" ht="21" thickBot="1" x14ac:dyDescent="0.25">
      <c r="A32" s="489" t="s">
        <v>963</v>
      </c>
      <c r="B32" s="490"/>
      <c r="C32" s="490"/>
      <c r="D32" s="490"/>
      <c r="E32" s="490"/>
      <c r="F32" s="490"/>
      <c r="G32" s="490"/>
      <c r="H32" s="490"/>
      <c r="I32" s="491"/>
    </row>
    <row r="33" spans="1:9" ht="20.25" x14ac:dyDescent="0.3">
      <c r="A33" s="41"/>
      <c r="B33" s="13" t="s">
        <v>964</v>
      </c>
      <c r="C33" s="13" t="s">
        <v>965</v>
      </c>
      <c r="D33" s="13" t="s">
        <v>966</v>
      </c>
      <c r="E33" s="13" t="s">
        <v>967</v>
      </c>
      <c r="F33" s="14"/>
      <c r="G33" s="13"/>
      <c r="H33" s="13"/>
      <c r="I33" s="39"/>
    </row>
    <row r="34" spans="1:9" x14ac:dyDescent="0.2">
      <c r="A34" s="41" t="s">
        <v>57</v>
      </c>
      <c r="B34" s="214">
        <v>116294</v>
      </c>
      <c r="C34" s="214">
        <v>81868</v>
      </c>
      <c r="D34" s="214">
        <v>165313</v>
      </c>
      <c r="E34" s="214">
        <v>10000</v>
      </c>
      <c r="F34" s="151" t="s">
        <v>972</v>
      </c>
      <c r="G34" s="329"/>
      <c r="H34" s="329"/>
      <c r="I34" s="161" t="s">
        <v>973</v>
      </c>
    </row>
    <row r="35" spans="1:9" ht="20.25" x14ac:dyDescent="0.3">
      <c r="A35" s="41" t="s">
        <v>36</v>
      </c>
      <c r="B35" s="215">
        <f>IF(B70&gt;B34, B34,B70)</f>
        <v>0</v>
      </c>
      <c r="C35" s="215">
        <f>IF(C70&gt;C34,C34,C70)</f>
        <v>81868</v>
      </c>
      <c r="D35" s="215">
        <f>IF(D70&gt;D34,D34,D70)</f>
        <v>29761</v>
      </c>
      <c r="E35" s="316">
        <v>0</v>
      </c>
      <c r="F35" s="14"/>
      <c r="G35" s="13"/>
      <c r="H35" s="13"/>
      <c r="I35" s="39"/>
    </row>
    <row r="36" spans="1:9" x14ac:dyDescent="0.2">
      <c r="A36" s="41" t="s">
        <v>969</v>
      </c>
      <c r="B36" s="92">
        <f>SUM(B34:B35)</f>
        <v>116294</v>
      </c>
      <c r="C36" s="92">
        <f>SUM(C34:C35)</f>
        <v>163736</v>
      </c>
      <c r="D36" s="92">
        <f>SUM(D34:D35)</f>
        <v>195074</v>
      </c>
      <c r="E36" s="256">
        <v>10000</v>
      </c>
      <c r="F36" s="130" t="s">
        <v>107</v>
      </c>
      <c r="G36" s="13"/>
      <c r="H36" s="13"/>
      <c r="I36" s="39"/>
    </row>
    <row r="37" spans="1:9" x14ac:dyDescent="0.2">
      <c r="A37" s="41" t="s">
        <v>47</v>
      </c>
      <c r="B37" s="92">
        <f>B71</f>
        <v>0</v>
      </c>
      <c r="C37" s="401">
        <f>IF(C71&gt;C34,C34,C71)</f>
        <v>81868</v>
      </c>
      <c r="D37" s="92">
        <f>IF(D71&gt;D65,D65,D71)</f>
        <v>25223.000000000004</v>
      </c>
      <c r="E37" s="256">
        <v>0</v>
      </c>
      <c r="F37" s="315"/>
      <c r="G37" s="315"/>
      <c r="H37" s="13"/>
      <c r="I37" s="39"/>
    </row>
    <row r="38" spans="1:9" x14ac:dyDescent="0.2">
      <c r="A38" s="41" t="s">
        <v>479</v>
      </c>
      <c r="B38" s="92">
        <f>B34+B37</f>
        <v>116294</v>
      </c>
      <c r="C38" s="92">
        <f>C34+C37</f>
        <v>163736</v>
      </c>
      <c r="D38" s="92">
        <f>D34+D37</f>
        <v>190536</v>
      </c>
      <c r="E38" s="256">
        <v>10000</v>
      </c>
      <c r="F38" s="151" t="s">
        <v>108</v>
      </c>
      <c r="G38" s="13"/>
      <c r="H38" s="13"/>
      <c r="I38" s="39"/>
    </row>
    <row r="39" spans="1:9" x14ac:dyDescent="0.2">
      <c r="A39" s="41" t="s">
        <v>39</v>
      </c>
      <c r="B39" s="92">
        <f>B36-E43</f>
        <v>0</v>
      </c>
      <c r="C39" s="92">
        <f>C36-E47</f>
        <v>28920.349999999977</v>
      </c>
      <c r="D39" s="92">
        <f>D36-E55</f>
        <v>28538</v>
      </c>
      <c r="E39" s="256">
        <v>10000</v>
      </c>
      <c r="F39" s="151" t="s">
        <v>109</v>
      </c>
      <c r="G39" s="13"/>
      <c r="H39" s="13"/>
      <c r="I39" s="39"/>
    </row>
    <row r="40" spans="1:9" ht="13.5" thickBot="1" x14ac:dyDescent="0.25">
      <c r="A40" s="41" t="s">
        <v>132</v>
      </c>
      <c r="B40" s="93">
        <f>B38-E43-F43</f>
        <v>0</v>
      </c>
      <c r="C40" s="93">
        <f>C38-E47-F47</f>
        <v>28920.349999999977</v>
      </c>
      <c r="D40" s="323">
        <f>D38-E55-F55</f>
        <v>0</v>
      </c>
      <c r="E40" s="323">
        <f>E38-E60-F60</f>
        <v>0</v>
      </c>
      <c r="F40" s="151" t="s">
        <v>110</v>
      </c>
      <c r="G40" s="151"/>
      <c r="H40" s="151"/>
      <c r="I40" s="151"/>
    </row>
    <row r="41" spans="1:9" ht="51" x14ac:dyDescent="0.2">
      <c r="A41" s="19" t="s">
        <v>41</v>
      </c>
      <c r="B41" s="20" t="s">
        <v>34</v>
      </c>
      <c r="C41" s="20" t="s">
        <v>64</v>
      </c>
      <c r="D41" s="20" t="s">
        <v>63</v>
      </c>
      <c r="E41" s="20" t="s">
        <v>37</v>
      </c>
      <c r="F41" s="20" t="s">
        <v>48</v>
      </c>
      <c r="G41" s="20" t="s">
        <v>40</v>
      </c>
      <c r="H41" s="20" t="s">
        <v>38</v>
      </c>
      <c r="I41" s="21" t="s">
        <v>5</v>
      </c>
    </row>
    <row r="42" spans="1:9" x14ac:dyDescent="0.2">
      <c r="A42" s="22" t="s">
        <v>10</v>
      </c>
      <c r="B42" s="23" t="s">
        <v>10</v>
      </c>
      <c r="C42" s="60">
        <v>116294</v>
      </c>
      <c r="D42" s="53">
        <v>45000</v>
      </c>
      <c r="E42" s="60">
        <f>C42</f>
        <v>116294</v>
      </c>
      <c r="F42" s="67">
        <f>IF(E42="",C42,0)</f>
        <v>0</v>
      </c>
      <c r="G42" s="23" t="s">
        <v>1010</v>
      </c>
      <c r="H42" s="23"/>
      <c r="I42" s="24"/>
    </row>
    <row r="43" spans="1:9" x14ac:dyDescent="0.2">
      <c r="A43" s="25" t="s">
        <v>43</v>
      </c>
      <c r="B43" s="26"/>
      <c r="C43" s="64">
        <f>C42</f>
        <v>116294</v>
      </c>
      <c r="D43" s="35"/>
      <c r="E43" s="64">
        <f>E42</f>
        <v>116294</v>
      </c>
      <c r="F43" s="64">
        <f>F42</f>
        <v>0</v>
      </c>
      <c r="G43" s="35"/>
      <c r="H43" s="35"/>
      <c r="I43" s="36"/>
    </row>
    <row r="44" spans="1:9" x14ac:dyDescent="0.2">
      <c r="A44" s="38"/>
      <c r="B44" s="38"/>
      <c r="C44" s="68"/>
      <c r="D44" s="38"/>
      <c r="E44" s="68"/>
      <c r="F44" s="68"/>
      <c r="G44" s="38"/>
      <c r="H44" s="38"/>
      <c r="I44" s="38"/>
    </row>
    <row r="45" spans="1:9" x14ac:dyDescent="0.2">
      <c r="A45" s="37" t="s">
        <v>44</v>
      </c>
      <c r="B45" s="26" t="s">
        <v>567</v>
      </c>
      <c r="C45" s="65">
        <v>44912.94</v>
      </c>
      <c r="D45" s="58" t="s">
        <v>1043</v>
      </c>
      <c r="E45" s="65">
        <v>44912.94</v>
      </c>
      <c r="F45" s="87">
        <f>C45-E45</f>
        <v>0</v>
      </c>
      <c r="G45" s="54" t="s">
        <v>1043</v>
      </c>
      <c r="H45" s="26" t="s">
        <v>974</v>
      </c>
      <c r="I45" s="84"/>
    </row>
    <row r="46" spans="1:9" x14ac:dyDescent="0.2">
      <c r="A46" s="37"/>
      <c r="B46" s="26"/>
      <c r="C46" s="274">
        <v>89902.71</v>
      </c>
      <c r="D46" s="58"/>
      <c r="E46" s="274">
        <v>89902.71</v>
      </c>
      <c r="F46" s="87"/>
      <c r="G46" s="54" t="s">
        <v>1120</v>
      </c>
      <c r="H46" s="26"/>
      <c r="I46" s="84"/>
    </row>
    <row r="47" spans="1:9" x14ac:dyDescent="0.2">
      <c r="A47" s="37" t="s">
        <v>43</v>
      </c>
      <c r="B47" s="35"/>
      <c r="C47" s="63">
        <f>C45+C46</f>
        <v>134815.65000000002</v>
      </c>
      <c r="D47" s="35"/>
      <c r="E47" s="63">
        <f>E45+E46</f>
        <v>134815.65000000002</v>
      </c>
      <c r="F47" s="63">
        <f>SUM(F45:F46)</f>
        <v>0</v>
      </c>
      <c r="G47" s="35"/>
      <c r="H47" s="35"/>
      <c r="I47" s="36"/>
    </row>
    <row r="48" spans="1:9" x14ac:dyDescent="0.2">
      <c r="A48" s="38"/>
      <c r="B48" s="38"/>
      <c r="C48" s="68"/>
      <c r="D48" s="38"/>
      <c r="E48" s="68"/>
      <c r="F48" s="68"/>
      <c r="G48" s="158"/>
      <c r="H48" s="158"/>
      <c r="I48" s="38"/>
    </row>
    <row r="49" spans="1:9" x14ac:dyDescent="0.2">
      <c r="A49" s="37" t="s">
        <v>42</v>
      </c>
      <c r="B49" s="28"/>
      <c r="C49" s="65"/>
      <c r="D49" s="102"/>
      <c r="E49" s="65"/>
      <c r="F49" s="148"/>
      <c r="G49" s="263"/>
      <c r="H49" s="28"/>
      <c r="I49" s="157"/>
    </row>
    <row r="50" spans="1:9" x14ac:dyDescent="0.2">
      <c r="A50" s="142"/>
      <c r="B50" s="267" t="s">
        <v>10</v>
      </c>
      <c r="C50" s="268">
        <v>70909</v>
      </c>
      <c r="D50" s="269" t="s">
        <v>1036</v>
      </c>
      <c r="E50" s="270">
        <v>70909</v>
      </c>
      <c r="F50" s="268">
        <f>C50-E50</f>
        <v>0</v>
      </c>
      <c r="G50" s="271" t="s">
        <v>1111</v>
      </c>
      <c r="H50" s="150" t="s">
        <v>1006</v>
      </c>
      <c r="I50" s="149"/>
    </row>
    <row r="51" spans="1:9" x14ac:dyDescent="0.2">
      <c r="A51" s="46"/>
      <c r="B51" s="267" t="s">
        <v>532</v>
      </c>
      <c r="C51" s="268">
        <f>50000+25680.84</f>
        <v>75680.84</v>
      </c>
      <c r="D51" s="269" t="s">
        <v>1037</v>
      </c>
      <c r="E51" s="270">
        <v>75680.84</v>
      </c>
      <c r="F51" s="268">
        <f>C51-E51</f>
        <v>0</v>
      </c>
      <c r="G51" s="271" t="s">
        <v>1105</v>
      </c>
      <c r="H51" s="150" t="s">
        <v>1006</v>
      </c>
      <c r="I51" s="149" t="s">
        <v>1102</v>
      </c>
    </row>
    <row r="52" spans="1:9" x14ac:dyDescent="0.2">
      <c r="A52" s="46"/>
      <c r="B52" s="267" t="s">
        <v>10</v>
      </c>
      <c r="C52" s="268">
        <v>24000</v>
      </c>
      <c r="D52" s="444" t="s">
        <v>1038</v>
      </c>
      <c r="E52" s="270"/>
      <c r="F52" s="268">
        <f>C52-E52</f>
        <v>24000</v>
      </c>
      <c r="G52" s="271"/>
      <c r="H52" s="212" t="s">
        <v>1007</v>
      </c>
      <c r="I52" s="149"/>
    </row>
    <row r="53" spans="1:9" x14ac:dyDescent="0.2">
      <c r="A53" s="46"/>
      <c r="B53" s="442" t="s">
        <v>532</v>
      </c>
      <c r="C53" s="443">
        <v>44909</v>
      </c>
      <c r="D53" s="453" t="s">
        <v>1040</v>
      </c>
      <c r="E53" s="445">
        <v>19228.16</v>
      </c>
      <c r="F53" s="443">
        <v>0</v>
      </c>
      <c r="G53" s="446" t="s">
        <v>1104</v>
      </c>
      <c r="H53" s="442" t="s">
        <v>1007</v>
      </c>
      <c r="I53" s="149" t="s">
        <v>1106</v>
      </c>
    </row>
    <row r="54" spans="1:9" ht="25.5" x14ac:dyDescent="0.2">
      <c r="A54" s="456"/>
      <c r="B54" s="455" t="s">
        <v>263</v>
      </c>
      <c r="C54" s="457">
        <f>2809-1360</f>
        <v>1449</v>
      </c>
      <c r="D54" s="454" t="s">
        <v>1133</v>
      </c>
      <c r="E54" s="458">
        <v>718</v>
      </c>
      <c r="F54" s="452"/>
      <c r="G54" s="451" t="s">
        <v>1133</v>
      </c>
      <c r="H54" s="450" t="s">
        <v>1030</v>
      </c>
      <c r="I54" s="160" t="s">
        <v>1134</v>
      </c>
    </row>
    <row r="55" spans="1:9" ht="13.5" thickBot="1" x14ac:dyDescent="0.25">
      <c r="A55" s="447" t="s">
        <v>43</v>
      </c>
      <c r="B55" s="448"/>
      <c r="C55" s="449">
        <f>SUM(C50:C54)</f>
        <v>216947.84</v>
      </c>
      <c r="D55" s="448"/>
      <c r="E55" s="449">
        <f>SUM(E50:E54)</f>
        <v>166536</v>
      </c>
      <c r="F55" s="449">
        <f>SUM(F50:F54)</f>
        <v>24000</v>
      </c>
      <c r="G55" s="448"/>
      <c r="H55" s="448"/>
      <c r="I55" s="31"/>
    </row>
    <row r="56" spans="1:9" x14ac:dyDescent="0.2">
      <c r="A56" s="317"/>
      <c r="B56" s="318"/>
      <c r="C56" s="319"/>
      <c r="D56" s="320"/>
      <c r="E56" s="321"/>
      <c r="F56" s="319"/>
      <c r="G56" s="318"/>
      <c r="H56" s="318"/>
      <c r="I56" s="322"/>
    </row>
    <row r="57" spans="1:9" x14ac:dyDescent="0.2">
      <c r="A57" s="155" t="s">
        <v>968</v>
      </c>
      <c r="B57" s="150"/>
      <c r="C57" s="148"/>
      <c r="D57" s="56"/>
      <c r="E57" s="86"/>
      <c r="F57" s="148"/>
      <c r="G57" s="150"/>
      <c r="H57" s="150"/>
      <c r="I57" s="149"/>
    </row>
    <row r="58" spans="1:9" x14ac:dyDescent="0.2">
      <c r="A58" s="142"/>
      <c r="B58" s="150" t="s">
        <v>263</v>
      </c>
      <c r="C58" s="148">
        <v>8640</v>
      </c>
      <c r="D58" s="56" t="s">
        <v>1129</v>
      </c>
      <c r="E58" s="86"/>
      <c r="F58" s="148">
        <f>C58</f>
        <v>8640</v>
      </c>
      <c r="G58" s="150"/>
      <c r="H58" s="150" t="s">
        <v>1006</v>
      </c>
      <c r="I58" s="149" t="s">
        <v>1121</v>
      </c>
    </row>
    <row r="59" spans="1:9" x14ac:dyDescent="0.2">
      <c r="A59" s="142"/>
      <c r="B59" s="150" t="s">
        <v>263</v>
      </c>
      <c r="C59" s="148">
        <v>1360</v>
      </c>
      <c r="D59" s="56">
        <v>45261</v>
      </c>
      <c r="E59" s="86">
        <v>1360</v>
      </c>
      <c r="F59" s="148"/>
      <c r="G59" s="150" t="s">
        <v>1133</v>
      </c>
      <c r="H59" s="150" t="s">
        <v>1030</v>
      </c>
      <c r="I59" s="149"/>
    </row>
    <row r="60" spans="1:9" ht="13.5" thickBot="1" x14ac:dyDescent="0.25">
      <c r="A60" s="29" t="s">
        <v>43</v>
      </c>
      <c r="B60" s="30"/>
      <c r="C60" s="59">
        <f>SUM(C58:C59)</f>
        <v>10000</v>
      </c>
      <c r="D60" s="30"/>
      <c r="E60" s="59">
        <f>SUM(E58:E59)</f>
        <v>1360</v>
      </c>
      <c r="F60" s="59">
        <f>SUM(F58:F59)</f>
        <v>8640</v>
      </c>
      <c r="G60" s="30"/>
      <c r="H60" s="30"/>
      <c r="I60" s="31"/>
    </row>
    <row r="62" spans="1:9" ht="13.5" hidden="1" thickBot="1" x14ac:dyDescent="0.25"/>
    <row r="63" spans="1:9" ht="21" hidden="1" thickBot="1" x14ac:dyDescent="0.25">
      <c r="A63" s="489" t="s">
        <v>863</v>
      </c>
      <c r="B63" s="490"/>
      <c r="C63" s="490"/>
      <c r="D63" s="490"/>
      <c r="E63" s="490"/>
      <c r="F63" s="490"/>
      <c r="G63" s="490"/>
      <c r="H63" s="490"/>
      <c r="I63" s="491"/>
    </row>
    <row r="64" spans="1:9" ht="20.25" hidden="1" x14ac:dyDescent="0.3">
      <c r="A64" s="41"/>
      <c r="B64" s="13" t="s">
        <v>859</v>
      </c>
      <c r="C64" s="13" t="s">
        <v>860</v>
      </c>
      <c r="D64" s="13" t="s">
        <v>861</v>
      </c>
      <c r="E64" s="14"/>
      <c r="F64" s="14"/>
      <c r="G64" s="13"/>
      <c r="H64" s="13"/>
      <c r="I64" s="39"/>
    </row>
    <row r="65" spans="1:9" ht="20.25" hidden="1" x14ac:dyDescent="0.3">
      <c r="A65" s="41" t="s">
        <v>57</v>
      </c>
      <c r="B65" s="214">
        <v>101125</v>
      </c>
      <c r="C65" s="214">
        <f>C92+(C92*0.03)</f>
        <v>81867.259821779997</v>
      </c>
      <c r="D65" s="214">
        <v>143750</v>
      </c>
      <c r="E65" s="14"/>
      <c r="F65" s="14"/>
      <c r="G65" s="13"/>
      <c r="H65" s="13"/>
      <c r="I65" s="39"/>
    </row>
    <row r="66" spans="1:9" ht="20.25" hidden="1" x14ac:dyDescent="0.3">
      <c r="A66" s="41" t="s">
        <v>36</v>
      </c>
      <c r="B66" s="215">
        <f>IF(B97&gt;B65, B65,B97)</f>
        <v>0</v>
      </c>
      <c r="C66" s="215">
        <f>IF(C97&gt;C65,C65,C97)</f>
        <v>81867.259821779997</v>
      </c>
      <c r="D66" s="215">
        <f>IF(D97&gt;D65,D65,D97)</f>
        <v>10011</v>
      </c>
      <c r="E66" s="14"/>
      <c r="F66" s="14"/>
      <c r="G66" s="13"/>
      <c r="H66" s="13"/>
      <c r="I66" s="39"/>
    </row>
    <row r="67" spans="1:9" ht="20.25" hidden="1" x14ac:dyDescent="0.3">
      <c r="A67" s="41" t="s">
        <v>862</v>
      </c>
      <c r="B67" s="92">
        <f>SUM(B65:B66)</f>
        <v>101125</v>
      </c>
      <c r="C67" s="92">
        <f>SUM(C65:C66)</f>
        <v>163734.51964355999</v>
      </c>
      <c r="D67" s="92">
        <f>SUM(D65:D66)</f>
        <v>153761</v>
      </c>
      <c r="E67" s="130" t="s">
        <v>107</v>
      </c>
      <c r="F67" s="14"/>
      <c r="G67" s="13"/>
      <c r="H67" s="13"/>
      <c r="I67" s="39"/>
    </row>
    <row r="68" spans="1:9" hidden="1" x14ac:dyDescent="0.2">
      <c r="A68" s="41" t="s">
        <v>47</v>
      </c>
      <c r="B68" s="92">
        <f>B98</f>
        <v>0</v>
      </c>
      <c r="C68" s="92">
        <f>IF(C98&gt;C65,C98,C65)</f>
        <v>114955.59072600002</v>
      </c>
      <c r="D68" s="92">
        <f>IF(D98&gt;D92,D92,D98)</f>
        <v>5473</v>
      </c>
      <c r="E68" s="492"/>
      <c r="F68" s="492"/>
      <c r="G68" s="492"/>
      <c r="H68" s="13"/>
      <c r="I68" s="39"/>
    </row>
    <row r="69" spans="1:9" ht="20.25" hidden="1" x14ac:dyDescent="0.3">
      <c r="A69" s="41" t="s">
        <v>479</v>
      </c>
      <c r="B69" s="92">
        <f>B65+B68</f>
        <v>101125</v>
      </c>
      <c r="C69" s="92">
        <f>C65+C68</f>
        <v>196822.85054778002</v>
      </c>
      <c r="D69" s="92">
        <f>D65+D68</f>
        <v>149223</v>
      </c>
      <c r="E69" s="151" t="s">
        <v>108</v>
      </c>
      <c r="F69" s="14"/>
      <c r="G69" s="13"/>
      <c r="H69" s="13"/>
      <c r="I69" s="39"/>
    </row>
    <row r="70" spans="1:9" ht="20.25" hidden="1" x14ac:dyDescent="0.3">
      <c r="A70" s="41" t="s">
        <v>39</v>
      </c>
      <c r="B70" s="92">
        <f>B67-E74</f>
        <v>0</v>
      </c>
      <c r="C70" s="92">
        <f>C67-E78</f>
        <v>102405.67964356</v>
      </c>
      <c r="D70" s="92">
        <f>D67-E87</f>
        <v>29761</v>
      </c>
      <c r="E70" s="151" t="s">
        <v>109</v>
      </c>
      <c r="F70" s="14"/>
      <c r="G70" s="13"/>
      <c r="H70" s="13"/>
      <c r="I70" s="39"/>
    </row>
    <row r="71" spans="1:9" ht="13.5" hidden="1" thickBot="1" x14ac:dyDescent="0.25">
      <c r="A71" s="41" t="s">
        <v>132</v>
      </c>
      <c r="B71" s="93">
        <f>B69-E74-F74</f>
        <v>0</v>
      </c>
      <c r="C71" s="93">
        <f>C69-E78-F78</f>
        <v>87066.960547780021</v>
      </c>
      <c r="D71" s="94">
        <f>D69-E87-F87</f>
        <v>25223.000000000004</v>
      </c>
      <c r="E71" s="493" t="s">
        <v>110</v>
      </c>
      <c r="F71" s="493"/>
      <c r="G71" s="493"/>
      <c r="H71" s="493"/>
      <c r="I71" s="146"/>
    </row>
    <row r="72" spans="1:9" ht="51" hidden="1" x14ac:dyDescent="0.2">
      <c r="A72" s="19" t="s">
        <v>41</v>
      </c>
      <c r="B72" s="20" t="s">
        <v>34</v>
      </c>
      <c r="C72" s="20" t="s">
        <v>64</v>
      </c>
      <c r="D72" s="20" t="s">
        <v>63</v>
      </c>
      <c r="E72" s="20" t="s">
        <v>37</v>
      </c>
      <c r="F72" s="20" t="s">
        <v>48</v>
      </c>
      <c r="G72" s="20" t="s">
        <v>40</v>
      </c>
      <c r="H72" s="20" t="s">
        <v>38</v>
      </c>
      <c r="I72" s="21" t="s">
        <v>5</v>
      </c>
    </row>
    <row r="73" spans="1:9" hidden="1" x14ac:dyDescent="0.2">
      <c r="A73" s="22" t="s">
        <v>10</v>
      </c>
      <c r="B73" s="23" t="s">
        <v>10</v>
      </c>
      <c r="C73" s="60">
        <v>101125</v>
      </c>
      <c r="D73" s="53">
        <v>44586</v>
      </c>
      <c r="E73" s="60">
        <f>C73</f>
        <v>101125</v>
      </c>
      <c r="F73" s="67">
        <f>IF(E73="",C73,0)</f>
        <v>0</v>
      </c>
      <c r="G73" s="23" t="s">
        <v>881</v>
      </c>
      <c r="H73" s="23" t="s">
        <v>487</v>
      </c>
      <c r="I73" s="24"/>
    </row>
    <row r="74" spans="1:9" hidden="1" x14ac:dyDescent="0.2">
      <c r="A74" s="25" t="s">
        <v>43</v>
      </c>
      <c r="B74" s="26"/>
      <c r="C74" s="64">
        <f>C73</f>
        <v>101125</v>
      </c>
      <c r="D74" s="35"/>
      <c r="E74" s="64">
        <f>E73</f>
        <v>101125</v>
      </c>
      <c r="F74" s="64">
        <f>F73</f>
        <v>0</v>
      </c>
      <c r="G74" s="35"/>
      <c r="H74" s="35"/>
      <c r="I74" s="36"/>
    </row>
    <row r="75" spans="1:9" hidden="1" x14ac:dyDescent="0.2">
      <c r="A75" s="38"/>
      <c r="B75" s="38"/>
      <c r="C75" s="68"/>
      <c r="D75" s="38"/>
      <c r="E75" s="68"/>
      <c r="F75" s="68"/>
      <c r="G75" s="38"/>
      <c r="H75" s="38"/>
      <c r="I75" s="38"/>
    </row>
    <row r="76" spans="1:9" hidden="1" x14ac:dyDescent="0.2">
      <c r="A76" s="37" t="s">
        <v>44</v>
      </c>
      <c r="B76" s="26" t="s">
        <v>567</v>
      </c>
      <c r="C76" s="65">
        <v>61328.84</v>
      </c>
      <c r="D76" s="58" t="s">
        <v>911</v>
      </c>
      <c r="E76" s="65">
        <v>61328.84</v>
      </c>
      <c r="F76" s="87">
        <f>C76-E76</f>
        <v>0</v>
      </c>
      <c r="G76" s="54" t="s">
        <v>911</v>
      </c>
      <c r="H76" s="26" t="s">
        <v>487</v>
      </c>
      <c r="I76" s="84"/>
    </row>
    <row r="77" spans="1:9" hidden="1" x14ac:dyDescent="0.2">
      <c r="A77" s="37"/>
      <c r="B77" s="26"/>
      <c r="C77" s="274"/>
      <c r="D77" s="58"/>
      <c r="E77" s="274"/>
      <c r="F77" s="87">
        <v>48427.05</v>
      </c>
      <c r="G77" s="54" t="s">
        <v>937</v>
      </c>
      <c r="H77" s="26" t="s">
        <v>487</v>
      </c>
      <c r="I77" s="84"/>
    </row>
    <row r="78" spans="1:9" hidden="1" x14ac:dyDescent="0.2">
      <c r="A78" s="37" t="s">
        <v>43</v>
      </c>
      <c r="B78" s="35"/>
      <c r="C78" s="63">
        <f>C76+C77</f>
        <v>61328.84</v>
      </c>
      <c r="D78" s="35"/>
      <c r="E78" s="63">
        <f>E76+E77</f>
        <v>61328.84</v>
      </c>
      <c r="F78" s="63">
        <f>SUM(F76:F77)</f>
        <v>48427.05</v>
      </c>
      <c r="G78" s="35"/>
      <c r="H78" s="35"/>
      <c r="I78" s="36"/>
    </row>
    <row r="79" spans="1:9" hidden="1" x14ac:dyDescent="0.2">
      <c r="A79" s="38"/>
      <c r="B79" s="38"/>
      <c r="C79" s="68"/>
      <c r="D79" s="38"/>
      <c r="E79" s="68"/>
      <c r="F79" s="68"/>
      <c r="G79" s="158"/>
      <c r="H79" s="158"/>
      <c r="I79" s="38"/>
    </row>
    <row r="80" spans="1:9" hidden="1" x14ac:dyDescent="0.2">
      <c r="A80" s="37" t="s">
        <v>42</v>
      </c>
      <c r="B80" s="28"/>
      <c r="C80" s="65"/>
      <c r="D80" s="102"/>
      <c r="E80" s="65"/>
      <c r="F80" s="148"/>
      <c r="G80" s="263"/>
      <c r="H80" s="28"/>
      <c r="I80" s="157"/>
    </row>
    <row r="81" spans="1:9" hidden="1" x14ac:dyDescent="0.2">
      <c r="A81" s="142"/>
      <c r="B81" s="392" t="s">
        <v>10</v>
      </c>
      <c r="C81" s="393">
        <v>50000</v>
      </c>
      <c r="D81" s="394" t="s">
        <v>887</v>
      </c>
      <c r="E81" s="395">
        <v>50000</v>
      </c>
      <c r="F81" s="393"/>
      <c r="G81" s="396" t="s">
        <v>994</v>
      </c>
      <c r="H81" s="387" t="s">
        <v>809</v>
      </c>
      <c r="I81" s="398" t="s">
        <v>883</v>
      </c>
    </row>
    <row r="82" spans="1:9" hidden="1" x14ac:dyDescent="0.2">
      <c r="A82" s="46"/>
      <c r="B82" s="267" t="s">
        <v>532</v>
      </c>
      <c r="C82" s="268">
        <v>30000</v>
      </c>
      <c r="D82" s="269" t="s">
        <v>905</v>
      </c>
      <c r="E82" s="270">
        <v>9564.26</v>
      </c>
      <c r="F82" s="268">
        <f>C82-E82</f>
        <v>20435.739999999998</v>
      </c>
      <c r="G82" s="271" t="s">
        <v>906</v>
      </c>
      <c r="H82" s="150" t="s">
        <v>809</v>
      </c>
      <c r="I82" s="149" t="s">
        <v>883</v>
      </c>
    </row>
    <row r="83" spans="1:9" hidden="1" x14ac:dyDescent="0.2">
      <c r="A83" s="46"/>
      <c r="B83" s="267"/>
      <c r="C83" s="268"/>
      <c r="D83" s="269"/>
      <c r="E83" s="270">
        <v>20435.740000000002</v>
      </c>
      <c r="F83" s="268">
        <v>-20435.740000000002</v>
      </c>
      <c r="G83" s="271" t="s">
        <v>918</v>
      </c>
      <c r="H83" s="212" t="s">
        <v>809</v>
      </c>
      <c r="I83" s="149"/>
    </row>
    <row r="84" spans="1:9" hidden="1" x14ac:dyDescent="0.2">
      <c r="A84" s="46"/>
      <c r="B84" s="267" t="s">
        <v>532</v>
      </c>
      <c r="C84" s="268">
        <v>44000</v>
      </c>
      <c r="D84" s="269" t="s">
        <v>913</v>
      </c>
      <c r="E84" s="270">
        <v>44000</v>
      </c>
      <c r="F84" s="268">
        <v>0</v>
      </c>
      <c r="G84" s="271" t="s">
        <v>918</v>
      </c>
      <c r="H84" s="267" t="s">
        <v>809</v>
      </c>
      <c r="I84" s="149" t="s">
        <v>908</v>
      </c>
    </row>
    <row r="85" spans="1:9" hidden="1" x14ac:dyDescent="0.2">
      <c r="A85" s="142"/>
      <c r="B85" s="150"/>
      <c r="C85" s="148"/>
      <c r="D85" s="56"/>
      <c r="E85" s="86"/>
      <c r="F85" s="148"/>
      <c r="G85" s="150"/>
      <c r="H85" s="150"/>
      <c r="I85" s="44"/>
    </row>
    <row r="86" spans="1:9" hidden="1" x14ac:dyDescent="0.2">
      <c r="A86" s="142"/>
      <c r="B86" s="150"/>
      <c r="C86" s="148"/>
      <c r="D86" s="56"/>
      <c r="E86" s="86"/>
      <c r="F86" s="148"/>
      <c r="G86" s="150"/>
      <c r="H86" s="150"/>
      <c r="I86" s="149"/>
    </row>
    <row r="87" spans="1:9" ht="13.5" hidden="1" thickBot="1" x14ac:dyDescent="0.25">
      <c r="A87" s="29" t="s">
        <v>43</v>
      </c>
      <c r="B87" s="30"/>
      <c r="C87" s="59">
        <f>SUM(C80:C86)</f>
        <v>124000</v>
      </c>
      <c r="D87" s="30"/>
      <c r="E87" s="59">
        <f>SUM(E80:E86)</f>
        <v>124000</v>
      </c>
      <c r="F87" s="59">
        <f>SUM(F80:F86)</f>
        <v>-3.637978807091713E-12</v>
      </c>
      <c r="G87" s="30"/>
      <c r="H87" s="30"/>
      <c r="I87" s="31"/>
    </row>
    <row r="88" spans="1:9" hidden="1" x14ac:dyDescent="0.2"/>
    <row r="89" spans="1:9" ht="13.5" hidden="1" thickBot="1" x14ac:dyDescent="0.25"/>
    <row r="90" spans="1:9" ht="21" hidden="1" thickBot="1" x14ac:dyDescent="0.25">
      <c r="A90" s="489" t="s">
        <v>797</v>
      </c>
      <c r="B90" s="490"/>
      <c r="C90" s="490"/>
      <c r="D90" s="490"/>
      <c r="E90" s="490"/>
      <c r="F90" s="490"/>
      <c r="G90" s="490"/>
      <c r="H90" s="490"/>
      <c r="I90" s="491"/>
    </row>
    <row r="91" spans="1:9" ht="20.25" hidden="1" x14ac:dyDescent="0.3">
      <c r="A91" s="41"/>
      <c r="B91" s="13" t="s">
        <v>780</v>
      </c>
      <c r="C91" s="13" t="s">
        <v>781</v>
      </c>
      <c r="D91" s="13" t="s">
        <v>782</v>
      </c>
      <c r="E91" s="14"/>
      <c r="F91" s="14"/>
      <c r="G91" s="13"/>
      <c r="H91" s="13"/>
      <c r="I91" s="39"/>
    </row>
    <row r="92" spans="1:9" ht="20.25" hidden="1" x14ac:dyDescent="0.3">
      <c r="A92" s="41" t="s">
        <v>57</v>
      </c>
      <c r="B92" s="214">
        <v>101125</v>
      </c>
      <c r="C92" s="214">
        <f>C121+(0.03*C121)</f>
        <v>79482.776526000001</v>
      </c>
      <c r="D92" s="214">
        <v>143750</v>
      </c>
      <c r="E92" s="14"/>
      <c r="F92" s="14"/>
      <c r="G92" s="13"/>
      <c r="H92" s="13"/>
      <c r="I92" s="39"/>
    </row>
    <row r="93" spans="1:9" ht="20.25" hidden="1" x14ac:dyDescent="0.3">
      <c r="A93" s="41" t="s">
        <v>36</v>
      </c>
      <c r="B93" s="215">
        <f>IF(B126&gt;B92, B92,B126)</f>
        <v>0</v>
      </c>
      <c r="C93" s="215">
        <f>IF(C126&gt;C92,C92,C126)</f>
        <v>77680.614199999996</v>
      </c>
      <c r="D93" s="215">
        <f>IF(D126&gt;D92,D92,D126)</f>
        <v>30928</v>
      </c>
      <c r="E93" s="14"/>
      <c r="F93" s="14"/>
      <c r="G93" s="13"/>
      <c r="H93" s="13"/>
      <c r="I93" s="39"/>
    </row>
    <row r="94" spans="1:9" ht="20.25" hidden="1" x14ac:dyDescent="0.3">
      <c r="A94" s="41" t="s">
        <v>785</v>
      </c>
      <c r="B94" s="92">
        <f>SUM(B92:B93)</f>
        <v>101125</v>
      </c>
      <c r="C94" s="92">
        <f>SUM(C92:C93)</f>
        <v>157163.39072600001</v>
      </c>
      <c r="D94" s="92">
        <f>SUM(D92:D93)</f>
        <v>174678</v>
      </c>
      <c r="E94" s="130" t="s">
        <v>107</v>
      </c>
      <c r="F94" s="14"/>
      <c r="G94" s="13"/>
      <c r="H94" s="13"/>
      <c r="I94" s="39"/>
    </row>
    <row r="95" spans="1:9" hidden="1" x14ac:dyDescent="0.2">
      <c r="A95" s="41" t="s">
        <v>47</v>
      </c>
      <c r="B95" s="92">
        <f>B126</f>
        <v>0</v>
      </c>
      <c r="C95" s="92">
        <f>IF(C127&gt;C121,C121,C127)</f>
        <v>77167.744200000001</v>
      </c>
      <c r="D95" s="92">
        <f>IF(D127&gt;D121,D121,D127)</f>
        <v>26390</v>
      </c>
      <c r="E95" s="492"/>
      <c r="F95" s="492"/>
      <c r="G95" s="492"/>
      <c r="H95" s="13"/>
      <c r="I95" s="39"/>
    </row>
    <row r="96" spans="1:9" ht="20.25" hidden="1" x14ac:dyDescent="0.3">
      <c r="A96" s="41" t="s">
        <v>479</v>
      </c>
      <c r="B96" s="92">
        <f>B92+B95</f>
        <v>101125</v>
      </c>
      <c r="C96" s="92">
        <f>C92+C95</f>
        <v>156650.52072600002</v>
      </c>
      <c r="D96" s="92">
        <f>D92+D95</f>
        <v>170140</v>
      </c>
      <c r="E96" s="151" t="s">
        <v>108</v>
      </c>
      <c r="F96" s="14"/>
      <c r="G96" s="13"/>
      <c r="H96" s="13"/>
      <c r="I96" s="39"/>
    </row>
    <row r="97" spans="1:9" ht="20.25" hidden="1" x14ac:dyDescent="0.3">
      <c r="A97" s="41" t="s">
        <v>39</v>
      </c>
      <c r="B97" s="92">
        <f>B94-E101</f>
        <v>0</v>
      </c>
      <c r="C97" s="92">
        <f>C94-E105</f>
        <v>115468.46072600002</v>
      </c>
      <c r="D97" s="92">
        <f>D94-E117</f>
        <v>10011</v>
      </c>
      <c r="E97" s="151" t="s">
        <v>109</v>
      </c>
      <c r="F97" s="14"/>
      <c r="G97" s="13"/>
      <c r="H97" s="13"/>
      <c r="I97" s="39"/>
    </row>
    <row r="98" spans="1:9" ht="13.5" hidden="1" thickBot="1" x14ac:dyDescent="0.25">
      <c r="A98" s="41" t="s">
        <v>132</v>
      </c>
      <c r="B98" s="93">
        <f>B96-E101-F101</f>
        <v>0</v>
      </c>
      <c r="C98" s="93">
        <f>C96-E105-F105</f>
        <v>114955.59072600002</v>
      </c>
      <c r="D98" s="94">
        <f>D96-E117-F117</f>
        <v>5473</v>
      </c>
      <c r="E98" s="493" t="s">
        <v>110</v>
      </c>
      <c r="F98" s="493"/>
      <c r="G98" s="493"/>
      <c r="H98" s="493"/>
      <c r="I98" s="146"/>
    </row>
    <row r="99" spans="1:9" ht="51" hidden="1" x14ac:dyDescent="0.2">
      <c r="A99" s="19" t="s">
        <v>41</v>
      </c>
      <c r="B99" s="20" t="s">
        <v>34</v>
      </c>
      <c r="C99" s="20" t="s">
        <v>64</v>
      </c>
      <c r="D99" s="20" t="s">
        <v>63</v>
      </c>
      <c r="E99" s="20" t="s">
        <v>37</v>
      </c>
      <c r="F99" s="20" t="s">
        <v>48</v>
      </c>
      <c r="G99" s="20" t="s">
        <v>40</v>
      </c>
      <c r="H99" s="20" t="s">
        <v>38</v>
      </c>
      <c r="I99" s="21" t="s">
        <v>5</v>
      </c>
    </row>
    <row r="100" spans="1:9" hidden="1" x14ac:dyDescent="0.2">
      <c r="A100" s="22" t="s">
        <v>10</v>
      </c>
      <c r="B100" s="23" t="s">
        <v>10</v>
      </c>
      <c r="C100" s="60">
        <v>101125</v>
      </c>
      <c r="D100" s="53" t="s">
        <v>798</v>
      </c>
      <c r="E100" s="60">
        <f>C100</f>
        <v>101125</v>
      </c>
      <c r="F100" s="67">
        <f>IF(E100="",C100,0)</f>
        <v>0</v>
      </c>
      <c r="G100" s="23" t="s">
        <v>798</v>
      </c>
      <c r="H100" s="23" t="s">
        <v>487</v>
      </c>
      <c r="I100" s="24"/>
    </row>
    <row r="101" spans="1:9" hidden="1" x14ac:dyDescent="0.2">
      <c r="A101" s="25" t="s">
        <v>43</v>
      </c>
      <c r="B101" s="26"/>
      <c r="C101" s="64">
        <f>C100</f>
        <v>101125</v>
      </c>
      <c r="D101" s="35"/>
      <c r="E101" s="64">
        <f>E100</f>
        <v>101125</v>
      </c>
      <c r="F101" s="64">
        <f>F100</f>
        <v>0</v>
      </c>
      <c r="G101" s="35"/>
      <c r="H101" s="35"/>
      <c r="I101" s="36"/>
    </row>
    <row r="102" spans="1:9" hidden="1" x14ac:dyDescent="0.2">
      <c r="A102" s="38"/>
      <c r="B102" s="38"/>
      <c r="C102" s="68"/>
      <c r="D102" s="38"/>
      <c r="E102" s="68"/>
      <c r="F102" s="68"/>
      <c r="G102" s="38"/>
      <c r="H102" s="38"/>
      <c r="I102" s="38"/>
    </row>
    <row r="103" spans="1:9" hidden="1" x14ac:dyDescent="0.2">
      <c r="A103" s="37" t="s">
        <v>44</v>
      </c>
      <c r="B103" s="26" t="s">
        <v>567</v>
      </c>
      <c r="C103" s="65">
        <v>21754.11</v>
      </c>
      <c r="D103" s="58">
        <v>44292</v>
      </c>
      <c r="E103" s="65">
        <v>21754.11</v>
      </c>
      <c r="F103" s="87">
        <f>C103-E103</f>
        <v>0</v>
      </c>
      <c r="G103" s="54" t="s">
        <v>822</v>
      </c>
      <c r="H103" s="26" t="s">
        <v>487</v>
      </c>
      <c r="I103" s="84"/>
    </row>
    <row r="104" spans="1:9" hidden="1" x14ac:dyDescent="0.2">
      <c r="A104" s="37"/>
      <c r="B104" s="26"/>
      <c r="C104" s="274">
        <v>19940.82</v>
      </c>
      <c r="D104" s="58" t="s">
        <v>832</v>
      </c>
      <c r="E104" s="274">
        <v>19940.82</v>
      </c>
      <c r="F104" s="87">
        <v>0</v>
      </c>
      <c r="G104" s="54" t="s">
        <v>841</v>
      </c>
      <c r="H104" s="26" t="s">
        <v>487</v>
      </c>
      <c r="I104" s="84"/>
    </row>
    <row r="105" spans="1:9" hidden="1" x14ac:dyDescent="0.2">
      <c r="A105" s="37" t="s">
        <v>43</v>
      </c>
      <c r="B105" s="35"/>
      <c r="C105" s="63">
        <f>C103+C104</f>
        <v>41694.93</v>
      </c>
      <c r="D105" s="35"/>
      <c r="E105" s="63">
        <f>E103+E104</f>
        <v>41694.93</v>
      </c>
      <c r="F105" s="63">
        <f>SUM(F103:F104)</f>
        <v>0</v>
      </c>
      <c r="G105" s="35"/>
      <c r="H105" s="35"/>
      <c r="I105" s="36"/>
    </row>
    <row r="106" spans="1:9" hidden="1" x14ac:dyDescent="0.2">
      <c r="A106" s="38"/>
      <c r="B106" s="38"/>
      <c r="C106" s="68"/>
      <c r="D106" s="38"/>
      <c r="E106" s="68"/>
      <c r="F106" s="68"/>
      <c r="G106" s="158"/>
      <c r="H106" s="158"/>
      <c r="I106" s="38"/>
    </row>
    <row r="107" spans="1:9" hidden="1" x14ac:dyDescent="0.2">
      <c r="A107" s="37" t="s">
        <v>42</v>
      </c>
      <c r="B107" s="28"/>
      <c r="C107" s="65"/>
      <c r="D107" s="102"/>
      <c r="E107" s="65"/>
      <c r="F107" s="148"/>
      <c r="G107" s="28"/>
      <c r="H107" s="28"/>
      <c r="I107" s="157"/>
    </row>
    <row r="108" spans="1:9" hidden="1" x14ac:dyDescent="0.2">
      <c r="A108" s="142"/>
      <c r="B108" s="261" t="s">
        <v>10</v>
      </c>
      <c r="C108" s="203">
        <v>20000</v>
      </c>
      <c r="D108" s="262" t="s">
        <v>805</v>
      </c>
      <c r="E108" s="204">
        <v>19135</v>
      </c>
      <c r="F108" s="148">
        <f>C108-E108</f>
        <v>865</v>
      </c>
      <c r="G108" s="176" t="s">
        <v>843</v>
      </c>
      <c r="H108" s="179" t="s">
        <v>803</v>
      </c>
      <c r="I108" s="260"/>
    </row>
    <row r="109" spans="1:9" hidden="1" x14ac:dyDescent="0.2">
      <c r="A109" s="46"/>
      <c r="B109" s="287"/>
      <c r="C109" s="288"/>
      <c r="D109" s="255"/>
      <c r="E109" s="131"/>
      <c r="F109" s="288">
        <v>-865</v>
      </c>
      <c r="G109" s="289"/>
      <c r="H109" s="287"/>
      <c r="I109" s="290" t="s">
        <v>99</v>
      </c>
    </row>
    <row r="110" spans="1:9" hidden="1" x14ac:dyDescent="0.2">
      <c r="A110" s="46"/>
      <c r="B110" s="267" t="s">
        <v>532</v>
      </c>
      <c r="C110" s="268">
        <v>30000</v>
      </c>
      <c r="D110" s="269" t="s">
        <v>806</v>
      </c>
      <c r="E110" s="270">
        <v>30000</v>
      </c>
      <c r="F110" s="268">
        <f>C110-E110</f>
        <v>0</v>
      </c>
      <c r="G110" s="271" t="s">
        <v>828</v>
      </c>
      <c r="H110" s="267" t="s">
        <v>803</v>
      </c>
      <c r="I110" s="272" t="s">
        <v>100</v>
      </c>
    </row>
    <row r="111" spans="1:9" hidden="1" x14ac:dyDescent="0.2">
      <c r="A111" s="46"/>
      <c r="B111" s="392" t="s">
        <v>10</v>
      </c>
      <c r="C111" s="393">
        <v>41250</v>
      </c>
      <c r="D111" s="394" t="s">
        <v>814</v>
      </c>
      <c r="E111" s="395">
        <f>33476+7774</f>
        <v>41250</v>
      </c>
      <c r="F111" s="393"/>
      <c r="G111" s="396" t="s">
        <v>995</v>
      </c>
      <c r="H111" s="392" t="s">
        <v>809</v>
      </c>
      <c r="I111" s="397" t="s">
        <v>884</v>
      </c>
    </row>
    <row r="112" spans="1:9" hidden="1" x14ac:dyDescent="0.2">
      <c r="A112" s="361"/>
      <c r="B112" s="362" t="s">
        <v>10</v>
      </c>
      <c r="C112" s="363">
        <v>10000</v>
      </c>
      <c r="D112" s="364" t="s">
        <v>815</v>
      </c>
      <c r="E112" s="365">
        <v>9282</v>
      </c>
      <c r="F112" s="363">
        <f>10000-E112</f>
        <v>718</v>
      </c>
      <c r="G112" s="362" t="s">
        <v>1011</v>
      </c>
      <c r="H112" s="362" t="s">
        <v>810</v>
      </c>
      <c r="I112" s="366"/>
    </row>
    <row r="113" spans="1:9" hidden="1" x14ac:dyDescent="0.2">
      <c r="A113" s="361"/>
      <c r="B113" s="362"/>
      <c r="C113" s="363"/>
      <c r="D113" s="364"/>
      <c r="E113" s="365"/>
      <c r="F113" s="363">
        <v>-718</v>
      </c>
      <c r="G113" s="362"/>
      <c r="H113" s="362"/>
      <c r="I113" s="367" t="s">
        <v>99</v>
      </c>
    </row>
    <row r="114" spans="1:9" hidden="1" x14ac:dyDescent="0.2">
      <c r="A114" s="142"/>
      <c r="B114" s="150" t="s">
        <v>10</v>
      </c>
      <c r="C114" s="148">
        <v>10000</v>
      </c>
      <c r="D114" s="56" t="s">
        <v>817</v>
      </c>
      <c r="E114" s="86">
        <v>10000</v>
      </c>
      <c r="F114" s="148">
        <v>0</v>
      </c>
      <c r="G114" s="150" t="s">
        <v>848</v>
      </c>
      <c r="H114" s="150" t="s">
        <v>816</v>
      </c>
      <c r="I114" s="44"/>
    </row>
    <row r="115" spans="1:9" hidden="1" x14ac:dyDescent="0.2">
      <c r="A115" s="142"/>
      <c r="B115" s="150" t="s">
        <v>532</v>
      </c>
      <c r="C115" s="148">
        <v>15000</v>
      </c>
      <c r="D115" s="56" t="s">
        <v>820</v>
      </c>
      <c r="E115" s="86">
        <v>15000</v>
      </c>
      <c r="F115" s="148">
        <f>C115-E115</f>
        <v>0</v>
      </c>
      <c r="G115" s="150" t="s">
        <v>831</v>
      </c>
      <c r="H115" s="150" t="s">
        <v>816</v>
      </c>
      <c r="I115" s="44" t="s">
        <v>100</v>
      </c>
    </row>
    <row r="116" spans="1:9" hidden="1" x14ac:dyDescent="0.2">
      <c r="A116" s="142"/>
      <c r="B116" s="150" t="s">
        <v>532</v>
      </c>
      <c r="C116" s="148">
        <f>40000</f>
        <v>40000</v>
      </c>
      <c r="D116" s="56" t="s">
        <v>819</v>
      </c>
      <c r="E116" s="86">
        <f>40000</f>
        <v>40000</v>
      </c>
      <c r="F116" s="148"/>
      <c r="G116" s="150" t="s">
        <v>906</v>
      </c>
      <c r="H116" s="150" t="s">
        <v>809</v>
      </c>
      <c r="I116" s="149" t="s">
        <v>884</v>
      </c>
    </row>
    <row r="117" spans="1:9" ht="13.5" hidden="1" thickBot="1" x14ac:dyDescent="0.25">
      <c r="A117" s="29" t="s">
        <v>43</v>
      </c>
      <c r="B117" s="30"/>
      <c r="C117" s="59">
        <f>SUM(C107:C116)</f>
        <v>166250</v>
      </c>
      <c r="D117" s="30"/>
      <c r="E117" s="59">
        <f>SUM(E107:E116)</f>
        <v>164667</v>
      </c>
      <c r="F117" s="59">
        <f>SUM(F107:F116)</f>
        <v>0</v>
      </c>
      <c r="G117" s="30"/>
      <c r="H117" s="30"/>
      <c r="I117" s="31"/>
    </row>
    <row r="118" spans="1:9" ht="13.5" hidden="1" thickBot="1" x14ac:dyDescent="0.25"/>
    <row r="119" spans="1:9" ht="21" hidden="1" thickBot="1" x14ac:dyDescent="0.25">
      <c r="A119" s="489" t="s">
        <v>696</v>
      </c>
      <c r="B119" s="490"/>
      <c r="C119" s="490"/>
      <c r="D119" s="490"/>
      <c r="E119" s="490"/>
      <c r="F119" s="490"/>
      <c r="G119" s="490"/>
      <c r="H119" s="490"/>
      <c r="I119" s="491"/>
    </row>
    <row r="120" spans="1:9" ht="20.25" hidden="1" x14ac:dyDescent="0.3">
      <c r="A120" s="41"/>
      <c r="B120" s="13" t="s">
        <v>697</v>
      </c>
      <c r="C120" s="13" t="s">
        <v>698</v>
      </c>
      <c r="D120" s="13" t="s">
        <v>699</v>
      </c>
      <c r="E120" s="14"/>
      <c r="F120" s="14"/>
      <c r="G120" s="13"/>
      <c r="H120" s="13"/>
      <c r="I120" s="39"/>
    </row>
    <row r="121" spans="1:9" ht="20.25" hidden="1" x14ac:dyDescent="0.3">
      <c r="A121" s="41" t="s">
        <v>57</v>
      </c>
      <c r="B121" s="214">
        <f>101125</f>
        <v>101125</v>
      </c>
      <c r="C121" s="214">
        <f>74920.14*1.03</f>
        <v>77167.744200000001</v>
      </c>
      <c r="D121" s="214">
        <v>143750</v>
      </c>
      <c r="E121" s="14"/>
      <c r="F121" s="14"/>
      <c r="G121" s="13"/>
      <c r="H121" s="13"/>
      <c r="I121" s="39"/>
    </row>
    <row r="122" spans="1:9" ht="20.25" hidden="1" x14ac:dyDescent="0.3">
      <c r="A122" s="41" t="s">
        <v>36</v>
      </c>
      <c r="B122" s="215">
        <f>IF(B163&gt;101125,101125,B163)</f>
        <v>0</v>
      </c>
      <c r="C122" s="215">
        <f>IF(C163&gt;74920.14,74920.14,C163)</f>
        <v>74920.14</v>
      </c>
      <c r="D122" s="215">
        <f>IF(D163&gt;143750,143750,D163)</f>
        <v>19581.999999999985</v>
      </c>
      <c r="E122" s="14"/>
      <c r="F122" s="14"/>
      <c r="G122" s="13"/>
      <c r="H122" s="13"/>
      <c r="I122" s="39"/>
    </row>
    <row r="123" spans="1:9" ht="20.25" hidden="1" x14ac:dyDescent="0.3">
      <c r="A123" s="41" t="s">
        <v>702</v>
      </c>
      <c r="B123" s="92">
        <f>SUM(B121:B122)</f>
        <v>101125</v>
      </c>
      <c r="C123" s="92">
        <f>SUM(C121:C122)</f>
        <v>152087.8842</v>
      </c>
      <c r="D123" s="92">
        <f>SUM(D121:D122)</f>
        <v>163332</v>
      </c>
      <c r="E123" s="130" t="s">
        <v>107</v>
      </c>
      <c r="F123" s="14"/>
      <c r="G123" s="13"/>
      <c r="H123" s="13"/>
      <c r="I123" s="39"/>
    </row>
    <row r="124" spans="1:9" hidden="1" x14ac:dyDescent="0.2">
      <c r="A124" s="41" t="s">
        <v>47</v>
      </c>
      <c r="B124" s="92">
        <f>B163</f>
        <v>0</v>
      </c>
      <c r="C124" s="92">
        <f>IF(C164&gt;74920.14, 74920.14,C164)</f>
        <v>74920.14</v>
      </c>
      <c r="D124" s="92">
        <f>IF(D163&gt;143750, 143750, D163)</f>
        <v>19581.999999999985</v>
      </c>
      <c r="E124" s="492"/>
      <c r="F124" s="492"/>
      <c r="G124" s="492"/>
      <c r="H124" s="13"/>
      <c r="I124" s="39"/>
    </row>
    <row r="125" spans="1:9" ht="20.25" hidden="1" x14ac:dyDescent="0.3">
      <c r="A125" s="41" t="s">
        <v>479</v>
      </c>
      <c r="B125" s="92">
        <f>B121+B124</f>
        <v>101125</v>
      </c>
      <c r="C125" s="92">
        <f>C121+C124</f>
        <v>152087.8842</v>
      </c>
      <c r="D125" s="92">
        <f>D121+D124</f>
        <v>163332</v>
      </c>
      <c r="E125" s="151" t="s">
        <v>108</v>
      </c>
      <c r="F125" s="14"/>
      <c r="G125" s="13"/>
      <c r="H125" s="13"/>
      <c r="I125" s="39"/>
    </row>
    <row r="126" spans="1:9" ht="20.25" hidden="1" x14ac:dyDescent="0.3">
      <c r="A126" s="41" t="s">
        <v>39</v>
      </c>
      <c r="B126" s="92">
        <f>B123-E131</f>
        <v>0</v>
      </c>
      <c r="C126" s="92">
        <f>C123-E135</f>
        <v>77680.614199999996</v>
      </c>
      <c r="D126" s="92">
        <f>D123-E154</f>
        <v>30928</v>
      </c>
      <c r="E126" s="151" t="s">
        <v>109</v>
      </c>
      <c r="F126" s="14"/>
      <c r="G126" s="13"/>
      <c r="H126" s="13"/>
      <c r="I126" s="39"/>
    </row>
    <row r="127" spans="1:9" hidden="1" x14ac:dyDescent="0.2">
      <c r="A127" s="41" t="s">
        <v>132</v>
      </c>
      <c r="B127" s="93">
        <f>B125-E131-F131</f>
        <v>0</v>
      </c>
      <c r="C127" s="93">
        <f>C125-E135-F135</f>
        <v>77680.614199999996</v>
      </c>
      <c r="D127" s="94">
        <f>D125-E154-F154</f>
        <v>26390</v>
      </c>
      <c r="E127" s="493" t="s">
        <v>110</v>
      </c>
      <c r="F127" s="493"/>
      <c r="G127" s="493"/>
      <c r="H127" s="493"/>
      <c r="I127" s="146"/>
    </row>
    <row r="128" spans="1:9" ht="21" hidden="1" thickBot="1" x14ac:dyDescent="0.35">
      <c r="A128" s="41"/>
      <c r="B128" s="13"/>
      <c r="C128" s="13"/>
      <c r="D128" s="13"/>
      <c r="E128" s="14"/>
      <c r="F128" s="14"/>
      <c r="G128" s="13"/>
      <c r="H128" s="13"/>
      <c r="I128" s="39"/>
    </row>
    <row r="129" spans="1:9" ht="51" hidden="1" x14ac:dyDescent="0.2">
      <c r="A129" s="19" t="s">
        <v>41</v>
      </c>
      <c r="B129" s="20" t="s">
        <v>34</v>
      </c>
      <c r="C129" s="20" t="s">
        <v>64</v>
      </c>
      <c r="D129" s="20" t="s">
        <v>63</v>
      </c>
      <c r="E129" s="20" t="s">
        <v>37</v>
      </c>
      <c r="F129" s="20" t="s">
        <v>48</v>
      </c>
      <c r="G129" s="20" t="s">
        <v>40</v>
      </c>
      <c r="H129" s="20" t="s">
        <v>38</v>
      </c>
      <c r="I129" s="21" t="s">
        <v>5</v>
      </c>
    </row>
    <row r="130" spans="1:9" hidden="1" x14ac:dyDescent="0.2">
      <c r="A130" s="22" t="s">
        <v>10</v>
      </c>
      <c r="B130" s="23" t="s">
        <v>10</v>
      </c>
      <c r="C130" s="60">
        <v>101125</v>
      </c>
      <c r="D130" s="53">
        <v>43832</v>
      </c>
      <c r="E130" s="60">
        <f>C130</f>
        <v>101125</v>
      </c>
      <c r="F130" s="67">
        <f>IF(E130="",C130,0)</f>
        <v>0</v>
      </c>
      <c r="G130" s="23" t="s">
        <v>708</v>
      </c>
      <c r="H130" s="23" t="s">
        <v>487</v>
      </c>
      <c r="I130" s="24"/>
    </row>
    <row r="131" spans="1:9" hidden="1" x14ac:dyDescent="0.2">
      <c r="A131" s="25" t="s">
        <v>43</v>
      </c>
      <c r="B131" s="26"/>
      <c r="C131" s="64">
        <f>C130</f>
        <v>101125</v>
      </c>
      <c r="D131" s="35"/>
      <c r="E131" s="64">
        <f>E130</f>
        <v>101125</v>
      </c>
      <c r="F131" s="64">
        <f>F130</f>
        <v>0</v>
      </c>
      <c r="G131" s="35"/>
      <c r="H131" s="35"/>
      <c r="I131" s="36"/>
    </row>
    <row r="132" spans="1:9" hidden="1" x14ac:dyDescent="0.2">
      <c r="A132" s="38"/>
      <c r="B132" s="38"/>
      <c r="C132" s="68"/>
      <c r="D132" s="38"/>
      <c r="E132" s="68"/>
      <c r="F132" s="68"/>
      <c r="G132" s="38"/>
      <c r="H132" s="38"/>
      <c r="I132" s="38"/>
    </row>
    <row r="133" spans="1:9" hidden="1" x14ac:dyDescent="0.2">
      <c r="A133" s="37" t="s">
        <v>44</v>
      </c>
      <c r="B133" s="26" t="s">
        <v>567</v>
      </c>
      <c r="C133" s="65">
        <v>48976.800000000003</v>
      </c>
      <c r="D133" s="58">
        <v>43921</v>
      </c>
      <c r="E133" s="65">
        <v>48976.800000000003</v>
      </c>
      <c r="F133" s="87">
        <f>C133-E133</f>
        <v>0</v>
      </c>
      <c r="G133" s="54" t="s">
        <v>738</v>
      </c>
      <c r="H133" s="26" t="s">
        <v>604</v>
      </c>
      <c r="I133" s="84"/>
    </row>
    <row r="134" spans="1:9" hidden="1" x14ac:dyDescent="0.2">
      <c r="A134" s="37"/>
      <c r="B134" s="26"/>
      <c r="C134" s="274">
        <v>25430.47</v>
      </c>
      <c r="D134" s="58">
        <v>44105</v>
      </c>
      <c r="E134" s="274">
        <v>25430.47</v>
      </c>
      <c r="F134" s="87"/>
      <c r="G134" s="54"/>
      <c r="H134" s="26"/>
      <c r="I134" s="84"/>
    </row>
    <row r="135" spans="1:9" hidden="1" x14ac:dyDescent="0.2">
      <c r="A135" s="37" t="s">
        <v>43</v>
      </c>
      <c r="B135" s="35"/>
      <c r="C135" s="63">
        <f>C133+C134</f>
        <v>74407.27</v>
      </c>
      <c r="D135" s="35"/>
      <c r="E135" s="63">
        <f>E133+E134</f>
        <v>74407.27</v>
      </c>
      <c r="F135" s="63">
        <f>F133</f>
        <v>0</v>
      </c>
      <c r="G135" s="35"/>
      <c r="H135" s="35"/>
      <c r="I135" s="36"/>
    </row>
    <row r="136" spans="1:9" hidden="1" x14ac:dyDescent="0.2">
      <c r="A136" s="38"/>
      <c r="B136" s="38"/>
      <c r="C136" s="68"/>
      <c r="D136" s="38"/>
      <c r="E136" s="68"/>
      <c r="F136" s="68"/>
      <c r="G136" s="158"/>
      <c r="H136" s="158"/>
      <c r="I136" s="38"/>
    </row>
    <row r="137" spans="1:9" hidden="1" x14ac:dyDescent="0.2">
      <c r="A137" s="37" t="s">
        <v>42</v>
      </c>
      <c r="B137" s="28"/>
      <c r="C137" s="65"/>
      <c r="D137" s="102"/>
      <c r="E137" s="65"/>
      <c r="F137" s="148"/>
      <c r="G137" s="28"/>
      <c r="H137" s="28"/>
      <c r="I137" s="157"/>
    </row>
    <row r="138" spans="1:9" hidden="1" x14ac:dyDescent="0.2">
      <c r="A138" s="142"/>
      <c r="B138" s="261" t="s">
        <v>567</v>
      </c>
      <c r="C138" s="203">
        <v>20000</v>
      </c>
      <c r="D138" s="262" t="s">
        <v>731</v>
      </c>
      <c r="E138" s="204">
        <v>20000</v>
      </c>
      <c r="F138" s="148">
        <f>C138-E138</f>
        <v>0</v>
      </c>
      <c r="G138" s="176" t="s">
        <v>773</v>
      </c>
      <c r="H138" s="285" t="s">
        <v>688</v>
      </c>
      <c r="I138" s="260"/>
    </row>
    <row r="139" spans="1:9" hidden="1" x14ac:dyDescent="0.2">
      <c r="A139" s="46"/>
      <c r="B139" s="267"/>
      <c r="C139" s="268">
        <v>9700.4</v>
      </c>
      <c r="D139" s="269" t="s">
        <v>765</v>
      </c>
      <c r="E139" s="270">
        <v>2285.85</v>
      </c>
      <c r="F139" s="268">
        <v>0</v>
      </c>
      <c r="G139" s="271" t="s">
        <v>773</v>
      </c>
      <c r="H139" s="286" t="s">
        <v>688</v>
      </c>
      <c r="I139" s="272" t="s">
        <v>763</v>
      </c>
    </row>
    <row r="140" spans="1:9" hidden="1" x14ac:dyDescent="0.2">
      <c r="A140" s="46"/>
      <c r="B140" s="267"/>
      <c r="C140" s="268"/>
      <c r="D140" s="269"/>
      <c r="E140" s="270">
        <v>7414.55</v>
      </c>
      <c r="F140" s="268">
        <v>0</v>
      </c>
      <c r="G140" s="271" t="s">
        <v>839</v>
      </c>
      <c r="H140" s="267" t="s">
        <v>688</v>
      </c>
      <c r="I140" s="273"/>
    </row>
    <row r="141" spans="1:9" hidden="1" x14ac:dyDescent="0.2">
      <c r="A141" s="142"/>
      <c r="B141" s="263" t="s">
        <v>567</v>
      </c>
      <c r="C141" s="264">
        <v>30000</v>
      </c>
      <c r="D141" s="241" t="s">
        <v>717</v>
      </c>
      <c r="E141" s="265">
        <v>30000</v>
      </c>
      <c r="F141" s="264">
        <v>0</v>
      </c>
      <c r="G141" s="263" t="s">
        <v>757</v>
      </c>
      <c r="H141" s="263" t="s">
        <v>716</v>
      </c>
      <c r="I141" s="266"/>
    </row>
    <row r="142" spans="1:9" hidden="1" x14ac:dyDescent="0.2">
      <c r="A142" s="142"/>
      <c r="B142" s="150" t="s">
        <v>10</v>
      </c>
      <c r="C142" s="148">
        <v>30000</v>
      </c>
      <c r="D142" s="56" t="s">
        <v>720</v>
      </c>
      <c r="E142" s="86">
        <v>16482</v>
      </c>
      <c r="F142" s="148">
        <f>C142-E142</f>
        <v>13518</v>
      </c>
      <c r="G142" s="150" t="s">
        <v>754</v>
      </c>
      <c r="H142" s="150" t="s">
        <v>716</v>
      </c>
      <c r="I142" s="44"/>
    </row>
    <row r="143" spans="1:9" hidden="1" x14ac:dyDescent="0.2">
      <c r="A143" s="142"/>
      <c r="B143" s="150"/>
      <c r="C143" s="148"/>
      <c r="D143" s="56"/>
      <c r="E143" s="86">
        <v>13518</v>
      </c>
      <c r="F143" s="148">
        <v>-13518</v>
      </c>
      <c r="G143" s="150" t="s">
        <v>794</v>
      </c>
      <c r="H143" s="150"/>
      <c r="I143" s="44"/>
    </row>
    <row r="144" spans="1:9" hidden="1" x14ac:dyDescent="0.2">
      <c r="A144" s="142"/>
      <c r="B144" s="387" t="s">
        <v>10</v>
      </c>
      <c r="C144" s="388">
        <v>12500</v>
      </c>
      <c r="D144" s="389" t="s">
        <v>727</v>
      </c>
      <c r="E144" s="390">
        <v>7962</v>
      </c>
      <c r="F144" s="388">
        <f>C144-E144</f>
        <v>4538</v>
      </c>
      <c r="G144" s="387" t="s">
        <v>795</v>
      </c>
      <c r="H144" s="387" t="s">
        <v>688</v>
      </c>
      <c r="I144" s="391" t="s">
        <v>188</v>
      </c>
    </row>
    <row r="145" spans="1:9" hidden="1" x14ac:dyDescent="0.2">
      <c r="A145" s="142"/>
      <c r="B145" s="150" t="s">
        <v>10</v>
      </c>
      <c r="C145" s="148">
        <v>7000</v>
      </c>
      <c r="D145" s="56" t="s">
        <v>726</v>
      </c>
      <c r="E145" s="86">
        <v>3481</v>
      </c>
      <c r="F145" s="156">
        <f>C145-E145</f>
        <v>3519</v>
      </c>
      <c r="G145" s="150" t="s">
        <v>796</v>
      </c>
      <c r="H145" s="150" t="s">
        <v>719</v>
      </c>
      <c r="I145" s="44" t="s">
        <v>100</v>
      </c>
    </row>
    <row r="146" spans="1:9" hidden="1" x14ac:dyDescent="0.2">
      <c r="A146" s="142"/>
      <c r="B146" s="150"/>
      <c r="C146" s="148"/>
      <c r="D146" s="56"/>
      <c r="E146" s="86"/>
      <c r="F146" s="156">
        <v>-3519</v>
      </c>
      <c r="G146" s="150"/>
      <c r="H146" s="150"/>
      <c r="I146" s="44"/>
    </row>
    <row r="147" spans="1:9" hidden="1" x14ac:dyDescent="0.2">
      <c r="A147" s="142"/>
      <c r="B147" s="150" t="s">
        <v>567</v>
      </c>
      <c r="C147" s="148">
        <v>30000</v>
      </c>
      <c r="D147" s="173" t="s">
        <v>743</v>
      </c>
      <c r="E147" s="86">
        <v>20299.599999999999</v>
      </c>
      <c r="F147" s="148">
        <f>C147-E147</f>
        <v>9700.4000000000015</v>
      </c>
      <c r="G147" s="150" t="s">
        <v>764</v>
      </c>
      <c r="H147" s="150" t="s">
        <v>742</v>
      </c>
      <c r="I147" s="149"/>
    </row>
    <row r="148" spans="1:9" hidden="1" x14ac:dyDescent="0.2">
      <c r="A148" s="142"/>
      <c r="B148" s="150"/>
      <c r="C148" s="148"/>
      <c r="D148" s="173"/>
      <c r="E148" s="86"/>
      <c r="F148" s="148">
        <v>-9700.4</v>
      </c>
      <c r="G148" s="150" t="s">
        <v>764</v>
      </c>
      <c r="H148" s="150" t="s">
        <v>742</v>
      </c>
      <c r="I148" s="284" t="s">
        <v>762</v>
      </c>
    </row>
    <row r="149" spans="1:9" hidden="1" x14ac:dyDescent="0.2">
      <c r="A149" s="142"/>
      <c r="B149" s="26" t="s">
        <v>10</v>
      </c>
      <c r="C149" s="156">
        <v>11000</v>
      </c>
      <c r="D149" s="58" t="s">
        <v>776</v>
      </c>
      <c r="E149" s="86">
        <v>10961</v>
      </c>
      <c r="F149" s="65">
        <f>11000-10961</f>
        <v>39</v>
      </c>
      <c r="G149" s="26" t="s">
        <v>779</v>
      </c>
      <c r="H149" s="26" t="s">
        <v>742</v>
      </c>
      <c r="I149" s="27" t="s">
        <v>100</v>
      </c>
    </row>
    <row r="150" spans="1:9" hidden="1" x14ac:dyDescent="0.2">
      <c r="A150" s="142"/>
      <c r="B150" s="150"/>
      <c r="C150" s="156"/>
      <c r="D150" s="58"/>
      <c r="E150" s="86"/>
      <c r="F150" s="148">
        <v>-39</v>
      </c>
      <c r="G150" s="150"/>
      <c r="H150" s="26"/>
      <c r="I150" s="44" t="s">
        <v>67</v>
      </c>
    </row>
    <row r="151" spans="1:9" hidden="1" x14ac:dyDescent="0.2">
      <c r="A151" s="142"/>
      <c r="B151" s="237"/>
      <c r="C151" s="148"/>
      <c r="D151" s="244"/>
      <c r="E151" s="86"/>
      <c r="F151" s="205"/>
      <c r="G151" s="208"/>
      <c r="H151" s="236"/>
      <c r="I151" s="229"/>
    </row>
    <row r="152" spans="1:9" hidden="1" x14ac:dyDescent="0.2">
      <c r="A152" s="46"/>
      <c r="B152" s="208"/>
      <c r="C152" s="203"/>
      <c r="D152" s="209"/>
      <c r="E152" s="204"/>
      <c r="F152" s="148"/>
      <c r="G152" s="172"/>
      <c r="H152" s="182"/>
      <c r="I152" s="240"/>
    </row>
    <row r="153" spans="1:9" hidden="1" x14ac:dyDescent="0.2">
      <c r="A153" s="142"/>
      <c r="B153" s="202"/>
      <c r="C153" s="148"/>
      <c r="D153" s="199"/>
      <c r="E153" s="86"/>
      <c r="F153" s="148"/>
      <c r="G153" s="186"/>
      <c r="H153" s="179"/>
      <c r="I153" s="185"/>
    </row>
    <row r="154" spans="1:9" ht="13.5" hidden="1" thickBot="1" x14ac:dyDescent="0.25">
      <c r="A154" s="29" t="s">
        <v>43</v>
      </c>
      <c r="B154" s="30"/>
      <c r="C154" s="59">
        <f>SUM(C137:C153)</f>
        <v>150200.4</v>
      </c>
      <c r="D154" s="30"/>
      <c r="E154" s="59">
        <f>SUM(E137:E153)</f>
        <v>132404</v>
      </c>
      <c r="F154" s="59">
        <f>SUM(F137:F153)</f>
        <v>4538.0000000000018</v>
      </c>
      <c r="G154" s="30"/>
      <c r="H154" s="30"/>
      <c r="I154" s="31"/>
    </row>
    <row r="155" spans="1:9" ht="13.5" hidden="1" thickBot="1" x14ac:dyDescent="0.25"/>
    <row r="156" spans="1:9" ht="21" hidden="1" thickBot="1" x14ac:dyDescent="0.25">
      <c r="A156" s="489" t="s">
        <v>599</v>
      </c>
      <c r="B156" s="490"/>
      <c r="C156" s="490"/>
      <c r="D156" s="490"/>
      <c r="E156" s="490"/>
      <c r="F156" s="490"/>
      <c r="G156" s="490"/>
      <c r="H156" s="490"/>
      <c r="I156" s="491"/>
    </row>
    <row r="157" spans="1:9" ht="20.25" hidden="1" x14ac:dyDescent="0.3">
      <c r="A157" s="41"/>
      <c r="B157" s="13" t="s">
        <v>600</v>
      </c>
      <c r="C157" s="13" t="s">
        <v>601</v>
      </c>
      <c r="D157" s="13" t="s">
        <v>602</v>
      </c>
      <c r="E157" s="14"/>
      <c r="F157" s="14"/>
      <c r="G157" s="13"/>
      <c r="H157" s="13"/>
      <c r="I157" s="39"/>
    </row>
    <row r="158" spans="1:9" ht="20.25" hidden="1" x14ac:dyDescent="0.3">
      <c r="A158" s="41" t="s">
        <v>57</v>
      </c>
      <c r="B158" s="214">
        <v>101125</v>
      </c>
      <c r="C158" s="214">
        <f>C190*1.03</f>
        <v>74920.14</v>
      </c>
      <c r="D158" s="214">
        <v>143750</v>
      </c>
      <c r="E158" s="14"/>
      <c r="F158" s="14"/>
      <c r="G158" s="13"/>
      <c r="H158" s="13"/>
      <c r="I158" s="39"/>
    </row>
    <row r="159" spans="1:9" ht="20.25" hidden="1" x14ac:dyDescent="0.3">
      <c r="A159" s="41" t="s">
        <v>36</v>
      </c>
      <c r="B159" s="215">
        <f>IF(B195&gt;66125,66125,B195)</f>
        <v>0</v>
      </c>
      <c r="C159" s="215">
        <f>IF(C195&gt;72738,72738,C195)</f>
        <v>70177.55</v>
      </c>
      <c r="D159" s="215">
        <f>IF(D195&gt;143750,143750,D195)</f>
        <v>1372.8799999999756</v>
      </c>
      <c r="E159" s="14"/>
      <c r="F159" s="14"/>
      <c r="G159" s="13"/>
      <c r="H159" s="13"/>
      <c r="I159" s="39"/>
    </row>
    <row r="160" spans="1:9" ht="20.25" hidden="1" x14ac:dyDescent="0.3">
      <c r="A160" s="41" t="s">
        <v>603</v>
      </c>
      <c r="B160" s="92">
        <f>SUM(B158:B159)</f>
        <v>101125</v>
      </c>
      <c r="C160" s="92">
        <f>SUM(C158:C159)</f>
        <v>145097.69</v>
      </c>
      <c r="D160" s="92">
        <f>SUM(D158:D159)</f>
        <v>145122.87999999998</v>
      </c>
      <c r="E160" s="130" t="s">
        <v>107</v>
      </c>
      <c r="F160" s="14"/>
      <c r="G160" s="13"/>
      <c r="H160" s="13"/>
      <c r="I160" s="39"/>
    </row>
    <row r="161" spans="1:9" hidden="1" x14ac:dyDescent="0.2">
      <c r="A161" s="41" t="s">
        <v>47</v>
      </c>
      <c r="B161" s="92">
        <f>B196</f>
        <v>0</v>
      </c>
      <c r="C161" s="92">
        <f>IF(C196&gt;72738, 72738,C196)</f>
        <v>70177.55</v>
      </c>
      <c r="D161" s="92">
        <f>IF(D196&gt;143750, 143750, D196)</f>
        <v>1372.8799999999756</v>
      </c>
      <c r="E161" s="492"/>
      <c r="F161" s="492"/>
      <c r="G161" s="492"/>
      <c r="H161" s="13"/>
      <c r="I161" s="39"/>
    </row>
    <row r="162" spans="1:9" ht="20.25" hidden="1" x14ac:dyDescent="0.3">
      <c r="A162" s="41" t="s">
        <v>479</v>
      </c>
      <c r="B162" s="92">
        <f>B158+B161</f>
        <v>101125</v>
      </c>
      <c r="C162" s="92">
        <f>C158+C161</f>
        <v>145097.69</v>
      </c>
      <c r="D162" s="92">
        <f>D158+D161</f>
        <v>145122.87999999998</v>
      </c>
      <c r="E162" s="151" t="s">
        <v>108</v>
      </c>
      <c r="F162" s="14"/>
      <c r="G162" s="13"/>
      <c r="H162" s="13"/>
      <c r="I162" s="39"/>
    </row>
    <row r="163" spans="1:9" ht="20.25" hidden="1" x14ac:dyDescent="0.3">
      <c r="A163" s="41" t="s">
        <v>39</v>
      </c>
      <c r="B163" s="92">
        <f>B160-E168</f>
        <v>0</v>
      </c>
      <c r="C163" s="92">
        <f>C160-E171</f>
        <v>111710.07</v>
      </c>
      <c r="D163" s="92">
        <f>D160-E186</f>
        <v>19581.999999999985</v>
      </c>
      <c r="E163" s="151" t="s">
        <v>109</v>
      </c>
      <c r="F163" s="14"/>
      <c r="G163" s="13"/>
      <c r="H163" s="13"/>
      <c r="I163" s="39"/>
    </row>
    <row r="164" spans="1:9" hidden="1" x14ac:dyDescent="0.2">
      <c r="A164" s="41" t="s">
        <v>132</v>
      </c>
      <c r="B164" s="93">
        <f>B162-E168-F168</f>
        <v>0</v>
      </c>
      <c r="C164" s="93">
        <f>C162-E171-F171</f>
        <v>102002.63</v>
      </c>
      <c r="D164" s="94">
        <f>D162-E186-F186</f>
        <v>19581.999999999985</v>
      </c>
      <c r="E164" s="493" t="s">
        <v>110</v>
      </c>
      <c r="F164" s="493"/>
      <c r="G164" s="493"/>
      <c r="H164" s="493"/>
      <c r="I164" s="146"/>
    </row>
    <row r="165" spans="1:9" ht="21" hidden="1" thickBot="1" x14ac:dyDescent="0.35">
      <c r="A165" s="41"/>
      <c r="B165" s="13"/>
      <c r="C165" s="13"/>
      <c r="D165" s="13"/>
      <c r="E165" s="14"/>
      <c r="F165" s="14"/>
      <c r="G165" s="13"/>
      <c r="H165" s="13"/>
      <c r="I165" s="39"/>
    </row>
    <row r="166" spans="1:9" ht="51" hidden="1" x14ac:dyDescent="0.2">
      <c r="A166" s="19" t="s">
        <v>41</v>
      </c>
      <c r="B166" s="20" t="s">
        <v>34</v>
      </c>
      <c r="C166" s="20" t="s">
        <v>64</v>
      </c>
      <c r="D166" s="20" t="s">
        <v>63</v>
      </c>
      <c r="E166" s="20" t="s">
        <v>37</v>
      </c>
      <c r="F166" s="20" t="s">
        <v>48</v>
      </c>
      <c r="G166" s="20" t="s">
        <v>40</v>
      </c>
      <c r="H166" s="20" t="s">
        <v>38</v>
      </c>
      <c r="I166" s="21" t="s">
        <v>5</v>
      </c>
    </row>
    <row r="167" spans="1:9" hidden="1" x14ac:dyDescent="0.2">
      <c r="A167" s="22" t="s">
        <v>10</v>
      </c>
      <c r="B167" s="23" t="s">
        <v>10</v>
      </c>
      <c r="C167" s="60">
        <v>101125</v>
      </c>
      <c r="D167" s="53">
        <v>43467</v>
      </c>
      <c r="E167" s="60">
        <f>C167</f>
        <v>101125</v>
      </c>
      <c r="F167" s="67">
        <f>IF(E167="",C167,0)</f>
        <v>0</v>
      </c>
      <c r="G167" s="23" t="s">
        <v>623</v>
      </c>
      <c r="H167" s="23" t="s">
        <v>487</v>
      </c>
      <c r="I167" s="24"/>
    </row>
    <row r="168" spans="1:9" hidden="1" x14ac:dyDescent="0.2">
      <c r="A168" s="25" t="s">
        <v>43</v>
      </c>
      <c r="B168" s="26"/>
      <c r="C168" s="64">
        <f>C167</f>
        <v>101125</v>
      </c>
      <c r="D168" s="35"/>
      <c r="E168" s="64">
        <f>E167</f>
        <v>101125</v>
      </c>
      <c r="F168" s="64">
        <f>F167</f>
        <v>0</v>
      </c>
      <c r="G168" s="35"/>
      <c r="H168" s="35"/>
      <c r="I168" s="36"/>
    </row>
    <row r="169" spans="1:9" hidden="1" x14ac:dyDescent="0.2">
      <c r="A169" s="38"/>
      <c r="B169" s="38"/>
      <c r="C169" s="68"/>
      <c r="D169" s="38"/>
      <c r="E169" s="68"/>
      <c r="F169" s="68"/>
      <c r="G169" s="38"/>
      <c r="H169" s="38"/>
      <c r="I169" s="38"/>
    </row>
    <row r="170" spans="1:9" hidden="1" x14ac:dyDescent="0.2">
      <c r="A170" s="37" t="s">
        <v>44</v>
      </c>
      <c r="B170" s="26" t="s">
        <v>567</v>
      </c>
      <c r="C170" s="65">
        <v>43095.06</v>
      </c>
      <c r="D170" s="58" t="s">
        <v>638</v>
      </c>
      <c r="E170" s="65">
        <v>33387.620000000003</v>
      </c>
      <c r="F170" s="87">
        <f>C170-E170</f>
        <v>9707.4399999999951</v>
      </c>
      <c r="G170" s="54" t="s">
        <v>674</v>
      </c>
      <c r="H170" s="26" t="s">
        <v>604</v>
      </c>
      <c r="I170" s="84"/>
    </row>
    <row r="171" spans="1:9" hidden="1" x14ac:dyDescent="0.2">
      <c r="A171" s="37" t="s">
        <v>43</v>
      </c>
      <c r="B171" s="35"/>
      <c r="C171" s="63">
        <f>C170</f>
        <v>43095.06</v>
      </c>
      <c r="D171" s="35"/>
      <c r="E171" s="63">
        <f>E170</f>
        <v>33387.620000000003</v>
      </c>
      <c r="F171" s="63">
        <f>F170</f>
        <v>9707.4399999999951</v>
      </c>
      <c r="G171" s="35"/>
      <c r="H171" s="35"/>
      <c r="I171" s="36"/>
    </row>
    <row r="172" spans="1:9" hidden="1" x14ac:dyDescent="0.2">
      <c r="A172" s="38"/>
      <c r="B172" s="38"/>
      <c r="C172" s="68"/>
      <c r="D172" s="38"/>
      <c r="E172" s="68"/>
      <c r="F172" s="68"/>
      <c r="G172" s="158"/>
      <c r="H172" s="158"/>
      <c r="I172" s="38"/>
    </row>
    <row r="173" spans="1:9" hidden="1" x14ac:dyDescent="0.2">
      <c r="A173" s="37" t="s">
        <v>42</v>
      </c>
      <c r="B173" s="28"/>
      <c r="C173" s="65"/>
      <c r="D173" s="102"/>
      <c r="E173" s="65"/>
      <c r="F173" s="148"/>
      <c r="G173" s="28"/>
      <c r="H173" s="28"/>
      <c r="I173" s="157"/>
    </row>
    <row r="174" spans="1:9" hidden="1" x14ac:dyDescent="0.2">
      <c r="A174" s="142"/>
      <c r="B174" s="150" t="s">
        <v>567</v>
      </c>
      <c r="C174" s="148">
        <v>50000</v>
      </c>
      <c r="D174" s="56" t="s">
        <v>635</v>
      </c>
      <c r="E174" s="86">
        <v>33492.449999999997</v>
      </c>
      <c r="F174" s="148">
        <f>C174-E174</f>
        <v>16507.550000000003</v>
      </c>
      <c r="G174" s="150" t="s">
        <v>679</v>
      </c>
      <c r="H174" s="150" t="s">
        <v>633</v>
      </c>
      <c r="I174" s="44" t="s">
        <v>100</v>
      </c>
    </row>
    <row r="175" spans="1:9" hidden="1" x14ac:dyDescent="0.2">
      <c r="A175" s="142"/>
      <c r="B175" s="150"/>
      <c r="C175" s="148"/>
      <c r="D175" s="56"/>
      <c r="E175" s="86"/>
      <c r="F175" s="148">
        <v>-16507.55</v>
      </c>
      <c r="G175" s="150"/>
      <c r="H175" s="150"/>
      <c r="I175" s="44" t="s">
        <v>99</v>
      </c>
    </row>
    <row r="176" spans="1:9" hidden="1" x14ac:dyDescent="0.2">
      <c r="A176" s="142"/>
      <c r="B176" s="150" t="s">
        <v>567</v>
      </c>
      <c r="C176" s="148">
        <f>22000+6507.55</f>
        <v>28507.55</v>
      </c>
      <c r="D176" s="56" t="s">
        <v>677</v>
      </c>
      <c r="E176" s="86">
        <v>20507.55</v>
      </c>
      <c r="F176" s="148"/>
      <c r="G176" s="249" t="s">
        <v>692</v>
      </c>
      <c r="H176" s="150" t="s">
        <v>634</v>
      </c>
      <c r="I176" s="44" t="s">
        <v>100</v>
      </c>
    </row>
    <row r="177" spans="1:9" hidden="1" x14ac:dyDescent="0.2">
      <c r="A177" s="142"/>
      <c r="B177" s="150" t="s">
        <v>10</v>
      </c>
      <c r="C177" s="148">
        <v>24000</v>
      </c>
      <c r="D177" s="56" t="s">
        <v>644</v>
      </c>
      <c r="E177" s="86">
        <v>12418</v>
      </c>
      <c r="F177" s="148">
        <f>24000-E177</f>
        <v>11582</v>
      </c>
      <c r="G177" s="150" t="s">
        <v>670</v>
      </c>
      <c r="H177" s="150" t="s">
        <v>633</v>
      </c>
      <c r="I177" s="44" t="s">
        <v>100</v>
      </c>
    </row>
    <row r="178" spans="1:9" hidden="1" x14ac:dyDescent="0.2">
      <c r="A178" s="142"/>
      <c r="B178" s="150"/>
      <c r="C178" s="148"/>
      <c r="D178" s="56"/>
      <c r="E178" s="86"/>
      <c r="F178" s="148">
        <v>-11582</v>
      </c>
      <c r="G178" s="150"/>
      <c r="H178" s="150"/>
      <c r="I178" s="44" t="s">
        <v>99</v>
      </c>
    </row>
    <row r="179" spans="1:9" hidden="1" x14ac:dyDescent="0.2">
      <c r="A179" s="142"/>
      <c r="B179" s="150" t="s">
        <v>10</v>
      </c>
      <c r="C179" s="148">
        <v>20000</v>
      </c>
      <c r="D179" s="173" t="s">
        <v>653</v>
      </c>
      <c r="E179" s="86">
        <v>14071</v>
      </c>
      <c r="F179" s="148"/>
      <c r="G179" s="150" t="s">
        <v>667</v>
      </c>
      <c r="H179" s="150" t="s">
        <v>634</v>
      </c>
      <c r="I179" s="149" t="s">
        <v>189</v>
      </c>
    </row>
    <row r="180" spans="1:9" hidden="1" x14ac:dyDescent="0.2">
      <c r="A180" s="142"/>
      <c r="B180" s="150"/>
      <c r="C180" s="148"/>
      <c r="D180" s="173"/>
      <c r="E180" s="86">
        <v>5929</v>
      </c>
      <c r="F180" s="148"/>
      <c r="G180" s="249" t="s">
        <v>712</v>
      </c>
      <c r="H180" s="150"/>
      <c r="I180" s="149" t="s">
        <v>100</v>
      </c>
    </row>
    <row r="181" spans="1:9" hidden="1" x14ac:dyDescent="0.2">
      <c r="A181" s="142"/>
      <c r="B181" s="26" t="s">
        <v>10</v>
      </c>
      <c r="C181" s="156">
        <v>29122.880000000001</v>
      </c>
      <c r="D181" s="56" t="s">
        <v>656</v>
      </c>
      <c r="E181" s="86">
        <v>22436.46</v>
      </c>
      <c r="F181" s="148"/>
      <c r="G181" s="150" t="s">
        <v>668</v>
      </c>
      <c r="H181" s="26" t="s">
        <v>655</v>
      </c>
      <c r="I181" s="44" t="s">
        <v>189</v>
      </c>
    </row>
    <row r="182" spans="1:9" hidden="1" x14ac:dyDescent="0.2">
      <c r="A182" s="142"/>
      <c r="B182" s="150"/>
      <c r="C182" s="156"/>
      <c r="D182" s="241"/>
      <c r="E182" s="86">
        <v>6686.42</v>
      </c>
      <c r="F182" s="205"/>
      <c r="G182" s="251" t="s">
        <v>711</v>
      </c>
      <c r="H182" s="242"/>
      <c r="I182" s="243" t="s">
        <v>100</v>
      </c>
    </row>
    <row r="183" spans="1:9" hidden="1" x14ac:dyDescent="0.2">
      <c r="A183" s="142"/>
      <c r="B183" s="237" t="s">
        <v>567</v>
      </c>
      <c r="C183" s="148">
        <v>10000</v>
      </c>
      <c r="D183" s="200" t="s">
        <v>678</v>
      </c>
      <c r="E183" s="86">
        <v>10000</v>
      </c>
      <c r="F183" s="205"/>
      <c r="G183" s="208" t="s">
        <v>690</v>
      </c>
      <c r="H183" s="236" t="s">
        <v>655</v>
      </c>
      <c r="I183" s="229"/>
    </row>
    <row r="184" spans="1:9" hidden="1" x14ac:dyDescent="0.2">
      <c r="A184" s="46"/>
      <c r="B184" s="245"/>
      <c r="C184" s="246"/>
      <c r="D184" s="246"/>
      <c r="E184" s="246"/>
      <c r="F184" s="246"/>
      <c r="G184" s="246"/>
      <c r="H184" s="246"/>
      <c r="I184" s="247"/>
    </row>
    <row r="185" spans="1:9" hidden="1" x14ac:dyDescent="0.2">
      <c r="A185" s="142"/>
      <c r="B185" s="182"/>
      <c r="C185" s="65"/>
      <c r="D185" s="123"/>
      <c r="E185" s="87"/>
      <c r="F185" s="65"/>
      <c r="G185" s="169"/>
      <c r="H185" s="182"/>
      <c r="I185" s="183"/>
    </row>
    <row r="186" spans="1:9" ht="13.5" hidden="1" thickBot="1" x14ac:dyDescent="0.25">
      <c r="A186" s="29" t="s">
        <v>43</v>
      </c>
      <c r="B186" s="30"/>
      <c r="C186" s="59">
        <f>SUM(C173:C185)</f>
        <v>161630.43</v>
      </c>
      <c r="D186" s="30"/>
      <c r="E186" s="59">
        <f>SUM(E173:E185)</f>
        <v>125540.87999999999</v>
      </c>
      <c r="F186" s="59">
        <f>SUM(F173:F185)</f>
        <v>0</v>
      </c>
      <c r="G186" s="30"/>
      <c r="H186" s="30"/>
      <c r="I186" s="31"/>
    </row>
    <row r="187" spans="1:9" ht="13.5" hidden="1" thickBot="1" x14ac:dyDescent="0.25"/>
    <row r="188" spans="1:9" ht="21" hidden="1" thickBot="1" x14ac:dyDescent="0.25">
      <c r="A188" s="489" t="s">
        <v>471</v>
      </c>
      <c r="B188" s="490"/>
      <c r="C188" s="490"/>
      <c r="D188" s="490"/>
      <c r="E188" s="490"/>
      <c r="F188" s="490"/>
      <c r="G188" s="490"/>
      <c r="H188" s="490"/>
      <c r="I188" s="491"/>
    </row>
    <row r="189" spans="1:9" ht="20.25" hidden="1" x14ac:dyDescent="0.3">
      <c r="A189" s="41"/>
      <c r="B189" s="13" t="s">
        <v>472</v>
      </c>
      <c r="C189" s="13" t="s">
        <v>473</v>
      </c>
      <c r="D189" s="13" t="s">
        <v>474</v>
      </c>
      <c r="E189" s="14"/>
      <c r="F189" s="14"/>
      <c r="G189" s="13"/>
      <c r="H189" s="13"/>
      <c r="I189" s="39"/>
    </row>
    <row r="190" spans="1:9" ht="20.25" hidden="1" x14ac:dyDescent="0.3">
      <c r="A190" s="41" t="s">
        <v>57</v>
      </c>
      <c r="B190" s="214">
        <v>101125</v>
      </c>
      <c r="C190" s="214">
        <v>72738</v>
      </c>
      <c r="D190" s="214">
        <v>143750</v>
      </c>
      <c r="E190" s="14"/>
      <c r="F190" s="14"/>
      <c r="G190" s="13"/>
      <c r="H190" s="13"/>
      <c r="I190" s="39"/>
    </row>
    <row r="191" spans="1:9" ht="20.25" hidden="1" x14ac:dyDescent="0.3">
      <c r="A191" s="41" t="s">
        <v>36</v>
      </c>
      <c r="B191" s="215">
        <f>IF(B224&gt;66125,66125,B224)</f>
        <v>0</v>
      </c>
      <c r="C191" s="215">
        <f>IF(C224&gt;66125,66125,C224)</f>
        <v>66125</v>
      </c>
      <c r="D191" s="215">
        <f>IF(D224&gt;143750,143750,D224)</f>
        <v>5536.8299999999872</v>
      </c>
      <c r="E191" s="14"/>
      <c r="F191" s="14"/>
      <c r="G191" s="13"/>
      <c r="H191" s="13"/>
      <c r="I191" s="39"/>
    </row>
    <row r="192" spans="1:9" ht="20.25" hidden="1" x14ac:dyDescent="0.3">
      <c r="A192" s="41" t="s">
        <v>475</v>
      </c>
      <c r="B192" s="92">
        <f>SUM(B190:B191)</f>
        <v>101125</v>
      </c>
      <c r="C192" s="92">
        <f>SUM(C190:C191)</f>
        <v>138863</v>
      </c>
      <c r="D192" s="92">
        <f>SUM(D190:D191)</f>
        <v>149286.82999999999</v>
      </c>
      <c r="E192" s="130" t="s">
        <v>107</v>
      </c>
      <c r="F192" s="14"/>
      <c r="G192" s="13"/>
      <c r="H192" s="13"/>
      <c r="I192" s="39"/>
    </row>
    <row r="193" spans="1:9" hidden="1" x14ac:dyDescent="0.2">
      <c r="A193" s="41" t="s">
        <v>47</v>
      </c>
      <c r="B193" s="92">
        <f>B225</f>
        <v>0</v>
      </c>
      <c r="C193" s="92">
        <f>IF(C225&gt;66125, 66125,C225)</f>
        <v>66125</v>
      </c>
      <c r="D193" s="92">
        <f>IF(D225&gt;143750, 143750, D225)</f>
        <v>5536.8299999999872</v>
      </c>
      <c r="E193" s="492"/>
      <c r="F193" s="492"/>
      <c r="G193" s="492"/>
      <c r="H193" s="13"/>
      <c r="I193" s="39"/>
    </row>
    <row r="194" spans="1:9" ht="20.25" hidden="1" x14ac:dyDescent="0.3">
      <c r="A194" s="41" t="s">
        <v>479</v>
      </c>
      <c r="B194" s="92">
        <f>B190+B193</f>
        <v>101125</v>
      </c>
      <c r="C194" s="92">
        <f>C190+C193</f>
        <v>138863</v>
      </c>
      <c r="D194" s="92">
        <f>D190+D193</f>
        <v>149286.82999999999</v>
      </c>
      <c r="E194" s="151" t="s">
        <v>108</v>
      </c>
      <c r="F194" s="14"/>
      <c r="G194" s="13"/>
      <c r="H194" s="13"/>
      <c r="I194" s="39"/>
    </row>
    <row r="195" spans="1:9" ht="20.25" hidden="1" x14ac:dyDescent="0.3">
      <c r="A195" s="41" t="s">
        <v>39</v>
      </c>
      <c r="B195" s="92">
        <f>B192-E200</f>
        <v>0</v>
      </c>
      <c r="C195" s="92">
        <f>C192-E203</f>
        <v>70177.55</v>
      </c>
      <c r="D195" s="92">
        <f>D192-E215</f>
        <v>1372.8799999999756</v>
      </c>
      <c r="E195" s="151" t="s">
        <v>109</v>
      </c>
      <c r="F195" s="14"/>
      <c r="G195" s="13"/>
      <c r="H195" s="13"/>
      <c r="I195" s="39"/>
    </row>
    <row r="196" spans="1:9" hidden="1" x14ac:dyDescent="0.2">
      <c r="A196" s="41" t="s">
        <v>132</v>
      </c>
      <c r="B196" s="93">
        <f>B194-E200-F200</f>
        <v>0</v>
      </c>
      <c r="C196" s="93">
        <f>C194-E203-F203</f>
        <v>70177.55</v>
      </c>
      <c r="D196" s="94">
        <f>D194-E215-F215</f>
        <v>1372.8799999999756</v>
      </c>
      <c r="E196" s="493" t="s">
        <v>110</v>
      </c>
      <c r="F196" s="503"/>
      <c r="G196" s="503"/>
      <c r="H196" s="503"/>
      <c r="I196" s="146"/>
    </row>
    <row r="197" spans="1:9" ht="21" hidden="1" thickBot="1" x14ac:dyDescent="0.35">
      <c r="A197" s="41"/>
      <c r="B197" s="13"/>
      <c r="C197" s="13"/>
      <c r="D197" s="13"/>
      <c r="E197" s="14"/>
      <c r="F197" s="14"/>
      <c r="G197" s="13"/>
      <c r="H197" s="13"/>
      <c r="I197" s="39"/>
    </row>
    <row r="198" spans="1:9" ht="51" hidden="1" x14ac:dyDescent="0.2">
      <c r="A198" s="19" t="s">
        <v>41</v>
      </c>
      <c r="B198" s="20" t="s">
        <v>34</v>
      </c>
      <c r="C198" s="20" t="s">
        <v>64</v>
      </c>
      <c r="D198" s="20" t="s">
        <v>63</v>
      </c>
      <c r="E198" s="20" t="s">
        <v>37</v>
      </c>
      <c r="F198" s="20" t="s">
        <v>48</v>
      </c>
      <c r="G198" s="20" t="s">
        <v>40</v>
      </c>
      <c r="H198" s="20" t="s">
        <v>38</v>
      </c>
      <c r="I198" s="21" t="s">
        <v>5</v>
      </c>
    </row>
    <row r="199" spans="1:9" hidden="1" x14ac:dyDescent="0.2">
      <c r="A199" s="22" t="s">
        <v>10</v>
      </c>
      <c r="B199" s="23" t="s">
        <v>10</v>
      </c>
      <c r="C199" s="60">
        <v>101125</v>
      </c>
      <c r="D199" s="53"/>
      <c r="E199" s="60">
        <v>101125</v>
      </c>
      <c r="F199" s="67">
        <f>IF(E199="",C199,0)</f>
        <v>0</v>
      </c>
      <c r="G199" s="23" t="s">
        <v>490</v>
      </c>
      <c r="H199" s="23" t="s">
        <v>491</v>
      </c>
      <c r="I199" s="24"/>
    </row>
    <row r="200" spans="1:9" hidden="1" x14ac:dyDescent="0.2">
      <c r="A200" s="25" t="s">
        <v>43</v>
      </c>
      <c r="B200" s="26"/>
      <c r="C200" s="64">
        <f>C199</f>
        <v>101125</v>
      </c>
      <c r="D200" s="35"/>
      <c r="E200" s="64">
        <f>E199</f>
        <v>101125</v>
      </c>
      <c r="F200" s="64">
        <f>F199</f>
        <v>0</v>
      </c>
      <c r="G200" s="35"/>
      <c r="H200" s="35"/>
      <c r="I200" s="36"/>
    </row>
    <row r="201" spans="1:9" hidden="1" x14ac:dyDescent="0.2">
      <c r="A201" s="38"/>
      <c r="B201" s="38"/>
      <c r="C201" s="68"/>
      <c r="D201" s="38"/>
      <c r="E201" s="68"/>
      <c r="F201" s="68"/>
      <c r="G201" s="38"/>
      <c r="H201" s="38"/>
      <c r="I201" s="38"/>
    </row>
    <row r="202" spans="1:9" hidden="1" x14ac:dyDescent="0.2">
      <c r="A202" s="37" t="s">
        <v>44</v>
      </c>
      <c r="B202" s="26" t="s">
        <v>567</v>
      </c>
      <c r="C202" s="65">
        <v>68685.45</v>
      </c>
      <c r="D202" s="58">
        <v>43374</v>
      </c>
      <c r="E202" s="65">
        <v>68685.45</v>
      </c>
      <c r="F202" s="87"/>
      <c r="G202" s="54" t="s">
        <v>582</v>
      </c>
      <c r="H202" s="26" t="s">
        <v>487</v>
      </c>
      <c r="I202" s="84"/>
    </row>
    <row r="203" spans="1:9" hidden="1" x14ac:dyDescent="0.2">
      <c r="A203" s="37" t="s">
        <v>43</v>
      </c>
      <c r="B203" s="35"/>
      <c r="C203" s="63">
        <f>C202</f>
        <v>68685.45</v>
      </c>
      <c r="D203" s="35"/>
      <c r="E203" s="63">
        <f>E202</f>
        <v>68685.45</v>
      </c>
      <c r="F203" s="63">
        <f>F202</f>
        <v>0</v>
      </c>
      <c r="G203" s="35"/>
      <c r="H203" s="35"/>
      <c r="I203" s="36"/>
    </row>
    <row r="204" spans="1:9" hidden="1" x14ac:dyDescent="0.2">
      <c r="A204" s="38"/>
      <c r="B204" s="38"/>
      <c r="C204" s="68"/>
      <c r="D204" s="38"/>
      <c r="E204" s="68"/>
      <c r="F204" s="68"/>
      <c r="G204" s="158"/>
      <c r="H204" s="158"/>
      <c r="I204" s="38"/>
    </row>
    <row r="205" spans="1:9" hidden="1" x14ac:dyDescent="0.2">
      <c r="A205" s="37" t="s">
        <v>42</v>
      </c>
      <c r="B205" s="28"/>
      <c r="C205" s="65"/>
      <c r="D205" s="102"/>
      <c r="E205" s="65"/>
      <c r="F205" s="148"/>
      <c r="G205" s="28"/>
      <c r="H205" s="28"/>
      <c r="I205" s="157" t="s">
        <v>584</v>
      </c>
    </row>
    <row r="206" spans="1:9" hidden="1" x14ac:dyDescent="0.2">
      <c r="A206" s="142"/>
      <c r="B206" s="150" t="s">
        <v>11</v>
      </c>
      <c r="C206" s="148">
        <v>20000</v>
      </c>
      <c r="D206" s="56" t="s">
        <v>510</v>
      </c>
      <c r="E206" s="86">
        <v>20000</v>
      </c>
      <c r="F206" s="148">
        <v>0</v>
      </c>
      <c r="G206" s="150" t="s">
        <v>546</v>
      </c>
      <c r="H206" s="150" t="s">
        <v>508</v>
      </c>
      <c r="I206" s="44"/>
    </row>
    <row r="207" spans="1:9" hidden="1" x14ac:dyDescent="0.2">
      <c r="A207" s="142"/>
      <c r="B207" s="150" t="s">
        <v>552</v>
      </c>
      <c r="C207" s="148">
        <v>50000</v>
      </c>
      <c r="D207" s="56" t="s">
        <v>514</v>
      </c>
      <c r="E207" s="86">
        <v>50000</v>
      </c>
      <c r="F207" s="148">
        <v>0</v>
      </c>
      <c r="G207" s="150" t="s">
        <v>554</v>
      </c>
      <c r="H207" s="150" t="s">
        <v>511</v>
      </c>
      <c r="I207" s="44"/>
    </row>
    <row r="208" spans="1:9" hidden="1" x14ac:dyDescent="0.2">
      <c r="A208" s="142"/>
      <c r="B208" s="150" t="s">
        <v>10</v>
      </c>
      <c r="C208" s="148">
        <v>20000</v>
      </c>
      <c r="D208" s="56" t="s">
        <v>520</v>
      </c>
      <c r="E208" s="86">
        <v>15237</v>
      </c>
      <c r="F208" s="148">
        <f>C208-E208</f>
        <v>4763</v>
      </c>
      <c r="G208" s="193" t="s">
        <v>551</v>
      </c>
      <c r="H208" s="150" t="s">
        <v>508</v>
      </c>
      <c r="I208" s="194" t="s">
        <v>100</v>
      </c>
    </row>
    <row r="209" spans="1:10" hidden="1" x14ac:dyDescent="0.2">
      <c r="A209" s="142"/>
      <c r="B209" s="150"/>
      <c r="C209" s="148"/>
      <c r="D209" s="56"/>
      <c r="E209" s="86"/>
      <c r="F209" s="148">
        <v>-4763</v>
      </c>
      <c r="G209" s="150"/>
      <c r="H209" s="150" t="s">
        <v>508</v>
      </c>
      <c r="I209" s="44" t="s">
        <v>67</v>
      </c>
    </row>
    <row r="210" spans="1:10" hidden="1" x14ac:dyDescent="0.2">
      <c r="A210" s="142"/>
      <c r="B210" s="150" t="s">
        <v>10</v>
      </c>
      <c r="C210" s="148">
        <v>2000</v>
      </c>
      <c r="D210" s="173" t="s">
        <v>523</v>
      </c>
      <c r="E210" s="86">
        <v>2000</v>
      </c>
      <c r="F210" s="148">
        <v>0</v>
      </c>
      <c r="G210" s="150" t="s">
        <v>553</v>
      </c>
      <c r="H210" s="150" t="s">
        <v>518</v>
      </c>
      <c r="I210" s="149"/>
      <c r="J210" s="42"/>
    </row>
    <row r="211" spans="1:10" hidden="1" x14ac:dyDescent="0.2">
      <c r="A211" s="142"/>
      <c r="B211" s="150" t="s">
        <v>10</v>
      </c>
      <c r="C211" s="148">
        <v>51740</v>
      </c>
      <c r="D211" s="56" t="s">
        <v>522</v>
      </c>
      <c r="E211" s="86">
        <v>47425.95</v>
      </c>
      <c r="F211" s="148"/>
      <c r="G211" s="150" t="s">
        <v>557</v>
      </c>
      <c r="H211" s="150" t="s">
        <v>511</v>
      </c>
      <c r="I211" s="44" t="s">
        <v>188</v>
      </c>
      <c r="J211" s="42"/>
    </row>
    <row r="212" spans="1:10" hidden="1" x14ac:dyDescent="0.2">
      <c r="A212" s="142"/>
      <c r="B212" s="178"/>
      <c r="C212" s="148">
        <v>9593</v>
      </c>
      <c r="D212" s="200" t="s">
        <v>581</v>
      </c>
      <c r="E212" s="86"/>
      <c r="F212" s="205"/>
      <c r="G212" s="208"/>
      <c r="H212" s="207" t="s">
        <v>511</v>
      </c>
      <c r="I212" s="229" t="s">
        <v>579</v>
      </c>
    </row>
    <row r="213" spans="1:10" hidden="1" x14ac:dyDescent="0.2">
      <c r="A213" s="46"/>
      <c r="B213" s="208"/>
      <c r="C213" s="203"/>
      <c r="D213" s="209"/>
      <c r="E213" s="204">
        <v>13251</v>
      </c>
      <c r="F213" s="148">
        <v>656.05</v>
      </c>
      <c r="G213" s="172" t="s">
        <v>596</v>
      </c>
      <c r="H213" s="182" t="s">
        <v>511</v>
      </c>
      <c r="I213" s="201" t="s">
        <v>100</v>
      </c>
    </row>
    <row r="214" spans="1:10" hidden="1" x14ac:dyDescent="0.2">
      <c r="A214" s="142"/>
      <c r="B214" s="202"/>
      <c r="C214" s="148"/>
      <c r="D214" s="199"/>
      <c r="E214" s="86"/>
      <c r="F214" s="148">
        <v>-656.05</v>
      </c>
      <c r="G214" s="186"/>
      <c r="H214" s="179" t="s">
        <v>511</v>
      </c>
      <c r="I214" s="185" t="s">
        <v>67</v>
      </c>
    </row>
    <row r="215" spans="1:10" ht="13.5" hidden="1" thickBot="1" x14ac:dyDescent="0.25">
      <c r="A215" s="29" t="s">
        <v>43</v>
      </c>
      <c r="B215" s="30"/>
      <c r="C215" s="59">
        <f>SUM(C205:C214)</f>
        <v>153333</v>
      </c>
      <c r="D215" s="30"/>
      <c r="E215" s="59">
        <f>SUM(E205:E214)</f>
        <v>147913.95000000001</v>
      </c>
      <c r="F215" s="59">
        <f>SUM(F205:F214)</f>
        <v>0</v>
      </c>
      <c r="G215" s="30"/>
      <c r="H215" s="30"/>
      <c r="I215" s="31"/>
    </row>
    <row r="216" spans="1:10" ht="13.5" hidden="1" thickBot="1" x14ac:dyDescent="0.25"/>
    <row r="217" spans="1:10" ht="21" hidden="1" thickBot="1" x14ac:dyDescent="0.25">
      <c r="A217" s="489" t="s">
        <v>321</v>
      </c>
      <c r="B217" s="490"/>
      <c r="C217" s="490"/>
      <c r="D217" s="490"/>
      <c r="E217" s="490"/>
      <c r="F217" s="490"/>
      <c r="G217" s="490"/>
      <c r="H217" s="490"/>
      <c r="I217" s="491"/>
    </row>
    <row r="218" spans="1:10" ht="20.25" hidden="1" x14ac:dyDescent="0.3">
      <c r="A218" s="41"/>
      <c r="B218" s="13" t="s">
        <v>322</v>
      </c>
      <c r="C218" s="13" t="s">
        <v>323</v>
      </c>
      <c r="D218" s="13" t="s">
        <v>324</v>
      </c>
      <c r="E218" s="14"/>
      <c r="F218" s="14"/>
      <c r="G218" s="13"/>
      <c r="H218" s="13"/>
      <c r="I218" s="39"/>
    </row>
    <row r="219" spans="1:10" ht="20.25" hidden="1" x14ac:dyDescent="0.3">
      <c r="A219" s="41" t="s">
        <v>57</v>
      </c>
      <c r="B219" s="92">
        <v>66125</v>
      </c>
      <c r="C219" s="92">
        <v>66125</v>
      </c>
      <c r="D219" s="92">
        <v>143750</v>
      </c>
      <c r="E219" s="14"/>
      <c r="F219" s="14"/>
      <c r="G219" s="13"/>
      <c r="H219" s="13"/>
      <c r="I219" s="39"/>
    </row>
    <row r="220" spans="1:10" ht="20.25" hidden="1" x14ac:dyDescent="0.3">
      <c r="A220" s="41" t="s">
        <v>36</v>
      </c>
      <c r="B220" s="92">
        <f>IF(B255&gt;66125,66125,B255)</f>
        <v>0</v>
      </c>
      <c r="C220" s="92">
        <f>IF(C255&gt;66125,66125,C255)</f>
        <v>66125</v>
      </c>
      <c r="D220" s="92">
        <f>IF(D255&gt;143750,143750,D255)</f>
        <v>14813.179999999993</v>
      </c>
      <c r="E220" s="14"/>
      <c r="F220" s="14"/>
      <c r="G220" s="13"/>
      <c r="H220" s="13"/>
      <c r="I220" s="39"/>
    </row>
    <row r="221" spans="1:10" ht="20.25" hidden="1" x14ac:dyDescent="0.3">
      <c r="A221" s="41" t="s">
        <v>325</v>
      </c>
      <c r="B221" s="92">
        <f>SUM(B219:B220)</f>
        <v>66125</v>
      </c>
      <c r="C221" s="92">
        <f>SUM(C219:C220)</f>
        <v>132250</v>
      </c>
      <c r="D221" s="92">
        <f>SUM(D219:D220)</f>
        <v>158563.18</v>
      </c>
      <c r="E221" s="130" t="s">
        <v>107</v>
      </c>
      <c r="F221" s="14"/>
      <c r="G221" s="13"/>
      <c r="H221" s="13"/>
      <c r="I221" s="39"/>
    </row>
    <row r="222" spans="1:10" hidden="1" x14ac:dyDescent="0.2">
      <c r="A222" s="41" t="s">
        <v>47</v>
      </c>
      <c r="B222" s="92">
        <f>B256</f>
        <v>0</v>
      </c>
      <c r="C222" s="92">
        <f>IF(C256&gt;66125, 66125,C256)</f>
        <v>66125</v>
      </c>
      <c r="D222" s="92">
        <f>IF(D256&gt;143750, 143750, D256)</f>
        <v>14813.179999999997</v>
      </c>
      <c r="E222" s="492"/>
      <c r="F222" s="492"/>
      <c r="G222" s="492"/>
      <c r="H222" s="13"/>
      <c r="I222" s="39"/>
    </row>
    <row r="223" spans="1:10" ht="20.25" hidden="1" x14ac:dyDescent="0.3">
      <c r="A223" s="41" t="s">
        <v>326</v>
      </c>
      <c r="B223" s="92">
        <f>B219+B222</f>
        <v>66125</v>
      </c>
      <c r="C223" s="92">
        <f>C219+C222</f>
        <v>132250</v>
      </c>
      <c r="D223" s="92">
        <f>D219+D222</f>
        <v>158563.18</v>
      </c>
      <c r="E223" s="151" t="s">
        <v>108</v>
      </c>
      <c r="F223" s="14"/>
      <c r="G223" s="13"/>
      <c r="H223" s="13"/>
      <c r="I223" s="39"/>
    </row>
    <row r="224" spans="1:10" ht="20.25" hidden="1" x14ac:dyDescent="0.3">
      <c r="A224" s="41" t="s">
        <v>39</v>
      </c>
      <c r="B224" s="92">
        <f>B221-E229</f>
        <v>0</v>
      </c>
      <c r="C224" s="92">
        <f>C221-E232</f>
        <v>75823.88</v>
      </c>
      <c r="D224" s="92">
        <f>D221-E246</f>
        <v>5536.8299999999872</v>
      </c>
      <c r="E224" s="151" t="s">
        <v>109</v>
      </c>
      <c r="F224" s="14"/>
      <c r="G224" s="13"/>
      <c r="H224" s="13"/>
      <c r="I224" s="39"/>
    </row>
    <row r="225" spans="1:9" hidden="1" x14ac:dyDescent="0.2">
      <c r="A225" s="41" t="s">
        <v>132</v>
      </c>
      <c r="B225" s="93">
        <f>B223-E229-F229</f>
        <v>0</v>
      </c>
      <c r="C225" s="93">
        <f>C223-E232-F232</f>
        <v>75823.88</v>
      </c>
      <c r="D225" s="94">
        <f>D223-E246-F246</f>
        <v>5536.8299999999872</v>
      </c>
      <c r="E225" s="493" t="s">
        <v>110</v>
      </c>
      <c r="F225" s="503"/>
      <c r="G225" s="503"/>
      <c r="H225" s="503"/>
      <c r="I225" s="146"/>
    </row>
    <row r="226" spans="1:9" ht="21" hidden="1" thickBot="1" x14ac:dyDescent="0.35">
      <c r="A226" s="41"/>
      <c r="B226" s="13"/>
      <c r="C226" s="13"/>
      <c r="D226" s="13"/>
      <c r="E226" s="14"/>
      <c r="F226" s="14"/>
      <c r="G226" s="13"/>
      <c r="H226" s="13"/>
      <c r="I226" s="39"/>
    </row>
    <row r="227" spans="1:9" ht="51" hidden="1" x14ac:dyDescent="0.2">
      <c r="A227" s="19" t="s">
        <v>41</v>
      </c>
      <c r="B227" s="20" t="s">
        <v>34</v>
      </c>
      <c r="C227" s="20" t="s">
        <v>64</v>
      </c>
      <c r="D227" s="20" t="s">
        <v>63</v>
      </c>
      <c r="E227" s="20" t="s">
        <v>37</v>
      </c>
      <c r="F227" s="20" t="s">
        <v>48</v>
      </c>
      <c r="G227" s="20" t="s">
        <v>40</v>
      </c>
      <c r="H227" s="20" t="s">
        <v>38</v>
      </c>
      <c r="I227" s="21" t="s">
        <v>5</v>
      </c>
    </row>
    <row r="228" spans="1:9" hidden="1" x14ac:dyDescent="0.2">
      <c r="A228" s="22" t="s">
        <v>10</v>
      </c>
      <c r="B228" s="23" t="s">
        <v>10</v>
      </c>
      <c r="C228" s="60">
        <v>66125</v>
      </c>
      <c r="D228" s="53">
        <v>42738</v>
      </c>
      <c r="E228" s="60">
        <v>66125</v>
      </c>
      <c r="F228" s="67">
        <f>IF(E228="",C228,0)</f>
        <v>0</v>
      </c>
      <c r="G228" s="23" t="s">
        <v>354</v>
      </c>
      <c r="H228" s="23" t="s">
        <v>355</v>
      </c>
      <c r="I228" s="24"/>
    </row>
    <row r="229" spans="1:9" hidden="1" x14ac:dyDescent="0.2">
      <c r="A229" s="25" t="s">
        <v>43</v>
      </c>
      <c r="B229" s="26"/>
      <c r="C229" s="64">
        <f>C228</f>
        <v>66125</v>
      </c>
      <c r="D229" s="35"/>
      <c r="E229" s="64">
        <f>E228</f>
        <v>66125</v>
      </c>
      <c r="F229" s="64">
        <f>F228</f>
        <v>0</v>
      </c>
      <c r="G229" s="35"/>
      <c r="H229" s="35"/>
      <c r="I229" s="36"/>
    </row>
    <row r="230" spans="1:9" hidden="1" x14ac:dyDescent="0.2">
      <c r="A230" s="38"/>
      <c r="B230" s="38"/>
      <c r="C230" s="68"/>
      <c r="D230" s="38"/>
      <c r="E230" s="68"/>
      <c r="F230" s="68"/>
      <c r="G230" s="38"/>
      <c r="H230" s="38"/>
      <c r="I230" s="38"/>
    </row>
    <row r="231" spans="1:9" hidden="1" x14ac:dyDescent="0.2">
      <c r="A231" s="37" t="s">
        <v>44</v>
      </c>
      <c r="B231" s="35" t="s">
        <v>11</v>
      </c>
      <c r="C231" s="65">
        <v>56426.12</v>
      </c>
      <c r="D231" s="58">
        <v>43185</v>
      </c>
      <c r="E231" s="65">
        <v>56426.12</v>
      </c>
      <c r="F231" s="87"/>
      <c r="G231" s="54" t="s">
        <v>651</v>
      </c>
      <c r="H231" s="26" t="s">
        <v>529</v>
      </c>
      <c r="I231" s="84"/>
    </row>
    <row r="232" spans="1:9" hidden="1" x14ac:dyDescent="0.2">
      <c r="A232" s="37" t="s">
        <v>43</v>
      </c>
      <c r="B232" s="35"/>
      <c r="C232" s="63">
        <f>C231</f>
        <v>56426.12</v>
      </c>
      <c r="D232" s="35"/>
      <c r="E232" s="63">
        <f>E231</f>
        <v>56426.12</v>
      </c>
      <c r="F232" s="63">
        <f>F231</f>
        <v>0</v>
      </c>
      <c r="G232" s="35"/>
      <c r="H232" s="35"/>
      <c r="I232" s="36"/>
    </row>
    <row r="233" spans="1:9" hidden="1" x14ac:dyDescent="0.2">
      <c r="A233" s="38"/>
      <c r="B233" s="38"/>
      <c r="C233" s="68"/>
      <c r="D233" s="38"/>
      <c r="E233" s="68"/>
      <c r="F233" s="68"/>
      <c r="G233" s="158"/>
      <c r="H233" s="158"/>
      <c r="I233" s="38"/>
    </row>
    <row r="234" spans="1:9" hidden="1" x14ac:dyDescent="0.2">
      <c r="A234" s="37" t="s">
        <v>42</v>
      </c>
      <c r="B234" s="28"/>
      <c r="C234" s="65"/>
      <c r="D234" s="102"/>
      <c r="E234" s="65"/>
      <c r="F234" s="148"/>
      <c r="G234" s="28"/>
      <c r="H234" s="28"/>
      <c r="I234" s="157"/>
    </row>
    <row r="235" spans="1:9" hidden="1" x14ac:dyDescent="0.2">
      <c r="A235" s="142"/>
      <c r="B235" s="150" t="s">
        <v>11</v>
      </c>
      <c r="C235" s="148">
        <v>21000</v>
      </c>
      <c r="D235" s="56" t="s">
        <v>337</v>
      </c>
      <c r="E235" s="86">
        <v>21000</v>
      </c>
      <c r="F235" s="148">
        <v>0</v>
      </c>
      <c r="G235" s="150" t="s">
        <v>435</v>
      </c>
      <c r="H235" s="150" t="s">
        <v>319</v>
      </c>
      <c r="I235" s="44" t="s">
        <v>541</v>
      </c>
    </row>
    <row r="236" spans="1:9" hidden="1" x14ac:dyDescent="0.2">
      <c r="A236" s="142"/>
      <c r="B236" s="150" t="s">
        <v>10</v>
      </c>
      <c r="C236" s="148">
        <v>25000</v>
      </c>
      <c r="D236" s="56" t="s">
        <v>345</v>
      </c>
      <c r="E236" s="86">
        <v>25000</v>
      </c>
      <c r="F236" s="148"/>
      <c r="G236" s="150" t="s">
        <v>410</v>
      </c>
      <c r="H236" s="150" t="s">
        <v>319</v>
      </c>
      <c r="I236" s="44"/>
    </row>
    <row r="237" spans="1:9" hidden="1" x14ac:dyDescent="0.2">
      <c r="A237" s="142"/>
      <c r="B237" s="150" t="s">
        <v>10</v>
      </c>
      <c r="C237" s="148">
        <v>15000</v>
      </c>
      <c r="D237" s="56" t="s">
        <v>368</v>
      </c>
      <c r="E237" s="86">
        <v>15000</v>
      </c>
      <c r="F237" s="148"/>
      <c r="G237" s="193" t="s">
        <v>410</v>
      </c>
      <c r="H237" s="150" t="s">
        <v>319</v>
      </c>
      <c r="I237" s="194" t="s">
        <v>363</v>
      </c>
    </row>
    <row r="238" spans="1:9" hidden="1" x14ac:dyDescent="0.2">
      <c r="A238" s="142"/>
      <c r="B238" s="150" t="s">
        <v>263</v>
      </c>
      <c r="C238" s="148">
        <v>1097</v>
      </c>
      <c r="D238" s="173" t="s">
        <v>350</v>
      </c>
      <c r="E238" s="86">
        <v>1097</v>
      </c>
      <c r="F238" s="148"/>
      <c r="G238" s="150" t="s">
        <v>353</v>
      </c>
      <c r="H238" s="150" t="s">
        <v>351</v>
      </c>
      <c r="I238" s="149"/>
    </row>
    <row r="239" spans="1:9" hidden="1" x14ac:dyDescent="0.2">
      <c r="A239" s="142"/>
      <c r="B239" s="150" t="s">
        <v>10</v>
      </c>
      <c r="C239" s="148">
        <v>15000</v>
      </c>
      <c r="D239" s="56" t="s">
        <v>370</v>
      </c>
      <c r="E239" s="86">
        <v>15000</v>
      </c>
      <c r="F239" s="148"/>
      <c r="G239" s="150" t="s">
        <v>415</v>
      </c>
      <c r="H239" s="150" t="s">
        <v>308</v>
      </c>
      <c r="I239" s="44" t="s">
        <v>361</v>
      </c>
    </row>
    <row r="240" spans="1:9" hidden="1" x14ac:dyDescent="0.2">
      <c r="A240" s="142"/>
      <c r="B240" s="169" t="s">
        <v>10</v>
      </c>
      <c r="C240" s="148">
        <v>6000</v>
      </c>
      <c r="D240" s="123" t="s">
        <v>371</v>
      </c>
      <c r="E240" s="86"/>
      <c r="F240" s="205">
        <v>0</v>
      </c>
      <c r="G240" s="210"/>
      <c r="H240" s="206" t="s">
        <v>365</v>
      </c>
      <c r="I240" s="211" t="s">
        <v>441</v>
      </c>
    </row>
    <row r="241" spans="1:9" hidden="1" x14ac:dyDescent="0.2">
      <c r="A241" s="142"/>
      <c r="B241" s="178" t="s">
        <v>10</v>
      </c>
      <c r="C241" s="148">
        <v>6000</v>
      </c>
      <c r="D241" s="200" t="s">
        <v>448</v>
      </c>
      <c r="E241" s="86">
        <v>6000</v>
      </c>
      <c r="F241" s="205"/>
      <c r="G241" s="208" t="s">
        <v>462</v>
      </c>
      <c r="H241" s="207" t="s">
        <v>382</v>
      </c>
      <c r="I241" s="211"/>
    </row>
    <row r="242" spans="1:9" hidden="1" x14ac:dyDescent="0.2">
      <c r="A242" s="46"/>
      <c r="B242" s="208" t="s">
        <v>10</v>
      </c>
      <c r="C242" s="203">
        <v>14000</v>
      </c>
      <c r="D242" s="209" t="s">
        <v>372</v>
      </c>
      <c r="E242" s="204">
        <v>14000</v>
      </c>
      <c r="F242" s="148"/>
      <c r="G242" s="172" t="s">
        <v>426</v>
      </c>
      <c r="H242" s="182" t="s">
        <v>366</v>
      </c>
      <c r="I242" s="201"/>
    </row>
    <row r="243" spans="1:9" hidden="1" x14ac:dyDescent="0.2">
      <c r="A243" s="142"/>
      <c r="B243" s="202" t="s">
        <v>11</v>
      </c>
      <c r="C243" s="148">
        <v>46000</v>
      </c>
      <c r="D243" s="199" t="s">
        <v>385</v>
      </c>
      <c r="E243" s="86">
        <v>46000</v>
      </c>
      <c r="F243" s="148"/>
      <c r="G243" s="186" t="s">
        <v>542</v>
      </c>
      <c r="H243" s="179" t="s">
        <v>382</v>
      </c>
      <c r="I243" s="185"/>
    </row>
    <row r="244" spans="1:9" ht="38.25" hidden="1" x14ac:dyDescent="0.2">
      <c r="A244" s="142"/>
      <c r="B244" s="179" t="s">
        <v>10</v>
      </c>
      <c r="C244" s="148">
        <v>15000</v>
      </c>
      <c r="D244" s="141" t="s">
        <v>408</v>
      </c>
      <c r="E244" s="86">
        <v>9929.35</v>
      </c>
      <c r="F244" s="148"/>
      <c r="G244" s="186" t="s">
        <v>434</v>
      </c>
      <c r="H244" s="179" t="s">
        <v>389</v>
      </c>
      <c r="I244" s="195" t="s">
        <v>405</v>
      </c>
    </row>
    <row r="245" spans="1:9" hidden="1" x14ac:dyDescent="0.2">
      <c r="A245" s="142"/>
      <c r="B245" s="179" t="s">
        <v>263</v>
      </c>
      <c r="C245" s="148">
        <v>14414</v>
      </c>
      <c r="D245" s="141" t="s">
        <v>411</v>
      </c>
      <c r="E245" s="196">
        <v>0</v>
      </c>
      <c r="F245" s="148">
        <v>0</v>
      </c>
      <c r="G245" s="179" t="s">
        <v>411</v>
      </c>
      <c r="H245" s="179" t="s">
        <v>382</v>
      </c>
      <c r="I245" s="195" t="s">
        <v>412</v>
      </c>
    </row>
    <row r="246" spans="1:9" ht="13.5" hidden="1" thickBot="1" x14ac:dyDescent="0.25">
      <c r="A246" s="29" t="s">
        <v>43</v>
      </c>
      <c r="B246" s="30"/>
      <c r="C246" s="59">
        <f>SUM(C234:C245)</f>
        <v>178511</v>
      </c>
      <c r="D246" s="30"/>
      <c r="E246" s="59">
        <f>SUM(E234:E245)</f>
        <v>153026.35</v>
      </c>
      <c r="F246" s="59">
        <f>SUM(F234:F245)</f>
        <v>0</v>
      </c>
      <c r="G246" s="30"/>
      <c r="H246" s="30"/>
      <c r="I246" s="31"/>
    </row>
    <row r="247" spans="1:9" ht="13.5" hidden="1" thickBot="1" x14ac:dyDescent="0.25"/>
    <row r="248" spans="1:9" ht="21" hidden="1" thickBot="1" x14ac:dyDescent="0.25">
      <c r="A248" s="489" t="s">
        <v>207</v>
      </c>
      <c r="B248" s="490"/>
      <c r="C248" s="490"/>
      <c r="D248" s="490"/>
      <c r="E248" s="490"/>
      <c r="F248" s="490"/>
      <c r="G248" s="490"/>
      <c r="H248" s="490"/>
      <c r="I248" s="491"/>
    </row>
    <row r="249" spans="1:9" ht="20.25" hidden="1" x14ac:dyDescent="0.3">
      <c r="A249" s="41"/>
      <c r="B249" s="13" t="s">
        <v>208</v>
      </c>
      <c r="C249" s="13" t="s">
        <v>209</v>
      </c>
      <c r="D249" s="13" t="s">
        <v>210</v>
      </c>
      <c r="E249" s="14"/>
      <c r="F249" s="14"/>
      <c r="G249" s="13"/>
      <c r="H249" s="13"/>
      <c r="I249" s="39"/>
    </row>
    <row r="250" spans="1:9" ht="20.25" hidden="1" x14ac:dyDescent="0.3">
      <c r="A250" s="41" t="s">
        <v>57</v>
      </c>
      <c r="B250" s="92">
        <v>66125</v>
      </c>
      <c r="C250" s="92">
        <v>66125</v>
      </c>
      <c r="D250" s="92">
        <v>143750</v>
      </c>
      <c r="E250" s="14"/>
      <c r="F250" s="14"/>
      <c r="G250" s="13"/>
      <c r="H250" s="13"/>
      <c r="I250" s="39"/>
    </row>
    <row r="251" spans="1:9" ht="20.25" hidden="1" x14ac:dyDescent="0.3">
      <c r="A251" s="41" t="s">
        <v>36</v>
      </c>
      <c r="B251" s="92">
        <f>IF(B295&gt;66125,66125,B295)</f>
        <v>0</v>
      </c>
      <c r="C251" s="92">
        <f>IF(C295&gt;66125,66125,C295)</f>
        <v>66125</v>
      </c>
      <c r="D251" s="92">
        <f>IF(D295&gt;143750,143750,D295)</f>
        <v>9771.5499999999884</v>
      </c>
      <c r="E251" s="14"/>
      <c r="F251" s="14"/>
      <c r="G251" s="13"/>
      <c r="H251" s="13"/>
      <c r="I251" s="39"/>
    </row>
    <row r="252" spans="1:9" ht="20.25" hidden="1" x14ac:dyDescent="0.3">
      <c r="A252" s="41" t="s">
        <v>211</v>
      </c>
      <c r="B252" s="92">
        <f>SUM(B250:B251)</f>
        <v>66125</v>
      </c>
      <c r="C252" s="92">
        <f>SUM(C250:C251)</f>
        <v>132250</v>
      </c>
      <c r="D252" s="92">
        <f>SUM(D250:D251)</f>
        <v>153521.54999999999</v>
      </c>
      <c r="E252" s="130" t="s">
        <v>107</v>
      </c>
      <c r="F252" s="14"/>
      <c r="G252" s="13"/>
      <c r="H252" s="13"/>
      <c r="I252" s="39"/>
    </row>
    <row r="253" spans="1:9" hidden="1" x14ac:dyDescent="0.2">
      <c r="A253" s="41" t="s">
        <v>47</v>
      </c>
      <c r="B253" s="92">
        <f>B296</f>
        <v>0</v>
      </c>
      <c r="C253" s="92">
        <f>IF(C296&gt;66125, 66125,C296)</f>
        <v>66125</v>
      </c>
      <c r="D253" s="92">
        <f>IF(D296&gt;143750, 143750, D296)</f>
        <v>9771.5499999999884</v>
      </c>
      <c r="E253" s="492"/>
      <c r="F253" s="492"/>
      <c r="G253" s="492"/>
      <c r="H253" s="13"/>
      <c r="I253" s="39"/>
    </row>
    <row r="254" spans="1:9" ht="20.25" hidden="1" x14ac:dyDescent="0.3">
      <c r="A254" s="41" t="s">
        <v>212</v>
      </c>
      <c r="B254" s="92">
        <f>B250+B253</f>
        <v>66125</v>
      </c>
      <c r="C254" s="92">
        <f>C250+C253</f>
        <v>132250</v>
      </c>
      <c r="D254" s="92">
        <f>D250+D253</f>
        <v>153521.54999999999</v>
      </c>
      <c r="E254" s="151" t="s">
        <v>108</v>
      </c>
      <c r="F254" s="14"/>
      <c r="G254" s="13"/>
      <c r="H254" s="13"/>
      <c r="I254" s="39"/>
    </row>
    <row r="255" spans="1:9" ht="20.25" hidden="1" x14ac:dyDescent="0.3">
      <c r="A255" s="41" t="s">
        <v>39</v>
      </c>
      <c r="B255" s="92">
        <f>B252-E260</f>
        <v>0</v>
      </c>
      <c r="C255" s="92">
        <f>C252-E263</f>
        <v>94807.65</v>
      </c>
      <c r="D255" s="92">
        <f>D252-E286</f>
        <v>14813.179999999993</v>
      </c>
      <c r="E255" s="151" t="s">
        <v>109</v>
      </c>
      <c r="F255" s="14"/>
      <c r="G255" s="13"/>
      <c r="H255" s="13"/>
      <c r="I255" s="39"/>
    </row>
    <row r="256" spans="1:9" hidden="1" x14ac:dyDescent="0.2">
      <c r="A256" s="41" t="s">
        <v>132</v>
      </c>
      <c r="B256" s="93">
        <f>B254-E260-F260</f>
        <v>0</v>
      </c>
      <c r="C256" s="93">
        <f>C254-E263-F263</f>
        <v>94807.65</v>
      </c>
      <c r="D256" s="94">
        <f>D254-E286-F286</f>
        <v>14813.179999999997</v>
      </c>
      <c r="E256" s="493" t="s">
        <v>110</v>
      </c>
      <c r="F256" s="503"/>
      <c r="G256" s="503"/>
      <c r="H256" s="503"/>
      <c r="I256" s="146"/>
    </row>
    <row r="257" spans="1:9" ht="21" hidden="1" thickBot="1" x14ac:dyDescent="0.35">
      <c r="A257" s="41"/>
      <c r="B257" s="13"/>
      <c r="C257" s="13"/>
      <c r="D257" s="13"/>
      <c r="E257" s="14"/>
      <c r="F257" s="14"/>
      <c r="G257" s="13"/>
      <c r="H257" s="13"/>
      <c r="I257" s="39"/>
    </row>
    <row r="258" spans="1:9" ht="51" hidden="1" x14ac:dyDescent="0.2">
      <c r="A258" s="19" t="s">
        <v>41</v>
      </c>
      <c r="B258" s="20" t="s">
        <v>34</v>
      </c>
      <c r="C258" s="20" t="s">
        <v>64</v>
      </c>
      <c r="D258" s="20" t="s">
        <v>63</v>
      </c>
      <c r="E258" s="20" t="s">
        <v>37</v>
      </c>
      <c r="F258" s="20" t="s">
        <v>48</v>
      </c>
      <c r="G258" s="20" t="s">
        <v>40</v>
      </c>
      <c r="H258" s="20" t="s">
        <v>38</v>
      </c>
      <c r="I258" s="21" t="s">
        <v>5</v>
      </c>
    </row>
    <row r="259" spans="1:9" hidden="1" x14ac:dyDescent="0.2">
      <c r="A259" s="22" t="s">
        <v>10</v>
      </c>
      <c r="B259" s="23" t="s">
        <v>10</v>
      </c>
      <c r="C259" s="60">
        <v>66125</v>
      </c>
      <c r="D259" s="53">
        <v>42373</v>
      </c>
      <c r="E259" s="60">
        <v>66125</v>
      </c>
      <c r="F259" s="67">
        <f>IF(E259="",C259,0)</f>
        <v>0</v>
      </c>
      <c r="G259" s="23" t="s">
        <v>227</v>
      </c>
      <c r="H259" s="23" t="s">
        <v>228</v>
      </c>
      <c r="I259" s="24"/>
    </row>
    <row r="260" spans="1:9" hidden="1" x14ac:dyDescent="0.2">
      <c r="A260" s="25" t="s">
        <v>43</v>
      </c>
      <c r="B260" s="26"/>
      <c r="C260" s="64">
        <f>C259</f>
        <v>66125</v>
      </c>
      <c r="D260" s="35"/>
      <c r="E260" s="64">
        <f>E259</f>
        <v>66125</v>
      </c>
      <c r="F260" s="64">
        <f>F259</f>
        <v>0</v>
      </c>
      <c r="G260" s="35"/>
      <c r="H260" s="35"/>
      <c r="I260" s="36"/>
    </row>
    <row r="261" spans="1:9" hidden="1" x14ac:dyDescent="0.2">
      <c r="A261" s="38"/>
      <c r="B261" s="38"/>
      <c r="C261" s="68"/>
      <c r="D261" s="38"/>
      <c r="E261" s="68"/>
      <c r="F261" s="68"/>
      <c r="G261" s="38"/>
      <c r="H261" s="38"/>
      <c r="I261" s="38"/>
    </row>
    <row r="262" spans="1:9" hidden="1" x14ac:dyDescent="0.2">
      <c r="A262" s="37" t="s">
        <v>44</v>
      </c>
      <c r="B262" s="35" t="s">
        <v>11</v>
      </c>
      <c r="C262" s="65"/>
      <c r="D262" s="58"/>
      <c r="E262" s="65">
        <v>37442.35</v>
      </c>
      <c r="F262" s="87">
        <v>0</v>
      </c>
      <c r="G262" s="54" t="s">
        <v>392</v>
      </c>
      <c r="H262" s="26" t="s">
        <v>386</v>
      </c>
      <c r="I262" s="84"/>
    </row>
    <row r="263" spans="1:9" hidden="1" x14ac:dyDescent="0.2">
      <c r="A263" s="37" t="s">
        <v>43</v>
      </c>
      <c r="B263" s="35"/>
      <c r="C263" s="63">
        <f>C262</f>
        <v>0</v>
      </c>
      <c r="D263" s="35"/>
      <c r="E263" s="63">
        <f>E262</f>
        <v>37442.35</v>
      </c>
      <c r="F263" s="63">
        <f>F262</f>
        <v>0</v>
      </c>
      <c r="G263" s="35"/>
      <c r="H263" s="35"/>
      <c r="I263" s="36"/>
    </row>
    <row r="264" spans="1:9" hidden="1" x14ac:dyDescent="0.2">
      <c r="A264" s="38"/>
      <c r="B264" s="38"/>
      <c r="C264" s="68"/>
      <c r="D264" s="38"/>
      <c r="E264" s="68"/>
      <c r="F264" s="68"/>
      <c r="G264" s="158"/>
      <c r="H264" s="158"/>
      <c r="I264" s="38"/>
    </row>
    <row r="265" spans="1:9" hidden="1" x14ac:dyDescent="0.2">
      <c r="A265" s="37" t="s">
        <v>42</v>
      </c>
      <c r="B265" s="28"/>
      <c r="C265" s="65"/>
      <c r="D265" s="102"/>
      <c r="E265" s="65"/>
      <c r="F265" s="148"/>
      <c r="G265" s="28"/>
      <c r="H265" s="28"/>
      <c r="I265" s="157"/>
    </row>
    <row r="266" spans="1:9" hidden="1" x14ac:dyDescent="0.2">
      <c r="A266" s="142"/>
      <c r="B266" s="494" t="s">
        <v>11</v>
      </c>
      <c r="C266" s="496">
        <v>14000</v>
      </c>
      <c r="D266" s="498" t="s">
        <v>192</v>
      </c>
      <c r="E266" s="499">
        <v>1452.2</v>
      </c>
      <c r="F266" s="148">
        <f>C266-E266</f>
        <v>12547.8</v>
      </c>
      <c r="G266" s="494" t="s">
        <v>269</v>
      </c>
      <c r="H266" s="494" t="s">
        <v>193</v>
      </c>
      <c r="I266" s="44" t="s">
        <v>90</v>
      </c>
    </row>
    <row r="267" spans="1:9" hidden="1" x14ac:dyDescent="0.2">
      <c r="A267" s="142"/>
      <c r="B267" s="495"/>
      <c r="C267" s="497"/>
      <c r="D267" s="495"/>
      <c r="E267" s="497"/>
      <c r="F267" s="148">
        <v>-12547.8</v>
      </c>
      <c r="G267" s="495"/>
      <c r="H267" s="495"/>
      <c r="I267" s="44" t="s">
        <v>271</v>
      </c>
    </row>
    <row r="268" spans="1:9" hidden="1" x14ac:dyDescent="0.2">
      <c r="A268" s="142"/>
      <c r="B268" s="494" t="s">
        <v>11</v>
      </c>
      <c r="C268" s="496">
        <v>8420</v>
      </c>
      <c r="D268" s="498" t="s">
        <v>235</v>
      </c>
      <c r="E268" s="499">
        <v>6995.5</v>
      </c>
      <c r="F268" s="148">
        <f>C268-E268</f>
        <v>1424.5</v>
      </c>
      <c r="G268" s="494" t="s">
        <v>301</v>
      </c>
      <c r="H268" s="494" t="s">
        <v>231</v>
      </c>
      <c r="I268" s="184" t="s">
        <v>90</v>
      </c>
    </row>
    <row r="269" spans="1:9" hidden="1" x14ac:dyDescent="0.2">
      <c r="A269" s="142"/>
      <c r="B269" s="495"/>
      <c r="C269" s="497"/>
      <c r="D269" s="495"/>
      <c r="E269" s="497"/>
      <c r="F269" s="148">
        <v>-1424.5</v>
      </c>
      <c r="G269" s="495"/>
      <c r="H269" s="495"/>
      <c r="I269" s="27" t="s">
        <v>298</v>
      </c>
    </row>
    <row r="270" spans="1:9" hidden="1" x14ac:dyDescent="0.2">
      <c r="A270" s="142"/>
      <c r="B270" s="494" t="s">
        <v>11</v>
      </c>
      <c r="C270" s="496">
        <v>30000</v>
      </c>
      <c r="D270" s="498" t="s">
        <v>244</v>
      </c>
      <c r="E270" s="499">
        <v>18587.47</v>
      </c>
      <c r="F270" s="148">
        <f>C270-E270</f>
        <v>11412.529999999999</v>
      </c>
      <c r="G270" s="494" t="s">
        <v>302</v>
      </c>
      <c r="H270" s="494" t="s">
        <v>240</v>
      </c>
      <c r="I270" s="44" t="s">
        <v>299</v>
      </c>
    </row>
    <row r="271" spans="1:9" hidden="1" x14ac:dyDescent="0.2">
      <c r="A271" s="142"/>
      <c r="B271" s="495"/>
      <c r="C271" s="497"/>
      <c r="D271" s="495"/>
      <c r="E271" s="497"/>
      <c r="F271" s="148">
        <v>-11412.53</v>
      </c>
      <c r="G271" s="495"/>
      <c r="H271" s="495"/>
      <c r="I271" s="44" t="s">
        <v>303</v>
      </c>
    </row>
    <row r="272" spans="1:9" hidden="1" x14ac:dyDescent="0.2">
      <c r="A272" s="142"/>
      <c r="B272" s="494" t="s">
        <v>10</v>
      </c>
      <c r="C272" s="496">
        <v>23000</v>
      </c>
      <c r="D272" s="498" t="s">
        <v>251</v>
      </c>
      <c r="E272" s="499">
        <v>14470</v>
      </c>
      <c r="F272" s="168">
        <f>C272-E272</f>
        <v>8530</v>
      </c>
      <c r="G272" s="494" t="s">
        <v>291</v>
      </c>
      <c r="H272" s="494" t="s">
        <v>240</v>
      </c>
      <c r="I272" s="500" t="s">
        <v>285</v>
      </c>
    </row>
    <row r="273" spans="1:9" hidden="1" x14ac:dyDescent="0.2">
      <c r="A273" s="142"/>
      <c r="B273" s="495"/>
      <c r="C273" s="497"/>
      <c r="D273" s="495"/>
      <c r="E273" s="497"/>
      <c r="F273" s="168">
        <v>-8530</v>
      </c>
      <c r="G273" s="495"/>
      <c r="H273" s="495"/>
      <c r="I273" s="501"/>
    </row>
    <row r="274" spans="1:9" hidden="1" x14ac:dyDescent="0.2">
      <c r="A274" s="142"/>
      <c r="B274" s="150" t="s">
        <v>10</v>
      </c>
      <c r="C274" s="148">
        <v>12000</v>
      </c>
      <c r="D274" s="56" t="s">
        <v>248</v>
      </c>
      <c r="E274" s="86">
        <v>5549.17</v>
      </c>
      <c r="F274" s="148"/>
      <c r="G274" s="150" t="s">
        <v>451</v>
      </c>
      <c r="H274" s="150" t="s">
        <v>247</v>
      </c>
      <c r="I274" s="44" t="s">
        <v>188</v>
      </c>
    </row>
    <row r="275" spans="1:9" hidden="1" x14ac:dyDescent="0.2">
      <c r="A275" s="142"/>
      <c r="B275" s="150"/>
      <c r="C275" s="148"/>
      <c r="D275" s="56"/>
      <c r="E275" s="233">
        <v>914</v>
      </c>
      <c r="F275" s="148">
        <f>C274-E274-E275</f>
        <v>5536.83</v>
      </c>
      <c r="G275" s="231" t="s">
        <v>580</v>
      </c>
      <c r="H275" s="150" t="s">
        <v>247</v>
      </c>
      <c r="I275" s="44" t="s">
        <v>100</v>
      </c>
    </row>
    <row r="276" spans="1:9" hidden="1" x14ac:dyDescent="0.2">
      <c r="A276" s="142"/>
      <c r="B276" s="150"/>
      <c r="C276" s="148"/>
      <c r="D276" s="56"/>
      <c r="E276" s="86"/>
      <c r="F276" s="148">
        <v>-5536.83</v>
      </c>
      <c r="G276" s="150"/>
      <c r="H276" s="150"/>
      <c r="I276" s="44" t="s">
        <v>99</v>
      </c>
    </row>
    <row r="277" spans="1:9" hidden="1" x14ac:dyDescent="0.2">
      <c r="A277" s="142"/>
      <c r="B277" s="150" t="s">
        <v>10</v>
      </c>
      <c r="C277" s="148">
        <v>35108</v>
      </c>
      <c r="D277" s="56" t="s">
        <v>266</v>
      </c>
      <c r="E277" s="86">
        <v>35108</v>
      </c>
      <c r="F277" s="148">
        <f>C277-E277</f>
        <v>0</v>
      </c>
      <c r="G277" s="150" t="s">
        <v>315</v>
      </c>
      <c r="H277" s="150" t="s">
        <v>265</v>
      </c>
      <c r="I277" s="44" t="s">
        <v>100</v>
      </c>
    </row>
    <row r="278" spans="1:9" ht="25.5" hidden="1" x14ac:dyDescent="0.2">
      <c r="A278" s="142"/>
      <c r="B278" s="150" t="s">
        <v>11</v>
      </c>
      <c r="C278" s="148">
        <f>30224+7837.03</f>
        <v>38061.03</v>
      </c>
      <c r="D278" s="173" t="s">
        <v>317</v>
      </c>
      <c r="E278" s="86">
        <v>32494.98</v>
      </c>
      <c r="F278" s="148">
        <f>C278-E278</f>
        <v>5566.0499999999993</v>
      </c>
      <c r="G278" s="150" t="s">
        <v>338</v>
      </c>
      <c r="H278" s="150" t="s">
        <v>265</v>
      </c>
      <c r="I278" s="149" t="s">
        <v>318</v>
      </c>
    </row>
    <row r="279" spans="1:9" hidden="1" x14ac:dyDescent="0.2">
      <c r="A279" s="142"/>
      <c r="B279" s="150"/>
      <c r="C279" s="148"/>
      <c r="D279" s="56"/>
      <c r="E279" s="86"/>
      <c r="F279" s="148">
        <v>-5566.05</v>
      </c>
      <c r="G279" s="150"/>
      <c r="H279" s="150"/>
      <c r="I279" s="44"/>
    </row>
    <row r="280" spans="1:9" hidden="1" x14ac:dyDescent="0.2">
      <c r="A280" s="142"/>
      <c r="B280" s="150" t="s">
        <v>11</v>
      </c>
      <c r="C280" s="148">
        <v>5566.05</v>
      </c>
      <c r="D280" s="56" t="s">
        <v>337</v>
      </c>
      <c r="E280" s="86">
        <v>5566.05</v>
      </c>
      <c r="F280" s="148">
        <v>0</v>
      </c>
      <c r="G280" s="150" t="s">
        <v>435</v>
      </c>
      <c r="H280" s="150" t="s">
        <v>319</v>
      </c>
      <c r="I280" s="185"/>
    </row>
    <row r="281" spans="1:9" hidden="1" x14ac:dyDescent="0.2">
      <c r="A281" s="142"/>
      <c r="B281" s="494" t="s">
        <v>10</v>
      </c>
      <c r="C281" s="502">
        <v>4000</v>
      </c>
      <c r="D281" s="498" t="s">
        <v>249</v>
      </c>
      <c r="E281" s="499">
        <v>3886</v>
      </c>
      <c r="F281" s="148">
        <f>C281-E281</f>
        <v>114</v>
      </c>
      <c r="G281" s="494" t="s">
        <v>290</v>
      </c>
      <c r="H281" s="494" t="s">
        <v>193</v>
      </c>
      <c r="I281" s="500" t="s">
        <v>285</v>
      </c>
    </row>
    <row r="282" spans="1:9" hidden="1" x14ac:dyDescent="0.2">
      <c r="A282" s="142"/>
      <c r="B282" s="495"/>
      <c r="C282" s="497"/>
      <c r="D282" s="495"/>
      <c r="E282" s="497"/>
      <c r="F282" s="148">
        <v>-114</v>
      </c>
      <c r="G282" s="495"/>
      <c r="H282" s="495"/>
      <c r="I282" s="501"/>
    </row>
    <row r="283" spans="1:9" hidden="1" x14ac:dyDescent="0.2">
      <c r="A283" s="142"/>
      <c r="B283" s="169" t="s">
        <v>263</v>
      </c>
      <c r="C283" s="181">
        <v>4085</v>
      </c>
      <c r="D283" s="182" t="s">
        <v>304</v>
      </c>
      <c r="E283" s="181">
        <v>4085</v>
      </c>
      <c r="F283" s="148">
        <f>C283-E283</f>
        <v>0</v>
      </c>
      <c r="G283" s="176" t="s">
        <v>312</v>
      </c>
      <c r="H283" s="178" t="s">
        <v>295</v>
      </c>
      <c r="I283" s="180"/>
    </row>
    <row r="284" spans="1:9" hidden="1" x14ac:dyDescent="0.2">
      <c r="A284" s="142"/>
      <c r="B284" s="178" t="s">
        <v>11</v>
      </c>
      <c r="C284" s="177">
        <v>5000</v>
      </c>
      <c r="D284" s="178" t="s">
        <v>300</v>
      </c>
      <c r="E284" s="177">
        <v>5000</v>
      </c>
      <c r="F284" s="148">
        <f>C284-E284</f>
        <v>0</v>
      </c>
      <c r="G284" s="169" t="s">
        <v>342</v>
      </c>
      <c r="H284" s="182" t="s">
        <v>340</v>
      </c>
      <c r="I284" s="183"/>
    </row>
    <row r="285" spans="1:9" hidden="1" x14ac:dyDescent="0.2">
      <c r="A285" s="142"/>
      <c r="B285" s="182" t="s">
        <v>10</v>
      </c>
      <c r="C285" s="181">
        <v>4600</v>
      </c>
      <c r="D285" s="182" t="s">
        <v>311</v>
      </c>
      <c r="E285" s="181">
        <v>4600</v>
      </c>
      <c r="F285" s="148">
        <f>C285-E285</f>
        <v>0</v>
      </c>
      <c r="G285" s="179" t="s">
        <v>415</v>
      </c>
      <c r="H285" s="179" t="s">
        <v>308</v>
      </c>
      <c r="I285" s="185" t="s">
        <v>362</v>
      </c>
    </row>
    <row r="286" spans="1:9" ht="13.5" hidden="1" thickBot="1" x14ac:dyDescent="0.25">
      <c r="A286" s="29" t="s">
        <v>43</v>
      </c>
      <c r="B286" s="30"/>
      <c r="C286" s="59">
        <f>SUM(C265:C285)</f>
        <v>183840.08</v>
      </c>
      <c r="D286" s="30"/>
      <c r="E286" s="59">
        <f>SUM(E265:E285)</f>
        <v>138708.37</v>
      </c>
      <c r="F286" s="59">
        <f>SUM(F265:F285)</f>
        <v>-2.7284841053187847E-12</v>
      </c>
      <c r="G286" s="30"/>
      <c r="H286" s="30"/>
      <c r="I286" s="31"/>
    </row>
    <row r="287" spans="1:9" ht="13.5" hidden="1" thickBot="1" x14ac:dyDescent="0.25">
      <c r="A287" s="18"/>
      <c r="B287" s="18"/>
      <c r="C287" s="78"/>
      <c r="D287" s="18"/>
      <c r="E287" s="78"/>
      <c r="F287" s="78"/>
      <c r="G287" s="18"/>
      <c r="H287" s="18"/>
      <c r="I287" s="18"/>
    </row>
    <row r="288" spans="1:9" ht="21" hidden="1" thickBot="1" x14ac:dyDescent="0.25">
      <c r="A288" s="489" t="s">
        <v>117</v>
      </c>
      <c r="B288" s="490"/>
      <c r="C288" s="490"/>
      <c r="D288" s="490"/>
      <c r="E288" s="490"/>
      <c r="F288" s="490"/>
      <c r="G288" s="490"/>
      <c r="H288" s="490"/>
      <c r="I288" s="491"/>
    </row>
    <row r="289" spans="1:9" ht="20.25" hidden="1" x14ac:dyDescent="0.3">
      <c r="A289" s="41"/>
      <c r="B289" s="13" t="s">
        <v>118</v>
      </c>
      <c r="C289" s="13" t="s">
        <v>119</v>
      </c>
      <c r="D289" s="13" t="s">
        <v>120</v>
      </c>
      <c r="E289" s="14"/>
      <c r="F289" s="14"/>
      <c r="G289" s="13"/>
      <c r="H289" s="13"/>
      <c r="I289" s="39"/>
    </row>
    <row r="290" spans="1:9" ht="20.25" hidden="1" x14ac:dyDescent="0.3">
      <c r="A290" s="41" t="s">
        <v>57</v>
      </c>
      <c r="B290" s="92">
        <v>66125</v>
      </c>
      <c r="C290" s="92">
        <v>66125</v>
      </c>
      <c r="D290" s="92">
        <v>143750</v>
      </c>
      <c r="E290" s="14"/>
      <c r="F290" s="14"/>
      <c r="G290" s="13"/>
      <c r="H290" s="13"/>
      <c r="I290" s="39"/>
    </row>
    <row r="291" spans="1:9" ht="20.25" hidden="1" x14ac:dyDescent="0.3">
      <c r="A291" s="41" t="s">
        <v>36</v>
      </c>
      <c r="B291" s="92">
        <v>0</v>
      </c>
      <c r="C291" s="92">
        <v>66125</v>
      </c>
      <c r="D291" s="92">
        <v>9616.31</v>
      </c>
      <c r="E291" s="14"/>
      <c r="F291" s="14"/>
      <c r="G291" s="13"/>
      <c r="H291" s="13"/>
      <c r="I291" s="39"/>
    </row>
    <row r="292" spans="1:9" ht="20.25" hidden="1" x14ac:dyDescent="0.3">
      <c r="A292" s="41" t="s">
        <v>121</v>
      </c>
      <c r="B292" s="92">
        <f>SUM(B290:B291)</f>
        <v>66125</v>
      </c>
      <c r="C292" s="92">
        <f>SUM(C290:C291)</f>
        <v>132250</v>
      </c>
      <c r="D292" s="92">
        <f>SUM(D290:D291)</f>
        <v>153366.31</v>
      </c>
      <c r="E292" s="130" t="s">
        <v>107</v>
      </c>
      <c r="F292" s="14"/>
      <c r="G292" s="13"/>
      <c r="H292" s="13"/>
      <c r="I292" s="39"/>
    </row>
    <row r="293" spans="1:9" hidden="1" x14ac:dyDescent="0.2">
      <c r="A293" s="41" t="s">
        <v>47</v>
      </c>
      <c r="B293" s="92">
        <v>0</v>
      </c>
      <c r="C293" s="92">
        <v>66125</v>
      </c>
      <c r="D293" s="92">
        <v>9616.31</v>
      </c>
      <c r="E293" s="492"/>
      <c r="F293" s="492"/>
      <c r="G293" s="492"/>
      <c r="H293" s="13"/>
      <c r="I293" s="39"/>
    </row>
    <row r="294" spans="1:9" ht="20.25" hidden="1" x14ac:dyDescent="0.3">
      <c r="A294" s="41" t="s">
        <v>133</v>
      </c>
      <c r="B294" s="92">
        <f>B290+B293</f>
        <v>66125</v>
      </c>
      <c r="C294" s="92">
        <f>C290+C293</f>
        <v>132250</v>
      </c>
      <c r="D294" s="92">
        <f>D290+D293</f>
        <v>153366.31</v>
      </c>
      <c r="E294" s="151" t="s">
        <v>108</v>
      </c>
      <c r="F294" s="14"/>
      <c r="G294" s="13"/>
      <c r="H294" s="13"/>
      <c r="I294" s="39"/>
    </row>
    <row r="295" spans="1:9" ht="20.25" hidden="1" x14ac:dyDescent="0.3">
      <c r="A295" s="41" t="s">
        <v>39</v>
      </c>
      <c r="B295" s="92">
        <f>B292-E300</f>
        <v>0</v>
      </c>
      <c r="C295" s="92">
        <f>C292-E303</f>
        <v>113095.58</v>
      </c>
      <c r="D295" s="92">
        <f>D292-E315</f>
        <v>9771.5499999999884</v>
      </c>
      <c r="E295" s="151" t="s">
        <v>109</v>
      </c>
      <c r="F295" s="14"/>
      <c r="G295" s="13"/>
      <c r="H295" s="13"/>
      <c r="I295" s="39"/>
    </row>
    <row r="296" spans="1:9" hidden="1" x14ac:dyDescent="0.2">
      <c r="A296" s="41" t="s">
        <v>132</v>
      </c>
      <c r="B296" s="93">
        <f>B294-E300-F300</f>
        <v>0</v>
      </c>
      <c r="C296" s="93">
        <f>C294-E303-F303</f>
        <v>113095.58</v>
      </c>
      <c r="D296" s="94">
        <f>D294-E315-F315</f>
        <v>9771.5499999999884</v>
      </c>
      <c r="E296" s="493" t="s">
        <v>110</v>
      </c>
      <c r="F296" s="503"/>
      <c r="G296" s="503"/>
      <c r="H296" s="503"/>
      <c r="I296" s="146"/>
    </row>
    <row r="297" spans="1:9" ht="21" hidden="1" thickBot="1" x14ac:dyDescent="0.35">
      <c r="A297" s="41"/>
      <c r="B297" s="13"/>
      <c r="C297" s="13"/>
      <c r="D297" s="13"/>
      <c r="E297" s="14"/>
      <c r="F297" s="14"/>
      <c r="G297" s="13"/>
      <c r="H297" s="13"/>
      <c r="I297" s="39"/>
    </row>
    <row r="298" spans="1:9" ht="51" hidden="1" x14ac:dyDescent="0.2">
      <c r="A298" s="19" t="s">
        <v>41</v>
      </c>
      <c r="B298" s="20" t="s">
        <v>34</v>
      </c>
      <c r="C298" s="20" t="s">
        <v>64</v>
      </c>
      <c r="D298" s="20" t="s">
        <v>63</v>
      </c>
      <c r="E298" s="20" t="s">
        <v>37</v>
      </c>
      <c r="F298" s="20" t="s">
        <v>48</v>
      </c>
      <c r="G298" s="20" t="s">
        <v>40</v>
      </c>
      <c r="H298" s="20" t="s">
        <v>38</v>
      </c>
      <c r="I298" s="21" t="s">
        <v>5</v>
      </c>
    </row>
    <row r="299" spans="1:9" hidden="1" x14ac:dyDescent="0.2">
      <c r="A299" s="22" t="s">
        <v>10</v>
      </c>
      <c r="B299" s="23" t="s">
        <v>10</v>
      </c>
      <c r="C299" s="60">
        <v>66125</v>
      </c>
      <c r="D299" s="53">
        <v>42006</v>
      </c>
      <c r="E299" s="60">
        <v>66125</v>
      </c>
      <c r="F299" s="67">
        <f>IF(E299="",C299,0)</f>
        <v>0</v>
      </c>
      <c r="G299" s="23" t="s">
        <v>175</v>
      </c>
      <c r="H299" s="23" t="s">
        <v>136</v>
      </c>
      <c r="I299" s="24"/>
    </row>
    <row r="300" spans="1:9" hidden="1" x14ac:dyDescent="0.2">
      <c r="A300" s="25" t="s">
        <v>43</v>
      </c>
      <c r="B300" s="26"/>
      <c r="C300" s="64">
        <f>C299</f>
        <v>66125</v>
      </c>
      <c r="D300" s="35"/>
      <c r="E300" s="64">
        <f>E299</f>
        <v>66125</v>
      </c>
      <c r="F300" s="64">
        <f>F299</f>
        <v>0</v>
      </c>
      <c r="G300" s="35"/>
      <c r="H300" s="35"/>
      <c r="I300" s="36"/>
    </row>
    <row r="301" spans="1:9" hidden="1" x14ac:dyDescent="0.2">
      <c r="A301" s="38"/>
      <c r="B301" s="38"/>
      <c r="C301" s="68"/>
      <c r="D301" s="38"/>
      <c r="E301" s="68"/>
      <c r="F301" s="68"/>
      <c r="G301" s="38"/>
      <c r="H301" s="38"/>
      <c r="I301" s="38"/>
    </row>
    <row r="302" spans="1:9" hidden="1" x14ac:dyDescent="0.2">
      <c r="A302" s="37" t="s">
        <v>44</v>
      </c>
      <c r="B302" s="35" t="s">
        <v>11</v>
      </c>
      <c r="C302" s="65">
        <v>19154.419999999998</v>
      </c>
      <c r="D302" s="58">
        <v>42416</v>
      </c>
      <c r="E302" s="65">
        <v>19154.419999999998</v>
      </c>
      <c r="F302" s="87"/>
      <c r="G302" s="54" t="s">
        <v>253</v>
      </c>
      <c r="H302" s="26" t="s">
        <v>239</v>
      </c>
      <c r="I302" s="84"/>
    </row>
    <row r="303" spans="1:9" hidden="1" x14ac:dyDescent="0.2">
      <c r="A303" s="37" t="s">
        <v>43</v>
      </c>
      <c r="B303" s="35"/>
      <c r="C303" s="63">
        <f>C302</f>
        <v>19154.419999999998</v>
      </c>
      <c r="D303" s="35"/>
      <c r="E303" s="63">
        <f>E302</f>
        <v>19154.419999999998</v>
      </c>
      <c r="F303" s="63">
        <f>F302</f>
        <v>0</v>
      </c>
      <c r="G303" s="35"/>
      <c r="H303" s="35"/>
      <c r="I303" s="36"/>
    </row>
    <row r="304" spans="1:9" hidden="1" x14ac:dyDescent="0.2">
      <c r="A304" s="38"/>
      <c r="B304" s="38"/>
      <c r="C304" s="68"/>
      <c r="D304" s="38"/>
      <c r="E304" s="68"/>
      <c r="F304" s="68"/>
      <c r="G304" s="158"/>
      <c r="H304" s="158"/>
      <c r="I304" s="38"/>
    </row>
    <row r="305" spans="1:14" hidden="1" x14ac:dyDescent="0.2">
      <c r="A305" s="37" t="s">
        <v>42</v>
      </c>
      <c r="B305" s="28"/>
      <c r="C305" s="65"/>
      <c r="D305" s="102"/>
      <c r="E305" s="65"/>
      <c r="F305" s="148">
        <f t="shared" ref="F305:F312" si="0">C305-E305</f>
        <v>0</v>
      </c>
      <c r="G305" s="28"/>
      <c r="H305" s="28"/>
      <c r="I305" s="157"/>
    </row>
    <row r="306" spans="1:14" hidden="1" x14ac:dyDescent="0.2">
      <c r="A306" s="504"/>
      <c r="B306" s="494" t="s">
        <v>11</v>
      </c>
      <c r="C306" s="496">
        <v>17500</v>
      </c>
      <c r="D306" s="498" t="s">
        <v>141</v>
      </c>
      <c r="E306" s="156">
        <v>9491.01</v>
      </c>
      <c r="F306" s="148"/>
      <c r="G306" s="54" t="s">
        <v>190</v>
      </c>
      <c r="H306" s="494" t="s">
        <v>135</v>
      </c>
      <c r="I306" s="160" t="s">
        <v>189</v>
      </c>
    </row>
    <row r="307" spans="1:14" hidden="1" x14ac:dyDescent="0.2">
      <c r="A307" s="505"/>
      <c r="B307" s="507"/>
      <c r="C307" s="508"/>
      <c r="D307" s="507"/>
      <c r="E307" s="509">
        <v>7551.75</v>
      </c>
      <c r="F307" s="163">
        <f>8008.99-E307</f>
        <v>457.23999999999978</v>
      </c>
      <c r="G307" s="511" t="s">
        <v>241</v>
      </c>
      <c r="H307" s="507"/>
      <c r="I307" s="159" t="s">
        <v>100</v>
      </c>
    </row>
    <row r="308" spans="1:14" hidden="1" x14ac:dyDescent="0.2">
      <c r="A308" s="506"/>
      <c r="B308" s="495"/>
      <c r="C308" s="497"/>
      <c r="D308" s="495"/>
      <c r="E308" s="510"/>
      <c r="F308" s="163">
        <v>-457.24</v>
      </c>
      <c r="G308" s="495"/>
      <c r="H308" s="495"/>
      <c r="I308" s="159" t="s">
        <v>99</v>
      </c>
    </row>
    <row r="309" spans="1:14" hidden="1" x14ac:dyDescent="0.2">
      <c r="A309" s="142"/>
      <c r="B309" s="150" t="s">
        <v>10</v>
      </c>
      <c r="C309" s="148">
        <v>8000</v>
      </c>
      <c r="D309" s="56" t="s">
        <v>148</v>
      </c>
      <c r="E309" s="86">
        <v>8000</v>
      </c>
      <c r="F309" s="148">
        <f t="shared" si="0"/>
        <v>0</v>
      </c>
      <c r="G309" s="150" t="s">
        <v>183</v>
      </c>
      <c r="H309" s="150" t="s">
        <v>147</v>
      </c>
      <c r="I309" s="83"/>
    </row>
    <row r="310" spans="1:14" hidden="1" x14ac:dyDescent="0.2">
      <c r="A310" s="142"/>
      <c r="B310" s="150" t="s">
        <v>10</v>
      </c>
      <c r="C310" s="148">
        <v>50000</v>
      </c>
      <c r="D310" s="56" t="s">
        <v>152</v>
      </c>
      <c r="E310" s="86">
        <v>50000</v>
      </c>
      <c r="F310" s="148">
        <f t="shared" si="0"/>
        <v>0</v>
      </c>
      <c r="G310" s="150" t="s">
        <v>177</v>
      </c>
      <c r="H310" s="150" t="s">
        <v>150</v>
      </c>
      <c r="I310" s="83"/>
    </row>
    <row r="311" spans="1:14" hidden="1" x14ac:dyDescent="0.2">
      <c r="A311" s="142"/>
      <c r="B311" s="150" t="s">
        <v>10</v>
      </c>
      <c r="C311" s="148">
        <v>10000</v>
      </c>
      <c r="D311" s="56" t="s">
        <v>154</v>
      </c>
      <c r="E311" s="86">
        <v>10000</v>
      </c>
      <c r="F311" s="148">
        <f t="shared" si="0"/>
        <v>0</v>
      </c>
      <c r="G311" s="150" t="s">
        <v>195</v>
      </c>
      <c r="H311" s="150" t="s">
        <v>151</v>
      </c>
      <c r="I311" s="44"/>
    </row>
    <row r="312" spans="1:14" hidden="1" x14ac:dyDescent="0.2">
      <c r="A312" s="142"/>
      <c r="B312" s="150" t="s">
        <v>11</v>
      </c>
      <c r="C312" s="148">
        <v>54552</v>
      </c>
      <c r="D312" s="56" t="s">
        <v>153</v>
      </c>
      <c r="E312" s="86">
        <v>54552</v>
      </c>
      <c r="F312" s="148">
        <f t="shared" si="0"/>
        <v>0</v>
      </c>
      <c r="G312" s="150" t="s">
        <v>184</v>
      </c>
      <c r="H312" s="150" t="s">
        <v>150</v>
      </c>
      <c r="I312" s="44"/>
    </row>
    <row r="313" spans="1:14" hidden="1" x14ac:dyDescent="0.2">
      <c r="A313" s="142"/>
      <c r="B313" s="150" t="s">
        <v>11</v>
      </c>
      <c r="C313" s="148">
        <v>4000</v>
      </c>
      <c r="D313" s="56" t="s">
        <v>157</v>
      </c>
      <c r="E313" s="86">
        <v>4000</v>
      </c>
      <c r="F313" s="148">
        <f>C313-E313</f>
        <v>0</v>
      </c>
      <c r="G313" s="150" t="s">
        <v>187</v>
      </c>
      <c r="H313" s="150" t="s">
        <v>151</v>
      </c>
      <c r="I313" s="44"/>
    </row>
    <row r="314" spans="1:14" hidden="1" x14ac:dyDescent="0.2">
      <c r="A314" s="142"/>
      <c r="B314" s="164"/>
      <c r="C314" s="163"/>
      <c r="D314" s="162"/>
      <c r="E314" s="86"/>
      <c r="F314" s="148"/>
      <c r="G314" s="150"/>
      <c r="H314" s="150"/>
      <c r="I314" s="165"/>
    </row>
    <row r="315" spans="1:14" ht="13.5" hidden="1" thickBot="1" x14ac:dyDescent="0.25">
      <c r="A315" s="29" t="s">
        <v>43</v>
      </c>
      <c r="B315" s="30"/>
      <c r="C315" s="59">
        <f>SUM(C305:C314)</f>
        <v>144052</v>
      </c>
      <c r="D315" s="30"/>
      <c r="E315" s="59">
        <f>SUM(E305:E314)</f>
        <v>143594.76</v>
      </c>
      <c r="F315" s="59">
        <f>SUM(F305:F314)</f>
        <v>-2.2737367544323206E-13</v>
      </c>
      <c r="G315" s="30"/>
      <c r="H315" s="30"/>
      <c r="I315" s="31"/>
    </row>
    <row r="316" spans="1:14" hidden="1" x14ac:dyDescent="0.2"/>
    <row r="317" spans="1:14" ht="18.75" customHeight="1" x14ac:dyDescent="0.3">
      <c r="A317" s="11"/>
      <c r="B317" s="11"/>
      <c r="C317" s="11"/>
      <c r="D317" s="11"/>
      <c r="E317" s="11"/>
      <c r="F317" s="11"/>
      <c r="G317" s="11"/>
      <c r="H317" s="11"/>
      <c r="I317" s="11"/>
      <c r="K317" s="9"/>
      <c r="L317" s="9"/>
      <c r="M317" s="9"/>
      <c r="N317" s="9"/>
    </row>
  </sheetData>
  <mergeCells count="65">
    <mergeCell ref="A2:I2"/>
    <mergeCell ref="A32:I32"/>
    <mergeCell ref="C268:C269"/>
    <mergeCell ref="D268:D269"/>
    <mergeCell ref="E268:E269"/>
    <mergeCell ref="G268:G269"/>
    <mergeCell ref="E193:G193"/>
    <mergeCell ref="E196:H196"/>
    <mergeCell ref="E253:G253"/>
    <mergeCell ref="E256:H256"/>
    <mergeCell ref="A217:I217"/>
    <mergeCell ref="E222:G222"/>
    <mergeCell ref="E225:H225"/>
    <mergeCell ref="A248:I248"/>
    <mergeCell ref="E127:H127"/>
    <mergeCell ref="A156:I156"/>
    <mergeCell ref="E164:H164"/>
    <mergeCell ref="A188:I188"/>
    <mergeCell ref="E161:G161"/>
    <mergeCell ref="D281:D282"/>
    <mergeCell ref="E281:E282"/>
    <mergeCell ref="G281:G282"/>
    <mergeCell ref="H281:H282"/>
    <mergeCell ref="B281:B282"/>
    <mergeCell ref="H268:H269"/>
    <mergeCell ref="B270:B271"/>
    <mergeCell ref="C270:C271"/>
    <mergeCell ref="D270:D271"/>
    <mergeCell ref="E270:E271"/>
    <mergeCell ref="G270:G271"/>
    <mergeCell ref="H270:H271"/>
    <mergeCell ref="B268:B269"/>
    <mergeCell ref="E293:G293"/>
    <mergeCell ref="E296:H296"/>
    <mergeCell ref="A306:A308"/>
    <mergeCell ref="B306:B308"/>
    <mergeCell ref="C306:C308"/>
    <mergeCell ref="D306:D308"/>
    <mergeCell ref="E307:E308"/>
    <mergeCell ref="G307:G308"/>
    <mergeCell ref="H306:H308"/>
    <mergeCell ref="A288:I288"/>
    <mergeCell ref="B266:B267"/>
    <mergeCell ref="C266:C267"/>
    <mergeCell ref="D266:D267"/>
    <mergeCell ref="E266:E267"/>
    <mergeCell ref="G266:G267"/>
    <mergeCell ref="H266:H267"/>
    <mergeCell ref="I281:I282"/>
    <mergeCell ref="B272:B273"/>
    <mergeCell ref="C272:C273"/>
    <mergeCell ref="D272:D273"/>
    <mergeCell ref="E272:E273"/>
    <mergeCell ref="G272:G273"/>
    <mergeCell ref="H272:H273"/>
    <mergeCell ref="I272:I273"/>
    <mergeCell ref="C281:C282"/>
    <mergeCell ref="A63:I63"/>
    <mergeCell ref="E68:G68"/>
    <mergeCell ref="E71:H71"/>
    <mergeCell ref="A119:I119"/>
    <mergeCell ref="E124:G124"/>
    <mergeCell ref="A90:I90"/>
    <mergeCell ref="E95:G95"/>
    <mergeCell ref="E98:H98"/>
  </mergeCells>
  <phoneticPr fontId="7" type="noConversion"/>
  <pageMargins left="0.69" right="0.28999999999999998" top="0.48" bottom="0.44" header="0.25" footer="0.4"/>
  <pageSetup scale="68" orientation="landscape" r:id="rId1"/>
  <headerFooter alignWithMargins="0">
    <oddFooter>&amp;CCurrent as of &amp;D</oddFooter>
  </headerFooter>
  <rowBreaks count="5" manualBreakCount="5">
    <brk id="186" max="16383" man="1"/>
    <brk id="215" max="16383" man="1"/>
    <brk id="246" max="16383" man="1"/>
    <brk id="286" max="16383" man="1"/>
    <brk id="315"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53"/>
  <sheetViews>
    <sheetView showGridLines="0" topLeftCell="A3" zoomScaleNormal="100" zoomScaleSheetLayoutView="75" workbookViewId="0">
      <selection activeCell="I8" sqref="I8"/>
    </sheetView>
  </sheetViews>
  <sheetFormatPr defaultRowHeight="12.75" x14ac:dyDescent="0.2"/>
  <cols>
    <col min="1" max="1" width="22.28515625" bestFit="1" customWidth="1"/>
    <col min="2" max="3" width="17" customWidth="1"/>
    <col min="4" max="4" width="12.85546875" customWidth="1"/>
    <col min="5" max="5" width="18.85546875" bestFit="1" customWidth="1"/>
    <col min="6" max="7" width="14.28515625" customWidth="1"/>
    <col min="8" max="8" width="11.5703125" bestFit="1" customWidth="1"/>
    <col min="9" max="9" width="43.140625" customWidth="1"/>
    <col min="10" max="10" width="23" customWidth="1"/>
  </cols>
  <sheetData>
    <row r="1" spans="1:9" ht="13.5" thickBot="1" x14ac:dyDescent="0.25"/>
    <row r="2" spans="1:9" ht="21" thickBot="1" x14ac:dyDescent="0.25">
      <c r="A2" s="489" t="s">
        <v>1144</v>
      </c>
      <c r="B2" s="490"/>
      <c r="C2" s="490"/>
      <c r="D2" s="490"/>
      <c r="E2" s="490"/>
      <c r="F2" s="490"/>
      <c r="G2" s="490"/>
      <c r="H2" s="490"/>
      <c r="I2" s="491"/>
    </row>
    <row r="3" spans="1:9" x14ac:dyDescent="0.2">
      <c r="A3" s="41"/>
      <c r="B3" s="13" t="s">
        <v>1140</v>
      </c>
      <c r="C3" s="13" t="s">
        <v>1141</v>
      </c>
      <c r="D3" s="91" t="s">
        <v>966</v>
      </c>
      <c r="E3" s="13" t="s">
        <v>1143</v>
      </c>
      <c r="F3" s="13"/>
      <c r="G3" s="13"/>
      <c r="H3" s="13"/>
      <c r="I3" s="39"/>
    </row>
    <row r="4" spans="1:9" x14ac:dyDescent="0.2">
      <c r="A4" s="41" t="s">
        <v>992</v>
      </c>
      <c r="B4" s="214">
        <f>B37+(B37*0.03)</f>
        <v>119782.82</v>
      </c>
      <c r="C4" s="214">
        <v>81868</v>
      </c>
      <c r="D4" s="214">
        <f>D37+(D37*0.03)</f>
        <v>170272.39</v>
      </c>
      <c r="E4" s="214">
        <v>10000</v>
      </c>
      <c r="F4" s="151" t="s">
        <v>972</v>
      </c>
      <c r="G4" s="13"/>
      <c r="H4" s="13"/>
      <c r="I4" s="161" t="s">
        <v>973</v>
      </c>
    </row>
    <row r="5" spans="1:9" x14ac:dyDescent="0.2">
      <c r="A5" s="41" t="s">
        <v>36</v>
      </c>
      <c r="B5" s="92">
        <f>IF(B42&gt;1116294,116294,B42)</f>
        <v>0</v>
      </c>
      <c r="C5" s="92">
        <f>IF(OR(C42&gt;=C4,C42&lt;C4),C4,C42)</f>
        <v>81868</v>
      </c>
      <c r="D5" s="401">
        <f>IF(OR(D42&gt;=D4,D42&lt;D4),D42,D4)</f>
        <v>98740.77999999997</v>
      </c>
      <c r="E5" s="92">
        <v>0</v>
      </c>
      <c r="F5" s="13"/>
      <c r="G5" s="13"/>
      <c r="H5" s="13"/>
      <c r="I5" s="402"/>
    </row>
    <row r="6" spans="1:9" x14ac:dyDescent="0.2">
      <c r="A6" s="41" t="s">
        <v>993</v>
      </c>
      <c r="B6" s="92">
        <f>SUM(B4:B5)</f>
        <v>119782.82</v>
      </c>
      <c r="C6" s="92">
        <f>SUM(C4:C5)</f>
        <v>163736</v>
      </c>
      <c r="D6" s="92">
        <f>SUM(D4:D5)</f>
        <v>269013.17</v>
      </c>
      <c r="E6" s="92">
        <f>SUM(E4:E5)</f>
        <v>10000</v>
      </c>
      <c r="F6" s="130" t="s">
        <v>107</v>
      </c>
      <c r="G6" s="13"/>
      <c r="H6" s="13"/>
      <c r="I6" s="39"/>
    </row>
    <row r="7" spans="1:9" x14ac:dyDescent="0.2">
      <c r="A7" s="41" t="s">
        <v>47</v>
      </c>
      <c r="B7" s="92">
        <f>B42</f>
        <v>0</v>
      </c>
      <c r="C7" s="92">
        <f>IF(C42&gt;C5,C5,C42)</f>
        <v>81868</v>
      </c>
      <c r="D7" s="92">
        <f>IF(D42&gt;D36,D36,D42)</f>
        <v>98740.77999999997</v>
      </c>
      <c r="E7" s="92">
        <v>0</v>
      </c>
      <c r="F7" s="92"/>
      <c r="G7" s="92"/>
      <c r="H7" s="92"/>
      <c r="I7" s="92"/>
    </row>
    <row r="8" spans="1:9" x14ac:dyDescent="0.2">
      <c r="A8" s="41" t="s">
        <v>479</v>
      </c>
      <c r="B8" s="92">
        <f>B4+B7</f>
        <v>119782.82</v>
      </c>
      <c r="C8" s="92">
        <f>C4+C7</f>
        <v>163736</v>
      </c>
      <c r="D8" s="92">
        <f>D4+D7</f>
        <v>269013.17</v>
      </c>
      <c r="E8" s="92">
        <f>E4+E7</f>
        <v>10000</v>
      </c>
      <c r="F8" s="151" t="s">
        <v>108</v>
      </c>
      <c r="G8" s="13"/>
      <c r="H8" s="13"/>
      <c r="I8" s="39"/>
    </row>
    <row r="9" spans="1:9" x14ac:dyDescent="0.2">
      <c r="A9" s="41" t="s">
        <v>39</v>
      </c>
      <c r="B9" s="92">
        <f>B6-E14</f>
        <v>0</v>
      </c>
      <c r="C9" s="92">
        <f>C6-E18</f>
        <v>163736</v>
      </c>
      <c r="D9" s="92">
        <f>D6-E28</f>
        <v>269013.17</v>
      </c>
      <c r="E9" s="92">
        <f>E6-E33</f>
        <v>10000</v>
      </c>
      <c r="F9" s="151" t="s">
        <v>109</v>
      </c>
      <c r="G9" s="13"/>
      <c r="H9" s="13"/>
      <c r="I9" s="39"/>
    </row>
    <row r="10" spans="1:9" x14ac:dyDescent="0.2">
      <c r="A10" s="41" t="s">
        <v>132</v>
      </c>
      <c r="B10" s="309">
        <f>B8-E14-G14</f>
        <v>0</v>
      </c>
      <c r="C10" s="310">
        <f>C8-E18-G18</f>
        <v>163736</v>
      </c>
      <c r="D10" s="310">
        <f>D8-E28-G28</f>
        <v>269013.17</v>
      </c>
      <c r="E10" s="310">
        <f>E8-E33-G33</f>
        <v>10000</v>
      </c>
      <c r="F10" s="151" t="s">
        <v>110</v>
      </c>
      <c r="H10" s="145"/>
      <c r="I10" s="39"/>
    </row>
    <row r="11" spans="1:9" ht="21" thickBot="1" x14ac:dyDescent="0.35">
      <c r="A11" s="41"/>
      <c r="B11" s="13"/>
      <c r="C11" s="13"/>
      <c r="D11" s="13"/>
      <c r="E11" s="14"/>
      <c r="F11" s="13"/>
      <c r="G11" s="13"/>
      <c r="H11" s="13"/>
      <c r="I11" s="39"/>
    </row>
    <row r="12" spans="1:9" ht="51" x14ac:dyDescent="0.2">
      <c r="A12" s="15" t="s">
        <v>41</v>
      </c>
      <c r="B12" s="16" t="s">
        <v>34</v>
      </c>
      <c r="C12" s="20" t="s">
        <v>64</v>
      </c>
      <c r="D12" s="20" t="s">
        <v>63</v>
      </c>
      <c r="E12" s="16" t="s">
        <v>37</v>
      </c>
      <c r="F12" s="16" t="s">
        <v>40</v>
      </c>
      <c r="G12" s="16" t="s">
        <v>46</v>
      </c>
      <c r="H12" s="16" t="s">
        <v>38</v>
      </c>
      <c r="I12" s="17" t="s">
        <v>5</v>
      </c>
    </row>
    <row r="13" spans="1:9" x14ac:dyDescent="0.2">
      <c r="A13" s="32" t="s">
        <v>10</v>
      </c>
      <c r="B13" s="23" t="s">
        <v>10</v>
      </c>
      <c r="C13" s="60">
        <v>119782.82</v>
      </c>
      <c r="D13" s="53">
        <v>45299</v>
      </c>
      <c r="E13" s="60">
        <f>C13</f>
        <v>119782.82</v>
      </c>
      <c r="F13" s="23"/>
      <c r="G13" s="23" t="s">
        <v>1158</v>
      </c>
      <c r="H13" s="23" t="s">
        <v>974</v>
      </c>
      <c r="I13" s="24"/>
    </row>
    <row r="14" spans="1:9" x14ac:dyDescent="0.2">
      <c r="A14" s="25" t="s">
        <v>43</v>
      </c>
      <c r="B14" s="26"/>
      <c r="C14" s="64">
        <f>C13</f>
        <v>119782.82</v>
      </c>
      <c r="D14" s="26"/>
      <c r="E14" s="64">
        <f>E13</f>
        <v>119782.82</v>
      </c>
      <c r="F14" s="26"/>
      <c r="G14" s="61"/>
      <c r="H14" s="26"/>
      <c r="I14" s="27"/>
    </row>
    <row r="15" spans="1:9" x14ac:dyDescent="0.2">
      <c r="A15" s="34"/>
      <c r="B15" s="34"/>
      <c r="C15" s="62"/>
      <c r="D15" s="34"/>
      <c r="E15" s="62"/>
      <c r="F15" s="34"/>
      <c r="G15" s="62"/>
      <c r="H15" s="34"/>
      <c r="I15" s="34"/>
    </row>
    <row r="16" spans="1:9" x14ac:dyDescent="0.2">
      <c r="A16" s="33" t="s">
        <v>44</v>
      </c>
      <c r="B16" s="26"/>
      <c r="C16" s="61"/>
      <c r="D16" s="53"/>
      <c r="E16" s="61"/>
      <c r="F16" s="26"/>
      <c r="G16" s="87">
        <f>C16-E16</f>
        <v>0</v>
      </c>
      <c r="H16" s="26" t="s">
        <v>974</v>
      </c>
      <c r="I16" s="45"/>
    </row>
    <row r="17" spans="1:9" x14ac:dyDescent="0.2">
      <c r="A17" s="33"/>
      <c r="B17" s="26"/>
      <c r="C17" s="274"/>
      <c r="D17" s="275"/>
      <c r="E17" s="274"/>
      <c r="F17" s="26"/>
      <c r="G17" s="87"/>
      <c r="H17" s="26" t="s">
        <v>974</v>
      </c>
      <c r="I17" s="45"/>
    </row>
    <row r="18" spans="1:9" x14ac:dyDescent="0.2">
      <c r="A18" s="25" t="s">
        <v>43</v>
      </c>
      <c r="B18" s="26"/>
      <c r="C18" s="63">
        <f>C16+C17</f>
        <v>0</v>
      </c>
      <c r="D18" s="26"/>
      <c r="E18" s="63">
        <f>E16+E17</f>
        <v>0</v>
      </c>
      <c r="F18" s="26"/>
      <c r="G18" s="63">
        <f>SUM(G16:G17)</f>
        <v>0</v>
      </c>
      <c r="H18" s="26"/>
      <c r="I18" s="27"/>
    </row>
    <row r="19" spans="1:9" x14ac:dyDescent="0.2">
      <c r="A19" s="34"/>
      <c r="B19" s="34"/>
      <c r="C19" s="62"/>
      <c r="D19" s="34"/>
      <c r="E19" s="62"/>
      <c r="F19" s="34"/>
      <c r="G19" s="62"/>
      <c r="H19" s="34"/>
      <c r="I19" s="34"/>
    </row>
    <row r="20" spans="1:9" x14ac:dyDescent="0.2">
      <c r="A20" s="33" t="s">
        <v>42</v>
      </c>
      <c r="B20" s="140"/>
      <c r="C20" s="168"/>
      <c r="D20" s="141"/>
      <c r="E20" s="156"/>
      <c r="F20" s="56"/>
      <c r="G20" s="148"/>
      <c r="H20" s="140"/>
      <c r="I20" s="27"/>
    </row>
    <row r="21" spans="1:9" x14ac:dyDescent="0.2">
      <c r="A21" s="152"/>
      <c r="B21" s="140"/>
      <c r="C21" s="147"/>
      <c r="D21" s="141"/>
      <c r="E21" s="156"/>
      <c r="F21" s="56"/>
      <c r="G21" s="148"/>
      <c r="H21" s="140"/>
      <c r="I21" s="44"/>
    </row>
    <row r="22" spans="1:9" x14ac:dyDescent="0.2">
      <c r="A22" s="152"/>
      <c r="B22" s="140"/>
      <c r="C22" s="147"/>
      <c r="D22" s="141"/>
      <c r="E22" s="256"/>
      <c r="F22" s="56"/>
      <c r="G22" s="148"/>
      <c r="H22" s="140"/>
      <c r="I22" s="44"/>
    </row>
    <row r="23" spans="1:9" x14ac:dyDescent="0.2">
      <c r="A23" s="152"/>
      <c r="B23" s="140"/>
      <c r="C23" s="168"/>
      <c r="D23" s="141"/>
      <c r="E23" s="274"/>
      <c r="F23" s="56"/>
      <c r="G23" s="148"/>
      <c r="H23" s="140"/>
      <c r="I23" s="44"/>
    </row>
    <row r="24" spans="1:9" x14ac:dyDescent="0.2">
      <c r="A24" s="142"/>
      <c r="B24" s="150"/>
      <c r="C24" s="148"/>
      <c r="D24" s="56"/>
      <c r="E24" s="86"/>
      <c r="F24" s="55"/>
      <c r="G24" s="148"/>
      <c r="H24" s="150"/>
      <c r="I24" s="149"/>
    </row>
    <row r="25" spans="1:9" x14ac:dyDescent="0.2">
      <c r="A25" s="142"/>
      <c r="B25" s="150"/>
      <c r="C25" s="148"/>
      <c r="D25" s="56"/>
      <c r="E25" s="86"/>
      <c r="F25" s="55"/>
      <c r="G25" s="148"/>
      <c r="H25" s="150"/>
      <c r="I25" s="149"/>
    </row>
    <row r="26" spans="1:9" x14ac:dyDescent="0.2">
      <c r="A26" s="142"/>
      <c r="B26" s="150"/>
      <c r="C26" s="148"/>
      <c r="D26" s="56"/>
      <c r="E26" s="86"/>
      <c r="F26" s="55"/>
      <c r="G26" s="148"/>
      <c r="H26" s="150"/>
      <c r="I26" s="149"/>
    </row>
    <row r="27" spans="1:9" x14ac:dyDescent="0.2">
      <c r="A27" s="142"/>
      <c r="B27" s="306"/>
      <c r="C27" s="307"/>
      <c r="D27" s="56"/>
      <c r="E27" s="86"/>
      <c r="F27" s="55"/>
      <c r="G27" s="307"/>
      <c r="H27" s="306"/>
      <c r="I27" s="149"/>
    </row>
    <row r="28" spans="1:9" ht="13.5" thickBot="1" x14ac:dyDescent="0.25">
      <c r="A28" s="29" t="s">
        <v>43</v>
      </c>
      <c r="B28" s="30"/>
      <c r="C28" s="59">
        <f>SUM(C20:C27)</f>
        <v>0</v>
      </c>
      <c r="D28" s="30"/>
      <c r="E28" s="59">
        <f>SUM(E20:E27)</f>
        <v>0</v>
      </c>
      <c r="F28" s="57"/>
      <c r="G28" s="59">
        <f>SUM(G20:G27)</f>
        <v>0</v>
      </c>
      <c r="H28" s="324"/>
      <c r="I28" s="308"/>
    </row>
    <row r="29" spans="1:9" x14ac:dyDescent="0.2">
      <c r="A29" s="325"/>
      <c r="B29" s="325"/>
      <c r="C29" s="326"/>
      <c r="D29" s="325"/>
      <c r="E29" s="326"/>
      <c r="F29" s="327"/>
      <c r="G29" s="326"/>
      <c r="H29" s="328"/>
      <c r="I29" s="322"/>
    </row>
    <row r="30" spans="1:9" x14ac:dyDescent="0.2">
      <c r="A30" s="33" t="s">
        <v>975</v>
      </c>
      <c r="B30" s="140"/>
      <c r="C30" s="168"/>
      <c r="D30" s="141"/>
      <c r="E30" s="156"/>
      <c r="F30" s="56"/>
      <c r="G30" s="148"/>
      <c r="H30" s="140"/>
      <c r="I30" s="27"/>
    </row>
    <row r="31" spans="1:9" x14ac:dyDescent="0.2">
      <c r="A31" s="226"/>
      <c r="B31" s="140"/>
      <c r="C31" s="168"/>
      <c r="D31" s="141"/>
      <c r="E31" s="156"/>
      <c r="F31" s="56"/>
      <c r="G31" s="148"/>
      <c r="H31" s="140"/>
      <c r="I31" s="44"/>
    </row>
    <row r="32" spans="1:9" x14ac:dyDescent="0.2">
      <c r="A32" s="142"/>
      <c r="B32" s="150"/>
      <c r="C32" s="148"/>
      <c r="D32" s="56"/>
      <c r="E32" s="86"/>
      <c r="F32" s="55"/>
      <c r="G32" s="148"/>
      <c r="H32" s="150"/>
      <c r="I32" s="149"/>
    </row>
    <row r="33" spans="1:9" ht="13.5" thickBot="1" x14ac:dyDescent="0.25">
      <c r="A33" s="459" t="s">
        <v>43</v>
      </c>
      <c r="B33" s="460"/>
      <c r="C33" s="59">
        <f>SUM(C31:C32)</f>
        <v>0</v>
      </c>
      <c r="D33" s="460"/>
      <c r="E33" s="59">
        <f>SUM(E31:E32)</f>
        <v>0</v>
      </c>
      <c r="F33" s="460"/>
      <c r="G33" s="59">
        <f>SUM(G31:G32)</f>
        <v>0</v>
      </c>
      <c r="H33" s="460"/>
      <c r="I33" s="461"/>
    </row>
    <row r="34" spans="1:9" ht="13.5" thickBot="1" x14ac:dyDescent="0.25"/>
    <row r="35" spans="1:9" ht="21" thickBot="1" x14ac:dyDescent="0.25">
      <c r="A35" s="489" t="s">
        <v>970</v>
      </c>
      <c r="B35" s="490"/>
      <c r="C35" s="490"/>
      <c r="D35" s="490"/>
      <c r="E35" s="490"/>
      <c r="F35" s="490"/>
      <c r="G35" s="490"/>
      <c r="H35" s="490"/>
      <c r="I35" s="491"/>
    </row>
    <row r="36" spans="1:9" x14ac:dyDescent="0.2">
      <c r="A36" s="41"/>
      <c r="B36" s="13" t="s">
        <v>964</v>
      </c>
      <c r="C36" s="13" t="s">
        <v>965</v>
      </c>
      <c r="D36" s="91" t="s">
        <v>966</v>
      </c>
      <c r="E36" s="13" t="s">
        <v>967</v>
      </c>
      <c r="F36" s="13"/>
      <c r="G36" s="13"/>
      <c r="H36" s="13"/>
      <c r="I36" s="39"/>
    </row>
    <row r="37" spans="1:9" x14ac:dyDescent="0.2">
      <c r="A37" s="41" t="s">
        <v>971</v>
      </c>
      <c r="B37" s="214">
        <v>116294</v>
      </c>
      <c r="C37" s="214">
        <v>81868</v>
      </c>
      <c r="D37" s="214">
        <v>165313</v>
      </c>
      <c r="E37" s="214">
        <v>10000</v>
      </c>
      <c r="F37" s="151" t="s">
        <v>972</v>
      </c>
      <c r="G37" s="13"/>
      <c r="H37" s="13"/>
      <c r="I37" s="161" t="s">
        <v>973</v>
      </c>
    </row>
    <row r="38" spans="1:9" x14ac:dyDescent="0.2">
      <c r="A38" s="41" t="s">
        <v>36</v>
      </c>
      <c r="B38" s="92">
        <f>IF(B75&gt;1116294,116294,B75)</f>
        <v>0</v>
      </c>
      <c r="C38" s="92">
        <f>IF(C75&gt;81867.26,81867.264,C75)</f>
        <v>81867.263999999996</v>
      </c>
      <c r="D38" s="401">
        <f>IF(D76&gt;D70,D70,D76)</f>
        <v>-3.637978807091713E-11</v>
      </c>
      <c r="E38" s="92">
        <v>0</v>
      </c>
      <c r="F38" s="13"/>
      <c r="G38" s="13"/>
      <c r="H38" s="13"/>
      <c r="I38" s="402"/>
    </row>
    <row r="39" spans="1:9" x14ac:dyDescent="0.2">
      <c r="A39" s="41" t="s">
        <v>969</v>
      </c>
      <c r="B39" s="92">
        <f>SUM(B37:B38)</f>
        <v>116294</v>
      </c>
      <c r="C39" s="92">
        <f>SUM(C37:C38)</f>
        <v>163735.264</v>
      </c>
      <c r="D39" s="92">
        <f>SUM(D37:D38)</f>
        <v>165312.99999999997</v>
      </c>
      <c r="E39" s="92">
        <f>SUM(E37:E38)</f>
        <v>10000</v>
      </c>
      <c r="F39" s="130" t="s">
        <v>107</v>
      </c>
      <c r="G39" s="13"/>
      <c r="H39" s="13"/>
      <c r="I39" s="39"/>
    </row>
    <row r="40" spans="1:9" x14ac:dyDescent="0.2">
      <c r="A40" s="41" t="s">
        <v>47</v>
      </c>
      <c r="B40" s="92">
        <f>B76</f>
        <v>0</v>
      </c>
      <c r="C40" s="92">
        <f>IF(C76&gt;C38,C76,C38)</f>
        <v>81867.263999999996</v>
      </c>
      <c r="D40" s="92">
        <f>IF(D76&gt;D70,D70,D76)</f>
        <v>-3.637978807091713E-11</v>
      </c>
      <c r="E40" s="92">
        <v>0</v>
      </c>
      <c r="F40" s="92"/>
      <c r="G40" s="92"/>
      <c r="H40" s="92"/>
      <c r="I40" s="92"/>
    </row>
    <row r="41" spans="1:9" x14ac:dyDescent="0.2">
      <c r="A41" s="41" t="s">
        <v>479</v>
      </c>
      <c r="B41" s="92">
        <f>B37+B40</f>
        <v>116294</v>
      </c>
      <c r="C41" s="92">
        <f>C37+C40</f>
        <v>163735.264</v>
      </c>
      <c r="D41" s="92">
        <f>D37+D40</f>
        <v>165312.99999999997</v>
      </c>
      <c r="E41" s="92">
        <f>E37+E40</f>
        <v>10000</v>
      </c>
      <c r="F41" s="151" t="s">
        <v>108</v>
      </c>
      <c r="G41" s="13"/>
      <c r="H41" s="13"/>
      <c r="I41" s="39"/>
    </row>
    <row r="42" spans="1:9" x14ac:dyDescent="0.2">
      <c r="A42" s="41" t="s">
        <v>39</v>
      </c>
      <c r="B42" s="92">
        <f>B39-E47</f>
        <v>0</v>
      </c>
      <c r="C42" s="92">
        <f>C39-E51</f>
        <v>120231.07399999999</v>
      </c>
      <c r="D42" s="92">
        <f>D39-E61</f>
        <v>98740.77999999997</v>
      </c>
      <c r="E42" s="92">
        <f>E39-E66</f>
        <v>10000</v>
      </c>
      <c r="F42" s="151" t="s">
        <v>109</v>
      </c>
      <c r="G42" s="13"/>
      <c r="H42" s="13"/>
      <c r="I42" s="39"/>
    </row>
    <row r="43" spans="1:9" x14ac:dyDescent="0.2">
      <c r="A43" s="41" t="s">
        <v>132</v>
      </c>
      <c r="B43" s="309">
        <f>B41-E47-G47</f>
        <v>0</v>
      </c>
      <c r="C43" s="310">
        <f>C41-E51-G51</f>
        <v>120231.07399999999</v>
      </c>
      <c r="D43" s="310">
        <f>D41-E61-G61</f>
        <v>18662.999999999971</v>
      </c>
      <c r="E43" s="310">
        <f>E41-E66-G66</f>
        <v>10000</v>
      </c>
      <c r="F43" s="151" t="s">
        <v>110</v>
      </c>
      <c r="H43" s="145"/>
      <c r="I43" s="39"/>
    </row>
    <row r="44" spans="1:9" ht="21" thickBot="1" x14ac:dyDescent="0.35">
      <c r="A44" s="41"/>
      <c r="B44" s="13"/>
      <c r="C44" s="13"/>
      <c r="D44" s="13"/>
      <c r="E44" s="14"/>
      <c r="F44" s="13"/>
      <c r="G44" s="13"/>
      <c r="H44" s="13"/>
      <c r="I44" s="39"/>
    </row>
    <row r="45" spans="1:9" ht="51" x14ac:dyDescent="0.2">
      <c r="A45" s="15" t="s">
        <v>41</v>
      </c>
      <c r="B45" s="16" t="s">
        <v>34</v>
      </c>
      <c r="C45" s="20" t="s">
        <v>64</v>
      </c>
      <c r="D45" s="20" t="s">
        <v>63</v>
      </c>
      <c r="E45" s="16" t="s">
        <v>37</v>
      </c>
      <c r="F45" s="16" t="s">
        <v>40</v>
      </c>
      <c r="G45" s="16" t="s">
        <v>46</v>
      </c>
      <c r="H45" s="16" t="s">
        <v>38</v>
      </c>
      <c r="I45" s="17" t="s">
        <v>5</v>
      </c>
    </row>
    <row r="46" spans="1:9" x14ac:dyDescent="0.2">
      <c r="A46" s="32" t="s">
        <v>10</v>
      </c>
      <c r="B46" s="23" t="s">
        <v>10</v>
      </c>
      <c r="C46" s="60">
        <v>116294</v>
      </c>
      <c r="D46" s="53">
        <v>45000</v>
      </c>
      <c r="E46" s="60">
        <f>C46</f>
        <v>116294</v>
      </c>
      <c r="F46" s="23" t="s">
        <v>1010</v>
      </c>
      <c r="G46" s="23"/>
      <c r="H46" s="23" t="s">
        <v>974</v>
      </c>
      <c r="I46" s="24"/>
    </row>
    <row r="47" spans="1:9" x14ac:dyDescent="0.2">
      <c r="A47" s="25" t="s">
        <v>43</v>
      </c>
      <c r="B47" s="26"/>
      <c r="C47" s="64">
        <f>C46</f>
        <v>116294</v>
      </c>
      <c r="D47" s="26"/>
      <c r="E47" s="64">
        <f>E46</f>
        <v>116294</v>
      </c>
      <c r="F47" s="26"/>
      <c r="G47" s="61"/>
      <c r="H47" s="26"/>
      <c r="I47" s="27"/>
    </row>
    <row r="48" spans="1:9" x14ac:dyDescent="0.2">
      <c r="A48" s="34"/>
      <c r="B48" s="34"/>
      <c r="C48" s="62"/>
      <c r="D48" s="34"/>
      <c r="E48" s="62"/>
      <c r="F48" s="34"/>
      <c r="G48" s="62"/>
      <c r="H48" s="34"/>
      <c r="I48" s="34"/>
    </row>
    <row r="49" spans="1:9" x14ac:dyDescent="0.2">
      <c r="A49" s="33" t="s">
        <v>44</v>
      </c>
      <c r="B49" s="26" t="s">
        <v>567</v>
      </c>
      <c r="C49" s="61">
        <v>28070.49</v>
      </c>
      <c r="D49" s="53" t="s">
        <v>1043</v>
      </c>
      <c r="E49" s="61">
        <v>28070.49</v>
      </c>
      <c r="F49" s="26" t="s">
        <v>1043</v>
      </c>
      <c r="G49" s="87">
        <f>C49-E49</f>
        <v>0</v>
      </c>
      <c r="H49" s="26" t="s">
        <v>974</v>
      </c>
      <c r="I49" s="45"/>
    </row>
    <row r="50" spans="1:9" x14ac:dyDescent="0.2">
      <c r="A50" s="33"/>
      <c r="B50" s="26" t="s">
        <v>567</v>
      </c>
      <c r="C50" s="274">
        <v>15433.7</v>
      </c>
      <c r="D50" s="275">
        <v>45197</v>
      </c>
      <c r="E50" s="274">
        <v>15433.7</v>
      </c>
      <c r="F50" s="26" t="s">
        <v>1120</v>
      </c>
      <c r="G50" s="87"/>
      <c r="H50" s="26" t="s">
        <v>974</v>
      </c>
      <c r="I50" s="45"/>
    </row>
    <row r="51" spans="1:9" x14ac:dyDescent="0.2">
      <c r="A51" s="25" t="s">
        <v>43</v>
      </c>
      <c r="B51" s="26"/>
      <c r="C51" s="63">
        <f>C49+C50</f>
        <v>43504.19</v>
      </c>
      <c r="D51" s="26"/>
      <c r="E51" s="63">
        <f>E49+E50</f>
        <v>43504.19</v>
      </c>
      <c r="F51" s="26"/>
      <c r="G51" s="63">
        <f>SUM(G49:G50)</f>
        <v>0</v>
      </c>
      <c r="H51" s="26"/>
      <c r="I51" s="27"/>
    </row>
    <row r="52" spans="1:9" x14ac:dyDescent="0.2">
      <c r="A52" s="34"/>
      <c r="B52" s="34"/>
      <c r="C52" s="62"/>
      <c r="D52" s="34"/>
      <c r="E52" s="62"/>
      <c r="F52" s="34"/>
      <c r="G52" s="62"/>
      <c r="H52" s="34"/>
      <c r="I52" s="34"/>
    </row>
    <row r="53" spans="1:9" x14ac:dyDescent="0.2">
      <c r="A53" s="33" t="s">
        <v>42</v>
      </c>
      <c r="B53" s="140"/>
      <c r="C53" s="168"/>
      <c r="D53" s="141"/>
      <c r="E53" s="156"/>
      <c r="F53" s="56"/>
      <c r="G53" s="148"/>
      <c r="H53" s="140"/>
      <c r="I53" s="27"/>
    </row>
    <row r="54" spans="1:9" x14ac:dyDescent="0.2">
      <c r="A54" s="152"/>
      <c r="B54" s="140" t="s">
        <v>532</v>
      </c>
      <c r="C54" s="147">
        <v>40000</v>
      </c>
      <c r="D54" s="141" t="s">
        <v>1041</v>
      </c>
      <c r="E54" s="156">
        <v>9922.2199999999993</v>
      </c>
      <c r="F54" s="56" t="s">
        <v>1125</v>
      </c>
      <c r="G54" s="148">
        <f>C54-E54</f>
        <v>30077.78</v>
      </c>
      <c r="H54" s="140" t="s">
        <v>1026</v>
      </c>
      <c r="I54" s="44" t="s">
        <v>866</v>
      </c>
    </row>
    <row r="55" spans="1:9" x14ac:dyDescent="0.2">
      <c r="A55" s="152"/>
      <c r="B55" s="140"/>
      <c r="C55" s="147"/>
      <c r="D55" s="141"/>
      <c r="E55" s="256"/>
      <c r="F55" s="56"/>
      <c r="G55" s="148"/>
      <c r="H55" s="140"/>
      <c r="I55" s="44"/>
    </row>
    <row r="56" spans="1:9" x14ac:dyDescent="0.2">
      <c r="A56" s="152"/>
      <c r="B56" s="140" t="s">
        <v>532</v>
      </c>
      <c r="C56" s="168">
        <v>38845</v>
      </c>
      <c r="D56" s="141" t="s">
        <v>1071</v>
      </c>
      <c r="E56" s="274">
        <v>38845</v>
      </c>
      <c r="F56" s="56" t="s">
        <v>1124</v>
      </c>
      <c r="G56" s="148"/>
      <c r="H56" s="140" t="s">
        <v>1039</v>
      </c>
      <c r="I56" s="44" t="s">
        <v>1064</v>
      </c>
    </row>
    <row r="57" spans="1:9" x14ac:dyDescent="0.2">
      <c r="A57" s="142"/>
      <c r="B57" s="150" t="s">
        <v>10</v>
      </c>
      <c r="C57" s="148">
        <v>28843.91</v>
      </c>
      <c r="D57" s="56" t="s">
        <v>1072</v>
      </c>
      <c r="E57" s="86">
        <v>17805</v>
      </c>
      <c r="F57" s="55" t="s">
        <v>1138</v>
      </c>
      <c r="G57" s="148">
        <f>C57-E57</f>
        <v>11038.91</v>
      </c>
      <c r="H57" s="150" t="s">
        <v>1039</v>
      </c>
      <c r="I57" s="149" t="s">
        <v>1064</v>
      </c>
    </row>
    <row r="58" spans="1:9" x14ac:dyDescent="0.2">
      <c r="A58" s="142"/>
      <c r="B58" s="150"/>
      <c r="C58" s="148"/>
      <c r="D58" s="56"/>
      <c r="E58" s="86"/>
      <c r="F58" s="55"/>
      <c r="G58" s="148">
        <v>-11038.91</v>
      </c>
      <c r="H58" s="150"/>
      <c r="I58" s="149" t="s">
        <v>99</v>
      </c>
    </row>
    <row r="59" spans="1:9" x14ac:dyDescent="0.2">
      <c r="A59" s="142"/>
      <c r="B59" s="150" t="s">
        <v>10</v>
      </c>
      <c r="C59" s="148">
        <v>50000</v>
      </c>
      <c r="D59" s="56"/>
      <c r="E59" s="86"/>
      <c r="F59" s="55"/>
      <c r="G59" s="148">
        <v>50000</v>
      </c>
      <c r="H59" s="150" t="s">
        <v>1026</v>
      </c>
      <c r="I59" s="149"/>
    </row>
    <row r="60" spans="1:9" x14ac:dyDescent="0.2">
      <c r="A60" s="142"/>
      <c r="B60" s="306"/>
      <c r="C60" s="307"/>
      <c r="D60" s="56"/>
      <c r="E60" s="86"/>
      <c r="F60" s="55"/>
      <c r="G60" s="307"/>
      <c r="H60" s="306"/>
      <c r="I60" s="149"/>
    </row>
    <row r="61" spans="1:9" ht="13.5" thickBot="1" x14ac:dyDescent="0.25">
      <c r="A61" s="29" t="s">
        <v>43</v>
      </c>
      <c r="B61" s="30"/>
      <c r="C61" s="59">
        <f>SUM(C53:C60)</f>
        <v>157688.91</v>
      </c>
      <c r="D61" s="30"/>
      <c r="E61" s="59">
        <f>SUM(E53:E60)</f>
        <v>66572.22</v>
      </c>
      <c r="F61" s="57"/>
      <c r="G61" s="59">
        <f>SUM(G53:G60)</f>
        <v>80077.78</v>
      </c>
      <c r="H61" s="324"/>
      <c r="I61" s="308"/>
    </row>
    <row r="62" spans="1:9" x14ac:dyDescent="0.2">
      <c r="A62" s="325"/>
      <c r="B62" s="325"/>
      <c r="C62" s="326"/>
      <c r="D62" s="325"/>
      <c r="E62" s="326"/>
      <c r="F62" s="327"/>
      <c r="G62" s="326"/>
      <c r="H62" s="328"/>
      <c r="I62" s="322"/>
    </row>
    <row r="63" spans="1:9" x14ac:dyDescent="0.2">
      <c r="A63" s="33" t="s">
        <v>975</v>
      </c>
      <c r="B63" s="140"/>
      <c r="C63" s="168"/>
      <c r="D63" s="141"/>
      <c r="E63" s="156"/>
      <c r="F63" s="56"/>
      <c r="G63" s="148"/>
      <c r="H63" s="140"/>
      <c r="I63" s="27"/>
    </row>
    <row r="64" spans="1:9" x14ac:dyDescent="0.2">
      <c r="A64" s="226"/>
      <c r="B64" s="140"/>
      <c r="C64" s="168"/>
      <c r="D64" s="141"/>
      <c r="E64" s="156"/>
      <c r="F64" s="56"/>
      <c r="G64" s="148"/>
      <c r="H64" s="140"/>
      <c r="I64" s="44"/>
    </row>
    <row r="65" spans="1:9" x14ac:dyDescent="0.2">
      <c r="A65" s="142"/>
      <c r="B65" s="150"/>
      <c r="C65" s="148"/>
      <c r="D65" s="56"/>
      <c r="E65" s="86"/>
      <c r="F65" s="55"/>
      <c r="G65" s="148"/>
      <c r="H65" s="150"/>
      <c r="I65" s="149"/>
    </row>
    <row r="66" spans="1:9" x14ac:dyDescent="0.2">
      <c r="A66" s="25" t="s">
        <v>43</v>
      </c>
      <c r="B66" s="26"/>
      <c r="C66" s="63">
        <f>SUM(C64:C65)</f>
        <v>0</v>
      </c>
      <c r="D66" s="26"/>
      <c r="E66" s="63">
        <f>SUM(E64:E65)</f>
        <v>0</v>
      </c>
      <c r="F66" s="26"/>
      <c r="G66" s="63">
        <f>SUM(G64:G65)</f>
        <v>0</v>
      </c>
      <c r="H66" s="26"/>
      <c r="I66" s="27"/>
    </row>
    <row r="67" spans="1:9" ht="13.5" hidden="1" thickBot="1" x14ac:dyDescent="0.25"/>
    <row r="68" spans="1:9" ht="21" hidden="1" thickBot="1" x14ac:dyDescent="0.25">
      <c r="A68" s="489" t="s">
        <v>865</v>
      </c>
      <c r="B68" s="490"/>
      <c r="C68" s="490"/>
      <c r="D68" s="490"/>
      <c r="E68" s="490"/>
      <c r="F68" s="490"/>
      <c r="G68" s="490"/>
      <c r="H68" s="490"/>
      <c r="I68" s="491"/>
    </row>
    <row r="69" spans="1:9" ht="20.25" hidden="1" x14ac:dyDescent="0.3">
      <c r="A69" s="41"/>
      <c r="B69" s="13" t="s">
        <v>859</v>
      </c>
      <c r="C69" s="13" t="s">
        <v>860</v>
      </c>
      <c r="D69" s="91" t="s">
        <v>861</v>
      </c>
      <c r="E69" s="14"/>
      <c r="F69" s="13"/>
      <c r="G69" s="13"/>
      <c r="H69" s="13"/>
      <c r="I69" s="39"/>
    </row>
    <row r="70" spans="1:9" ht="20.25" hidden="1" x14ac:dyDescent="0.3">
      <c r="A70" s="41" t="s">
        <v>864</v>
      </c>
      <c r="B70" s="214">
        <v>101125</v>
      </c>
      <c r="C70" s="214">
        <f>C102*1.03</f>
        <v>81867.259821779997</v>
      </c>
      <c r="D70" s="214">
        <v>143750</v>
      </c>
      <c r="E70" s="14"/>
      <c r="F70" s="13"/>
      <c r="G70" s="13"/>
      <c r="H70" s="13"/>
      <c r="I70" s="39"/>
    </row>
    <row r="71" spans="1:9" ht="20.25" hidden="1" x14ac:dyDescent="0.3">
      <c r="A71" s="41" t="s">
        <v>36</v>
      </c>
      <c r="B71" s="92">
        <f>IF(B108&gt;101125,101125,B108)</f>
        <v>0</v>
      </c>
      <c r="C71" s="92">
        <f>IF(C107&gt;81867.26,81867.264,C107)</f>
        <v>57414.540725999999</v>
      </c>
      <c r="D71" s="92">
        <f>IF(D108&gt;143750,143750,D108)</f>
        <v>1512.1799999999748</v>
      </c>
      <c r="E71" s="14"/>
      <c r="F71" s="13"/>
      <c r="G71" s="13"/>
      <c r="H71" s="13"/>
      <c r="I71" s="39"/>
    </row>
    <row r="72" spans="1:9" hidden="1" x14ac:dyDescent="0.2">
      <c r="A72" s="41" t="s">
        <v>862</v>
      </c>
      <c r="B72" s="92">
        <f>SUM(B70:B71)</f>
        <v>101125</v>
      </c>
      <c r="C72" s="92">
        <f>SUM(C70:C71)</f>
        <v>139281.80054778</v>
      </c>
      <c r="D72" s="92">
        <f>SUM(D70:D71)</f>
        <v>145262.17999999996</v>
      </c>
      <c r="E72" s="130" t="s">
        <v>107</v>
      </c>
      <c r="F72" s="13"/>
      <c r="G72" s="13"/>
      <c r="H72" s="13"/>
      <c r="I72" s="39"/>
    </row>
    <row r="73" spans="1:9" hidden="1" x14ac:dyDescent="0.2">
      <c r="A73" s="41" t="s">
        <v>47</v>
      </c>
      <c r="B73" s="92">
        <f>B108</f>
        <v>0</v>
      </c>
      <c r="C73" s="92">
        <f>IF(C108&gt;C103,C108,C103)</f>
        <v>57414.540725999999</v>
      </c>
      <c r="D73" s="92">
        <f>IF(D108&gt;143750, 143750,D108)</f>
        <v>1512.1799999999748</v>
      </c>
      <c r="E73" s="493"/>
      <c r="F73" s="493"/>
      <c r="G73" s="493"/>
      <c r="H73" s="493"/>
      <c r="I73" s="512"/>
    </row>
    <row r="74" spans="1:9" hidden="1" x14ac:dyDescent="0.2">
      <c r="A74" s="41" t="s">
        <v>479</v>
      </c>
      <c r="B74" s="92">
        <f>B70+B73</f>
        <v>101125</v>
      </c>
      <c r="C74" s="92">
        <f>C70+C73</f>
        <v>139281.80054778</v>
      </c>
      <c r="D74" s="92">
        <f>D70+D73</f>
        <v>145262.17999999996</v>
      </c>
      <c r="E74" s="151" t="s">
        <v>108</v>
      </c>
      <c r="F74" s="13"/>
      <c r="G74" s="13"/>
      <c r="H74" s="13"/>
      <c r="I74" s="39"/>
    </row>
    <row r="75" spans="1:9" hidden="1" x14ac:dyDescent="0.2">
      <c r="A75" s="41" t="s">
        <v>39</v>
      </c>
      <c r="B75" s="92">
        <f>B72-E80</f>
        <v>0</v>
      </c>
      <c r="C75" s="92">
        <f>C72-E84</f>
        <v>125709.05054778</v>
      </c>
      <c r="D75" s="92">
        <f>D72-E98</f>
        <v>26201.789999999964</v>
      </c>
      <c r="E75" s="151" t="s">
        <v>109</v>
      </c>
      <c r="F75" s="13"/>
      <c r="G75" s="13"/>
      <c r="H75" s="13"/>
      <c r="I75" s="39"/>
    </row>
    <row r="76" spans="1:9" ht="22.5" hidden="1" x14ac:dyDescent="0.2">
      <c r="A76" s="41" t="s">
        <v>132</v>
      </c>
      <c r="B76" s="309">
        <f>B74-E80-G80</f>
        <v>0</v>
      </c>
      <c r="C76" s="310">
        <f>C74-E84-G84</f>
        <v>31397.230547779996</v>
      </c>
      <c r="D76" s="400">
        <f>D74-E98-G98</f>
        <v>-3.637978807091713E-11</v>
      </c>
      <c r="E76" s="151" t="s">
        <v>110</v>
      </c>
      <c r="F76" s="145"/>
      <c r="G76" s="145"/>
      <c r="H76" s="145"/>
      <c r="I76" s="432" t="s">
        <v>1075</v>
      </c>
    </row>
    <row r="77" spans="1:9" ht="21" hidden="1" thickBot="1" x14ac:dyDescent="0.35">
      <c r="A77" s="41"/>
      <c r="B77" s="13"/>
      <c r="C77" s="13"/>
      <c r="D77" s="13"/>
      <c r="E77" s="14"/>
      <c r="F77" s="13"/>
      <c r="G77" s="13"/>
      <c r="H77" s="13"/>
      <c r="I77" s="39"/>
    </row>
    <row r="78" spans="1:9" ht="51" hidden="1" x14ac:dyDescent="0.2">
      <c r="A78" s="15" t="s">
        <v>41</v>
      </c>
      <c r="B78" s="16" t="s">
        <v>34</v>
      </c>
      <c r="C78" s="20" t="s">
        <v>64</v>
      </c>
      <c r="D78" s="20" t="s">
        <v>63</v>
      </c>
      <c r="E78" s="16" t="s">
        <v>37</v>
      </c>
      <c r="F78" s="16" t="s">
        <v>40</v>
      </c>
      <c r="G78" s="16" t="s">
        <v>46</v>
      </c>
      <c r="H78" s="16" t="s">
        <v>38</v>
      </c>
      <c r="I78" s="17" t="s">
        <v>5</v>
      </c>
    </row>
    <row r="79" spans="1:9" hidden="1" x14ac:dyDescent="0.2">
      <c r="A79" s="32" t="s">
        <v>10</v>
      </c>
      <c r="B79" s="23" t="s">
        <v>10</v>
      </c>
      <c r="C79" s="60">
        <v>101125</v>
      </c>
      <c r="D79" s="53">
        <v>44586</v>
      </c>
      <c r="E79" s="60">
        <f>C79</f>
        <v>101125</v>
      </c>
      <c r="F79" s="23" t="s">
        <v>881</v>
      </c>
      <c r="G79" s="23"/>
      <c r="H79" s="23" t="s">
        <v>487</v>
      </c>
      <c r="I79" s="24"/>
    </row>
    <row r="80" spans="1:9" hidden="1" x14ac:dyDescent="0.2">
      <c r="A80" s="25" t="s">
        <v>43</v>
      </c>
      <c r="B80" s="26"/>
      <c r="C80" s="64">
        <f>C79</f>
        <v>101125</v>
      </c>
      <c r="D80" s="26"/>
      <c r="E80" s="64">
        <f>E79</f>
        <v>101125</v>
      </c>
      <c r="F80" s="26"/>
      <c r="G80" s="61"/>
      <c r="H80" s="26"/>
      <c r="I80" s="27"/>
    </row>
    <row r="81" spans="1:9" hidden="1" x14ac:dyDescent="0.2">
      <c r="A81" s="34"/>
      <c r="B81" s="34"/>
      <c r="C81" s="62"/>
      <c r="D81" s="34"/>
      <c r="E81" s="62"/>
      <c r="F81" s="34"/>
      <c r="G81" s="62"/>
      <c r="H81" s="34"/>
      <c r="I81" s="34"/>
    </row>
    <row r="82" spans="1:9" hidden="1" x14ac:dyDescent="0.2">
      <c r="A82" s="33" t="s">
        <v>44</v>
      </c>
      <c r="B82" s="26" t="s">
        <v>567</v>
      </c>
      <c r="C82" s="61">
        <v>13572.75</v>
      </c>
      <c r="D82" s="53" t="s">
        <v>911</v>
      </c>
      <c r="E82" s="61">
        <v>13572.75</v>
      </c>
      <c r="F82" s="26" t="s">
        <v>911</v>
      </c>
      <c r="G82" s="87">
        <f>C82-E82</f>
        <v>0</v>
      </c>
      <c r="H82" s="26" t="s">
        <v>487</v>
      </c>
      <c r="I82" s="45"/>
    </row>
    <row r="83" spans="1:9" hidden="1" x14ac:dyDescent="0.2">
      <c r="A83" s="33"/>
      <c r="B83" s="26" t="s">
        <v>567</v>
      </c>
      <c r="C83" s="274"/>
      <c r="D83" s="275"/>
      <c r="E83" s="274"/>
      <c r="F83" s="26" t="s">
        <v>937</v>
      </c>
      <c r="G83" s="87">
        <v>94311.82</v>
      </c>
      <c r="H83" s="26" t="s">
        <v>487</v>
      </c>
      <c r="I83" s="45"/>
    </row>
    <row r="84" spans="1:9" hidden="1" x14ac:dyDescent="0.2">
      <c r="A84" s="25" t="s">
        <v>43</v>
      </c>
      <c r="B84" s="26"/>
      <c r="C84" s="63">
        <f>C82+C83</f>
        <v>13572.75</v>
      </c>
      <c r="D84" s="26"/>
      <c r="E84" s="63">
        <f>E82+E83</f>
        <v>13572.75</v>
      </c>
      <c r="F84" s="26"/>
      <c r="G84" s="63">
        <f>SUM(G82:G83)</f>
        <v>94311.82</v>
      </c>
      <c r="H84" s="26"/>
      <c r="I84" s="27"/>
    </row>
    <row r="85" spans="1:9" hidden="1" x14ac:dyDescent="0.2">
      <c r="A85" s="34"/>
      <c r="B85" s="34"/>
      <c r="C85" s="62"/>
      <c r="D85" s="34"/>
      <c r="E85" s="62"/>
      <c r="F85" s="34"/>
      <c r="G85" s="62"/>
      <c r="H85" s="34"/>
      <c r="I85" s="34"/>
    </row>
    <row r="86" spans="1:9" hidden="1" x14ac:dyDescent="0.2">
      <c r="A86" s="33" t="s">
        <v>42</v>
      </c>
      <c r="B86" s="140"/>
      <c r="C86" s="168"/>
      <c r="D86" s="141"/>
      <c r="E86" s="156"/>
      <c r="F86" s="56"/>
      <c r="G86" s="148"/>
      <c r="H86" s="140"/>
      <c r="I86" s="27"/>
    </row>
    <row r="87" spans="1:9" hidden="1" x14ac:dyDescent="0.2">
      <c r="A87" s="152"/>
      <c r="B87" s="140" t="s">
        <v>532</v>
      </c>
      <c r="C87" s="147">
        <v>26201.79</v>
      </c>
      <c r="D87" s="141" t="s">
        <v>845</v>
      </c>
      <c r="E87" s="156"/>
      <c r="F87" s="56"/>
      <c r="G87" s="148">
        <v>26201.79</v>
      </c>
      <c r="H87" s="140" t="s">
        <v>834</v>
      </c>
      <c r="I87" s="44" t="s">
        <v>866</v>
      </c>
    </row>
    <row r="88" spans="1:9" hidden="1" x14ac:dyDescent="0.2">
      <c r="A88" s="152"/>
      <c r="B88" s="140" t="s">
        <v>532</v>
      </c>
      <c r="C88" s="168">
        <v>27642.18</v>
      </c>
      <c r="D88" s="141" t="s">
        <v>912</v>
      </c>
      <c r="E88" s="274">
        <v>27642.18</v>
      </c>
      <c r="F88" s="56" t="s">
        <v>926</v>
      </c>
      <c r="G88" s="148"/>
      <c r="H88" s="140" t="s">
        <v>903</v>
      </c>
      <c r="I88" s="44"/>
    </row>
    <row r="89" spans="1:9" hidden="1" x14ac:dyDescent="0.2">
      <c r="A89" s="142"/>
      <c r="B89" s="150" t="s">
        <v>532</v>
      </c>
      <c r="C89" s="148">
        <v>18428.12</v>
      </c>
      <c r="D89" s="56" t="s">
        <v>910</v>
      </c>
      <c r="E89" s="86">
        <v>18428.12</v>
      </c>
      <c r="F89" s="55" t="s">
        <v>927</v>
      </c>
      <c r="G89" s="148"/>
      <c r="H89" s="150" t="s">
        <v>904</v>
      </c>
      <c r="I89" s="149"/>
    </row>
    <row r="90" spans="1:9" hidden="1" x14ac:dyDescent="0.2">
      <c r="A90" s="142"/>
      <c r="B90" s="150" t="s">
        <v>10</v>
      </c>
      <c r="C90" s="148">
        <v>22272</v>
      </c>
      <c r="D90" s="56" t="s">
        <v>916</v>
      </c>
      <c r="E90" s="86">
        <v>17299</v>
      </c>
      <c r="F90" s="55" t="s">
        <v>1015</v>
      </c>
      <c r="G90" s="148">
        <f>22272-17299</f>
        <v>4973</v>
      </c>
      <c r="H90" s="150" t="s">
        <v>904</v>
      </c>
      <c r="I90" s="149"/>
    </row>
    <row r="91" spans="1:9" hidden="1" x14ac:dyDescent="0.2">
      <c r="A91" s="142"/>
      <c r="B91" s="150"/>
      <c r="C91" s="148"/>
      <c r="D91" s="56"/>
      <c r="E91" s="86"/>
      <c r="F91" s="55"/>
      <c r="G91" s="148">
        <v>-4973</v>
      </c>
      <c r="H91" s="150"/>
      <c r="I91" s="149" t="s">
        <v>1013</v>
      </c>
    </row>
    <row r="92" spans="1:9" hidden="1" x14ac:dyDescent="0.2">
      <c r="A92" s="142"/>
      <c r="B92" s="306" t="s">
        <v>10</v>
      </c>
      <c r="C92" s="307">
        <v>50000</v>
      </c>
      <c r="D92" s="56" t="s">
        <v>917</v>
      </c>
      <c r="E92" s="86">
        <v>48380</v>
      </c>
      <c r="F92" s="55" t="s">
        <v>1016</v>
      </c>
      <c r="G92" s="307">
        <f>50000-E92</f>
        <v>1620</v>
      </c>
      <c r="H92" s="306" t="s">
        <v>903</v>
      </c>
      <c r="I92" s="308"/>
    </row>
    <row r="93" spans="1:9" hidden="1" x14ac:dyDescent="0.2">
      <c r="A93" s="142"/>
      <c r="B93" s="150"/>
      <c r="C93" s="148"/>
      <c r="D93" s="56"/>
      <c r="E93" s="86"/>
      <c r="F93" s="55"/>
      <c r="G93" s="148">
        <v>-1620</v>
      </c>
      <c r="H93" s="150"/>
      <c r="I93" s="149" t="s">
        <v>1013</v>
      </c>
    </row>
    <row r="94" spans="1:9" hidden="1" x14ac:dyDescent="0.2">
      <c r="A94" s="142"/>
      <c r="B94" s="150" t="s">
        <v>263</v>
      </c>
      <c r="C94" s="156">
        <v>16936</v>
      </c>
      <c r="D94" s="56">
        <v>44679</v>
      </c>
      <c r="E94" s="86"/>
      <c r="F94" s="55"/>
      <c r="G94" s="148"/>
      <c r="H94" s="150" t="s">
        <v>903</v>
      </c>
      <c r="I94" s="149" t="s">
        <v>1023</v>
      </c>
    </row>
    <row r="95" spans="1:9" hidden="1" x14ac:dyDescent="0.2">
      <c r="A95" s="142"/>
      <c r="B95" s="150"/>
      <c r="C95" s="148">
        <v>-16936</v>
      </c>
      <c r="D95" s="56">
        <v>44795</v>
      </c>
      <c r="E95" s="86"/>
      <c r="F95" s="55"/>
      <c r="G95" s="148"/>
      <c r="H95" s="150"/>
      <c r="I95" s="149" t="s">
        <v>1024</v>
      </c>
    </row>
    <row r="96" spans="1:9" hidden="1" x14ac:dyDescent="0.2">
      <c r="A96" s="155" t="s">
        <v>113</v>
      </c>
      <c r="B96" s="150"/>
      <c r="C96" s="148"/>
      <c r="D96" s="56">
        <v>44859</v>
      </c>
      <c r="E96" s="86"/>
      <c r="F96" s="55"/>
      <c r="G96" s="148"/>
      <c r="H96" s="150"/>
      <c r="I96" s="44" t="s">
        <v>1025</v>
      </c>
    </row>
    <row r="97" spans="1:9" ht="25.5" hidden="1" x14ac:dyDescent="0.2">
      <c r="A97" s="155"/>
      <c r="B97" s="150"/>
      <c r="C97" s="403">
        <v>22120</v>
      </c>
      <c r="D97" s="399" t="s">
        <v>1073</v>
      </c>
      <c r="E97" s="438">
        <v>7311.09</v>
      </c>
      <c r="F97" s="439" t="s">
        <v>1128</v>
      </c>
      <c r="G97" s="148"/>
      <c r="H97" s="150"/>
      <c r="I97" s="404" t="s">
        <v>1074</v>
      </c>
    </row>
    <row r="98" spans="1:9" ht="13.5" hidden="1" thickBot="1" x14ac:dyDescent="0.25">
      <c r="A98" s="29" t="s">
        <v>43</v>
      </c>
      <c r="B98" s="30"/>
      <c r="C98" s="59">
        <f>SUM(C86:C97)</f>
        <v>166664.09</v>
      </c>
      <c r="D98" s="30"/>
      <c r="E98" s="59">
        <f>SUM(E86:E97)</f>
        <v>119060.39</v>
      </c>
      <c r="F98" s="57"/>
      <c r="G98" s="59">
        <f>SUM(G86:G97)</f>
        <v>26201.79</v>
      </c>
      <c r="H98" s="30"/>
      <c r="I98" s="31"/>
    </row>
    <row r="99" spans="1:9" ht="13.5" hidden="1" thickBot="1" x14ac:dyDescent="0.25"/>
    <row r="100" spans="1:9" ht="21" hidden="1" thickBot="1" x14ac:dyDescent="0.25">
      <c r="A100" s="489" t="s">
        <v>783</v>
      </c>
      <c r="B100" s="490"/>
      <c r="C100" s="490"/>
      <c r="D100" s="490"/>
      <c r="E100" s="490"/>
      <c r="F100" s="490"/>
      <c r="G100" s="490"/>
      <c r="H100" s="490"/>
      <c r="I100" s="491"/>
    </row>
    <row r="101" spans="1:9" ht="20.25" hidden="1" x14ac:dyDescent="0.3">
      <c r="A101" s="41"/>
      <c r="B101" s="13" t="s">
        <v>780</v>
      </c>
      <c r="C101" s="13" t="s">
        <v>781</v>
      </c>
      <c r="D101" s="91" t="s">
        <v>782</v>
      </c>
      <c r="E101" s="14"/>
      <c r="F101" s="13"/>
      <c r="G101" s="13"/>
      <c r="H101" s="13"/>
      <c r="I101" s="39"/>
    </row>
    <row r="102" spans="1:9" ht="20.25" hidden="1" x14ac:dyDescent="0.3">
      <c r="A102" s="41" t="s">
        <v>784</v>
      </c>
      <c r="B102" s="214">
        <v>101125</v>
      </c>
      <c r="C102" s="214">
        <f>C136*1.03</f>
        <v>79482.776526000001</v>
      </c>
      <c r="D102" s="214">
        <v>143750</v>
      </c>
      <c r="E102" s="14"/>
      <c r="F102" s="13"/>
      <c r="G102" s="13"/>
      <c r="H102" s="13"/>
      <c r="I102" s="39"/>
    </row>
    <row r="103" spans="1:9" ht="20.25" hidden="1" x14ac:dyDescent="0.3">
      <c r="A103" s="41" t="s">
        <v>36</v>
      </c>
      <c r="B103" s="92">
        <f>IF(B141&gt;101125,101125,B141)</f>
        <v>0</v>
      </c>
      <c r="C103" s="92">
        <f>IF(C141&gt;74920.14,74920.14,C141)</f>
        <v>4.1999999957624823E-3</v>
      </c>
      <c r="D103" s="92">
        <f>IF(D141&gt;143750,143750,D141)</f>
        <v>55151.929999999964</v>
      </c>
      <c r="E103" s="14"/>
      <c r="F103" s="13"/>
      <c r="G103" s="13"/>
      <c r="H103" s="13"/>
      <c r="I103" s="39"/>
    </row>
    <row r="104" spans="1:9" hidden="1" x14ac:dyDescent="0.2">
      <c r="A104" s="41" t="s">
        <v>785</v>
      </c>
      <c r="B104" s="92">
        <f>SUM(B102:B103)</f>
        <v>101125</v>
      </c>
      <c r="C104" s="92">
        <f>SUM(C102:C103)</f>
        <v>79482.780725999997</v>
      </c>
      <c r="D104" s="92">
        <f>SUM(D102:D103)</f>
        <v>198901.92999999996</v>
      </c>
      <c r="E104" s="130" t="s">
        <v>107</v>
      </c>
      <c r="F104" s="13"/>
      <c r="G104" s="13"/>
      <c r="H104" s="13"/>
      <c r="I104" s="39"/>
    </row>
    <row r="105" spans="1:9" hidden="1" x14ac:dyDescent="0.2">
      <c r="A105" s="41" t="s">
        <v>47</v>
      </c>
      <c r="B105" s="92">
        <f>B141</f>
        <v>0</v>
      </c>
      <c r="C105" s="92">
        <f>IF(C141&gt;C136,C136,C141)</f>
        <v>4.1999999957624823E-3</v>
      </c>
      <c r="D105" s="92">
        <f>IF(D142&gt;143750, 143750,D142)</f>
        <v>13838.179999999964</v>
      </c>
      <c r="E105" s="493"/>
      <c r="F105" s="493"/>
      <c r="G105" s="493"/>
      <c r="H105" s="493"/>
      <c r="I105" s="512"/>
    </row>
    <row r="106" spans="1:9" hidden="1" x14ac:dyDescent="0.2">
      <c r="A106" s="41" t="s">
        <v>479</v>
      </c>
      <c r="B106" s="92">
        <f>B102+B105</f>
        <v>101125</v>
      </c>
      <c r="C106" s="92">
        <f>C102+C105</f>
        <v>79482.780725999997</v>
      </c>
      <c r="D106" s="92">
        <f>D102+D105</f>
        <v>157588.17999999996</v>
      </c>
      <c r="E106" s="151" t="s">
        <v>108</v>
      </c>
      <c r="F106" s="13"/>
      <c r="G106" s="13"/>
      <c r="H106" s="13"/>
      <c r="I106" s="39"/>
    </row>
    <row r="107" spans="1:9" hidden="1" x14ac:dyDescent="0.2">
      <c r="A107" s="41" t="s">
        <v>39</v>
      </c>
      <c r="B107" s="92">
        <f>B104-E112</f>
        <v>0</v>
      </c>
      <c r="C107" s="92">
        <f>C104-E116</f>
        <v>57414.540725999999</v>
      </c>
      <c r="D107" s="92">
        <f>D104-E131</f>
        <v>65588.689999999973</v>
      </c>
      <c r="E107" s="151" t="s">
        <v>109</v>
      </c>
      <c r="F107" s="13"/>
      <c r="G107" s="13"/>
      <c r="H107" s="13"/>
      <c r="I107" s="39"/>
    </row>
    <row r="108" spans="1:9" hidden="1" x14ac:dyDescent="0.2">
      <c r="A108" s="41" t="s">
        <v>132</v>
      </c>
      <c r="B108" s="93">
        <f>B106-E112-G112</f>
        <v>0</v>
      </c>
      <c r="C108" s="94">
        <f>C106-E116-G116</f>
        <v>57414.540725999999</v>
      </c>
      <c r="D108" s="94">
        <f>D106-E131-G131</f>
        <v>1512.1799999999748</v>
      </c>
      <c r="E108" s="151" t="s">
        <v>110</v>
      </c>
      <c r="F108" s="145"/>
      <c r="G108" s="145"/>
      <c r="H108" s="145"/>
      <c r="I108" s="39"/>
    </row>
    <row r="109" spans="1:9" ht="21" hidden="1" thickBot="1" x14ac:dyDescent="0.35">
      <c r="A109" s="41"/>
      <c r="B109" s="13"/>
      <c r="C109" s="13"/>
      <c r="D109" s="13"/>
      <c r="E109" s="14"/>
      <c r="F109" s="13"/>
      <c r="G109" s="13"/>
      <c r="H109" s="13"/>
      <c r="I109" s="39"/>
    </row>
    <row r="110" spans="1:9" ht="51" hidden="1" x14ac:dyDescent="0.2">
      <c r="A110" s="15" t="s">
        <v>41</v>
      </c>
      <c r="B110" s="16" t="s">
        <v>34</v>
      </c>
      <c r="C110" s="20" t="s">
        <v>64</v>
      </c>
      <c r="D110" s="20" t="s">
        <v>63</v>
      </c>
      <c r="E110" s="16" t="s">
        <v>37</v>
      </c>
      <c r="F110" s="16" t="s">
        <v>40</v>
      </c>
      <c r="G110" s="16" t="s">
        <v>46</v>
      </c>
      <c r="H110" s="16" t="s">
        <v>38</v>
      </c>
      <c r="I110" s="17" t="s">
        <v>5</v>
      </c>
    </row>
    <row r="111" spans="1:9" hidden="1" x14ac:dyDescent="0.2">
      <c r="A111" s="32" t="s">
        <v>10</v>
      </c>
      <c r="B111" s="23" t="s">
        <v>10</v>
      </c>
      <c r="C111" s="60">
        <v>101125</v>
      </c>
      <c r="D111" s="53">
        <v>44201</v>
      </c>
      <c r="E111" s="60">
        <f>C111</f>
        <v>101125</v>
      </c>
      <c r="F111" s="23" t="s">
        <v>798</v>
      </c>
      <c r="G111" s="23"/>
      <c r="H111" s="23" t="s">
        <v>487</v>
      </c>
      <c r="I111" s="24"/>
    </row>
    <row r="112" spans="1:9" hidden="1" x14ac:dyDescent="0.2">
      <c r="A112" s="25" t="s">
        <v>43</v>
      </c>
      <c r="B112" s="26"/>
      <c r="C112" s="64">
        <f>C111</f>
        <v>101125</v>
      </c>
      <c r="D112" s="26"/>
      <c r="E112" s="64">
        <f>E111</f>
        <v>101125</v>
      </c>
      <c r="F112" s="26"/>
      <c r="G112" s="61"/>
      <c r="H112" s="26"/>
      <c r="I112" s="27"/>
    </row>
    <row r="113" spans="1:9" hidden="1" x14ac:dyDescent="0.2">
      <c r="A113" s="34"/>
      <c r="B113" s="34"/>
      <c r="C113" s="62"/>
      <c r="D113" s="34"/>
      <c r="E113" s="62"/>
      <c r="F113" s="34"/>
      <c r="G113" s="62"/>
      <c r="H113" s="34"/>
      <c r="I113" s="34"/>
    </row>
    <row r="114" spans="1:9" hidden="1" x14ac:dyDescent="0.2">
      <c r="A114" s="33" t="s">
        <v>44</v>
      </c>
      <c r="B114" s="26" t="s">
        <v>567</v>
      </c>
      <c r="C114" s="61">
        <v>6728.66</v>
      </c>
      <c r="D114" s="53">
        <v>44292</v>
      </c>
      <c r="E114" s="61">
        <v>6728.66</v>
      </c>
      <c r="F114" s="26" t="s">
        <v>822</v>
      </c>
      <c r="G114" s="87">
        <f>C114-E114</f>
        <v>0</v>
      </c>
      <c r="H114" s="26" t="s">
        <v>604</v>
      </c>
      <c r="I114" s="45"/>
    </row>
    <row r="115" spans="1:9" hidden="1" x14ac:dyDescent="0.2">
      <c r="A115" s="33"/>
      <c r="B115" s="26" t="s">
        <v>567</v>
      </c>
      <c r="C115" s="274">
        <v>15339.58</v>
      </c>
      <c r="D115" s="275">
        <v>44466</v>
      </c>
      <c r="E115" s="274">
        <v>15339.58</v>
      </c>
      <c r="F115" s="26" t="s">
        <v>841</v>
      </c>
      <c r="G115" s="87">
        <v>0</v>
      </c>
      <c r="H115" s="26" t="s">
        <v>487</v>
      </c>
      <c r="I115" s="45"/>
    </row>
    <row r="116" spans="1:9" hidden="1" x14ac:dyDescent="0.2">
      <c r="A116" s="25" t="s">
        <v>43</v>
      </c>
      <c r="B116" s="26"/>
      <c r="C116" s="63">
        <f>C114+C115</f>
        <v>22068.239999999998</v>
      </c>
      <c r="D116" s="26"/>
      <c r="E116" s="63">
        <f>E114+E115</f>
        <v>22068.239999999998</v>
      </c>
      <c r="F116" s="26"/>
      <c r="G116" s="63">
        <f>SUM(G114:G115)</f>
        <v>0</v>
      </c>
      <c r="H116" s="26"/>
      <c r="I116" s="27"/>
    </row>
    <row r="117" spans="1:9" hidden="1" x14ac:dyDescent="0.2">
      <c r="A117" s="34"/>
      <c r="B117" s="34"/>
      <c r="C117" s="62"/>
      <c r="D117" s="34"/>
      <c r="E117" s="62"/>
      <c r="F117" s="34"/>
      <c r="G117" s="62"/>
      <c r="H117" s="34"/>
      <c r="I117" s="34"/>
    </row>
    <row r="118" spans="1:9" hidden="1" x14ac:dyDescent="0.2">
      <c r="A118" s="33" t="s">
        <v>42</v>
      </c>
      <c r="B118" s="140"/>
      <c r="C118" s="168"/>
      <c r="D118" s="141"/>
      <c r="E118" s="156"/>
      <c r="F118" s="56"/>
      <c r="G118" s="148"/>
      <c r="H118" s="140"/>
      <c r="I118" s="27"/>
    </row>
    <row r="119" spans="1:9" hidden="1" x14ac:dyDescent="0.2">
      <c r="A119" s="152"/>
      <c r="B119" s="140" t="s">
        <v>10</v>
      </c>
      <c r="C119" s="168">
        <v>55000</v>
      </c>
      <c r="D119" s="141" t="s">
        <v>808</v>
      </c>
      <c r="E119" s="156">
        <v>20853</v>
      </c>
      <c r="F119" s="56" t="s">
        <v>825</v>
      </c>
      <c r="G119" s="148">
        <f>C119-E119-E120</f>
        <v>6880</v>
      </c>
      <c r="H119" s="140" t="s">
        <v>802</v>
      </c>
      <c r="I119" s="44" t="s">
        <v>854</v>
      </c>
    </row>
    <row r="120" spans="1:9" hidden="1" x14ac:dyDescent="0.2">
      <c r="A120" s="152"/>
      <c r="B120" s="140"/>
      <c r="C120" s="168"/>
      <c r="D120" s="141"/>
      <c r="E120" s="156">
        <v>27267</v>
      </c>
      <c r="F120" s="56" t="s">
        <v>855</v>
      </c>
      <c r="G120" s="148"/>
      <c r="H120" s="140"/>
      <c r="I120" s="44"/>
    </row>
    <row r="121" spans="1:9" hidden="1" x14ac:dyDescent="0.2">
      <c r="A121" s="142"/>
      <c r="B121" s="150" t="s">
        <v>532</v>
      </c>
      <c r="C121" s="148">
        <f>30000+39094</f>
        <v>69094</v>
      </c>
      <c r="D121" s="56" t="s">
        <v>830</v>
      </c>
      <c r="E121" s="86">
        <v>65295.79</v>
      </c>
      <c r="F121" s="55" t="s">
        <v>838</v>
      </c>
      <c r="G121" s="148">
        <f>C121-E121</f>
        <v>3798.2099999999991</v>
      </c>
      <c r="H121" s="150" t="s">
        <v>802</v>
      </c>
      <c r="I121" s="149" t="s">
        <v>826</v>
      </c>
    </row>
    <row r="122" spans="1:9" hidden="1" x14ac:dyDescent="0.2">
      <c r="A122" s="142"/>
      <c r="B122" s="150"/>
      <c r="C122" s="148"/>
      <c r="D122" s="56"/>
      <c r="E122" s="86"/>
      <c r="F122" s="55"/>
      <c r="G122" s="148">
        <f>-G121</f>
        <v>-3798.2099999999991</v>
      </c>
      <c r="H122" s="150"/>
      <c r="I122" s="149" t="s">
        <v>835</v>
      </c>
    </row>
    <row r="123" spans="1:9" hidden="1" x14ac:dyDescent="0.2">
      <c r="A123" s="361"/>
      <c r="B123" s="368" t="s">
        <v>10</v>
      </c>
      <c r="C123" s="369">
        <v>10000</v>
      </c>
      <c r="D123" s="370" t="s">
        <v>815</v>
      </c>
      <c r="E123" s="371">
        <v>9282</v>
      </c>
      <c r="F123" s="372" t="s">
        <v>1011</v>
      </c>
      <c r="G123" s="369">
        <f>10000-E123</f>
        <v>718</v>
      </c>
      <c r="H123" s="368" t="s">
        <v>810</v>
      </c>
      <c r="I123" s="373"/>
    </row>
    <row r="124" spans="1:9" hidden="1" x14ac:dyDescent="0.2">
      <c r="A124" s="361"/>
      <c r="B124" s="368"/>
      <c r="C124" s="369"/>
      <c r="D124" s="370"/>
      <c r="E124" s="371"/>
      <c r="F124" s="372"/>
      <c r="G124" s="369">
        <v>-718</v>
      </c>
      <c r="H124" s="368"/>
      <c r="I124" s="373" t="s">
        <v>99</v>
      </c>
    </row>
    <row r="125" spans="1:9" hidden="1" x14ac:dyDescent="0.2">
      <c r="A125" s="142"/>
      <c r="B125" s="150" t="s">
        <v>532</v>
      </c>
      <c r="C125" s="148">
        <v>9700</v>
      </c>
      <c r="D125" s="56" t="s">
        <v>829</v>
      </c>
      <c r="E125" s="86">
        <v>2615.4499999999998</v>
      </c>
      <c r="F125" s="55" t="s">
        <v>839</v>
      </c>
      <c r="G125" s="148">
        <f>9700-E125</f>
        <v>7084.55</v>
      </c>
      <c r="H125" s="150" t="s">
        <v>688</v>
      </c>
      <c r="I125" s="149" t="s">
        <v>827</v>
      </c>
    </row>
    <row r="126" spans="1:9" hidden="1" x14ac:dyDescent="0.2">
      <c r="A126" s="142"/>
      <c r="B126" s="150"/>
      <c r="C126" s="148"/>
      <c r="D126" s="56"/>
      <c r="E126" s="86"/>
      <c r="F126" s="55"/>
      <c r="G126" s="148"/>
      <c r="H126" s="150"/>
      <c r="I126" s="149"/>
    </row>
    <row r="127" spans="1:9" ht="25.5" hidden="1" x14ac:dyDescent="0.2">
      <c r="A127" s="142"/>
      <c r="B127" s="150" t="s">
        <v>532</v>
      </c>
      <c r="C127" s="156">
        <v>30000</v>
      </c>
      <c r="D127" s="56" t="s">
        <v>845</v>
      </c>
      <c r="E127" s="86"/>
      <c r="F127" s="55"/>
      <c r="G127" s="148">
        <v>3798.21</v>
      </c>
      <c r="H127" s="150" t="s">
        <v>834</v>
      </c>
      <c r="I127" s="149" t="s">
        <v>837</v>
      </c>
    </row>
    <row r="128" spans="1:9" hidden="1" x14ac:dyDescent="0.2">
      <c r="A128" s="142"/>
      <c r="B128" s="150" t="s">
        <v>10</v>
      </c>
      <c r="C128" s="148">
        <v>8000</v>
      </c>
      <c r="D128" s="56" t="s">
        <v>844</v>
      </c>
      <c r="E128" s="86">
        <v>8000</v>
      </c>
      <c r="F128" s="55" t="s">
        <v>849</v>
      </c>
      <c r="G128" s="148">
        <v>0</v>
      </c>
      <c r="H128" s="150" t="s">
        <v>836</v>
      </c>
      <c r="I128" s="149"/>
    </row>
    <row r="129" spans="1:9" hidden="1" x14ac:dyDescent="0.2">
      <c r="A129" s="155" t="s">
        <v>113</v>
      </c>
      <c r="B129" s="150" t="s">
        <v>10</v>
      </c>
      <c r="C129" s="148">
        <v>5000</v>
      </c>
      <c r="D129" s="56" t="s">
        <v>851</v>
      </c>
      <c r="E129" s="86"/>
      <c r="F129" s="55"/>
      <c r="G129" s="148">
        <v>5000</v>
      </c>
      <c r="H129" s="150" t="s">
        <v>834</v>
      </c>
      <c r="I129" s="44"/>
    </row>
    <row r="130" spans="1:9" hidden="1" x14ac:dyDescent="0.2">
      <c r="A130" s="155"/>
      <c r="B130" s="150"/>
      <c r="C130" s="148"/>
      <c r="D130" s="56"/>
      <c r="E130" s="86"/>
      <c r="F130" s="55"/>
      <c r="G130" s="148"/>
      <c r="H130" s="150"/>
      <c r="I130" s="44"/>
    </row>
    <row r="131" spans="1:9" ht="13.5" hidden="1" thickBot="1" x14ac:dyDescent="0.25">
      <c r="A131" s="29" t="s">
        <v>43</v>
      </c>
      <c r="B131" s="30"/>
      <c r="C131" s="59">
        <f>SUM(C118:C130)</f>
        <v>186794</v>
      </c>
      <c r="D131" s="30"/>
      <c r="E131" s="59">
        <f>SUM(E118:E130)</f>
        <v>133313.24</v>
      </c>
      <c r="F131" s="57"/>
      <c r="G131" s="59">
        <f>SUM(G118:G130)</f>
        <v>22762.76</v>
      </c>
      <c r="H131" s="30"/>
      <c r="I131" s="31"/>
    </row>
    <row r="132" spans="1:9" hidden="1" x14ac:dyDescent="0.2"/>
    <row r="133" spans="1:9" ht="13.5" hidden="1" thickBot="1" x14ac:dyDescent="0.25"/>
    <row r="134" spans="1:9" ht="21" hidden="1" thickBot="1" x14ac:dyDescent="0.25">
      <c r="A134" s="489" t="s">
        <v>700</v>
      </c>
      <c r="B134" s="490"/>
      <c r="C134" s="490"/>
      <c r="D134" s="490"/>
      <c r="E134" s="490"/>
      <c r="F134" s="490"/>
      <c r="G134" s="490"/>
      <c r="H134" s="490"/>
      <c r="I134" s="491"/>
    </row>
    <row r="135" spans="1:9" ht="20.25" hidden="1" x14ac:dyDescent="0.3">
      <c r="A135" s="41"/>
      <c r="B135" s="13" t="s">
        <v>697</v>
      </c>
      <c r="C135" s="13" t="s">
        <v>698</v>
      </c>
      <c r="D135" s="91" t="s">
        <v>699</v>
      </c>
      <c r="E135" s="14"/>
      <c r="F135" s="13"/>
      <c r="G135" s="13"/>
      <c r="H135" s="13"/>
      <c r="I135" s="39"/>
    </row>
    <row r="136" spans="1:9" ht="20.25" hidden="1" x14ac:dyDescent="0.3">
      <c r="A136" s="41" t="s">
        <v>701</v>
      </c>
      <c r="B136" s="214">
        <v>101125</v>
      </c>
      <c r="C136" s="214">
        <f>74920.14*1.03</f>
        <v>77167.744200000001</v>
      </c>
      <c r="D136" s="214">
        <v>143750</v>
      </c>
      <c r="E136" s="14"/>
      <c r="F136" s="13"/>
      <c r="G136" s="13"/>
      <c r="H136" s="13"/>
      <c r="I136" s="39"/>
    </row>
    <row r="137" spans="1:9" ht="20.25" hidden="1" x14ac:dyDescent="0.3">
      <c r="A137" s="41" t="s">
        <v>36</v>
      </c>
      <c r="B137" s="92">
        <f>IF(B178&gt;101125,101125,B178)</f>
        <v>0</v>
      </c>
      <c r="C137" s="92">
        <f>IF(C178&gt;74920.14,74920.14,C178)</f>
        <v>74920.14</v>
      </c>
      <c r="D137" s="92">
        <f>IF(D178&gt;143750,143750,D178)</f>
        <v>57744.929999999964</v>
      </c>
      <c r="E137" s="14"/>
      <c r="F137" s="13"/>
      <c r="G137" s="13"/>
      <c r="H137" s="13"/>
      <c r="I137" s="39"/>
    </row>
    <row r="138" spans="1:9" hidden="1" x14ac:dyDescent="0.2">
      <c r="A138" s="41" t="s">
        <v>702</v>
      </c>
      <c r="B138" s="92">
        <f>SUM(B136:B137)</f>
        <v>101125</v>
      </c>
      <c r="C138" s="92">
        <f>SUM(C136:C137)</f>
        <v>152087.8842</v>
      </c>
      <c r="D138" s="92">
        <f>SUM(D136:D137)</f>
        <v>201494.92999999996</v>
      </c>
      <c r="E138" s="130" t="s">
        <v>107</v>
      </c>
      <c r="F138" s="13"/>
      <c r="G138" s="13"/>
      <c r="H138" s="13"/>
      <c r="I138" s="39"/>
    </row>
    <row r="139" spans="1:9" hidden="1" x14ac:dyDescent="0.2">
      <c r="A139" s="41" t="s">
        <v>47</v>
      </c>
      <c r="B139" s="92">
        <f>B179</f>
        <v>0</v>
      </c>
      <c r="C139" s="92">
        <f>IF(C179&gt;74920.14,74920.14,C179)</f>
        <v>74920.14</v>
      </c>
      <c r="D139" s="92">
        <f>IF(D179&gt;143750, 143750,D179)</f>
        <v>20969.179999999964</v>
      </c>
      <c r="E139" s="493"/>
      <c r="F139" s="493"/>
      <c r="G139" s="493"/>
      <c r="H139" s="493"/>
      <c r="I139" s="512"/>
    </row>
    <row r="140" spans="1:9" hidden="1" x14ac:dyDescent="0.2">
      <c r="A140" s="41" t="s">
        <v>479</v>
      </c>
      <c r="B140" s="92">
        <f>B136+B139</f>
        <v>101125</v>
      </c>
      <c r="C140" s="92">
        <f>C136+C139</f>
        <v>152087.8842</v>
      </c>
      <c r="D140" s="92">
        <f>D136+D139</f>
        <v>164719.17999999996</v>
      </c>
      <c r="E140" s="151" t="s">
        <v>108</v>
      </c>
      <c r="F140" s="13"/>
      <c r="G140" s="13"/>
      <c r="H140" s="13"/>
      <c r="I140" s="39"/>
    </row>
    <row r="141" spans="1:9" hidden="1" x14ac:dyDescent="0.2">
      <c r="A141" s="41" t="s">
        <v>39</v>
      </c>
      <c r="B141" s="92">
        <f>B138-E146</f>
        <v>0</v>
      </c>
      <c r="C141" s="92">
        <f>C138-E150</f>
        <v>4.1999999957624823E-3</v>
      </c>
      <c r="D141" s="92">
        <f>D138-E169</f>
        <v>55151.929999999964</v>
      </c>
      <c r="E141" s="151" t="s">
        <v>109</v>
      </c>
      <c r="F141" s="13"/>
      <c r="G141" s="13"/>
      <c r="H141" s="13"/>
      <c r="I141" s="39"/>
    </row>
    <row r="142" spans="1:9" hidden="1" x14ac:dyDescent="0.2">
      <c r="A142" s="41" t="s">
        <v>35</v>
      </c>
      <c r="B142" s="93">
        <f>B140-E146-G146</f>
        <v>0</v>
      </c>
      <c r="C142" s="94">
        <f>C140-E150-G150</f>
        <v>4.1999999957624823E-3</v>
      </c>
      <c r="D142" s="94">
        <f>D140-E169-G169</f>
        <v>13838.179999999964</v>
      </c>
      <c r="E142" s="151" t="s">
        <v>110</v>
      </c>
      <c r="F142" s="145"/>
      <c r="G142" s="145"/>
      <c r="H142" s="145"/>
      <c r="I142" s="39"/>
    </row>
    <row r="143" spans="1:9" ht="21" hidden="1" thickBot="1" x14ac:dyDescent="0.35">
      <c r="A143" s="41"/>
      <c r="B143" s="13"/>
      <c r="C143" s="13"/>
      <c r="D143" s="13"/>
      <c r="E143" s="14"/>
      <c r="F143" s="13"/>
      <c r="G143" s="13"/>
      <c r="H143" s="13"/>
      <c r="I143" s="39"/>
    </row>
    <row r="144" spans="1:9" ht="51" hidden="1" x14ac:dyDescent="0.2">
      <c r="A144" s="15" t="s">
        <v>41</v>
      </c>
      <c r="B144" s="16" t="s">
        <v>34</v>
      </c>
      <c r="C144" s="20" t="s">
        <v>64</v>
      </c>
      <c r="D144" s="20" t="s">
        <v>63</v>
      </c>
      <c r="E144" s="16" t="s">
        <v>37</v>
      </c>
      <c r="F144" s="16" t="s">
        <v>40</v>
      </c>
      <c r="G144" s="16" t="s">
        <v>46</v>
      </c>
      <c r="H144" s="16" t="s">
        <v>38</v>
      </c>
      <c r="I144" s="17" t="s">
        <v>5</v>
      </c>
    </row>
    <row r="145" spans="1:9" hidden="1" x14ac:dyDescent="0.2">
      <c r="A145" s="32" t="s">
        <v>10</v>
      </c>
      <c r="B145" s="23" t="s">
        <v>10</v>
      </c>
      <c r="C145" s="60">
        <v>101125</v>
      </c>
      <c r="D145" s="53">
        <v>43832</v>
      </c>
      <c r="E145" s="60">
        <f>C145</f>
        <v>101125</v>
      </c>
      <c r="F145" s="23" t="s">
        <v>708</v>
      </c>
      <c r="G145" s="23"/>
      <c r="H145" s="23" t="s">
        <v>487</v>
      </c>
      <c r="I145" s="24"/>
    </row>
    <row r="146" spans="1:9" hidden="1" x14ac:dyDescent="0.2">
      <c r="A146" s="25" t="s">
        <v>43</v>
      </c>
      <c r="B146" s="26"/>
      <c r="C146" s="64">
        <f>C145</f>
        <v>101125</v>
      </c>
      <c r="D146" s="26"/>
      <c r="E146" s="64">
        <f>E145</f>
        <v>101125</v>
      </c>
      <c r="F146" s="26"/>
      <c r="G146" s="61"/>
      <c r="H146" s="26"/>
      <c r="I146" s="27"/>
    </row>
    <row r="147" spans="1:9" hidden="1" x14ac:dyDescent="0.2">
      <c r="A147" s="34"/>
      <c r="B147" s="34"/>
      <c r="C147" s="62"/>
      <c r="D147" s="34"/>
      <c r="E147" s="62"/>
      <c r="F147" s="34"/>
      <c r="G147" s="62"/>
      <c r="H147" s="34"/>
      <c r="I147" s="34"/>
    </row>
    <row r="148" spans="1:9" hidden="1" x14ac:dyDescent="0.2">
      <c r="A148" s="33" t="s">
        <v>44</v>
      </c>
      <c r="B148" s="26" t="s">
        <v>567</v>
      </c>
      <c r="C148" s="61">
        <v>52613.94</v>
      </c>
      <c r="D148" s="53">
        <v>43921</v>
      </c>
      <c r="E148" s="61">
        <v>52613.94</v>
      </c>
      <c r="F148" s="26" t="s">
        <v>738</v>
      </c>
      <c r="G148" s="87">
        <f>C148-E148</f>
        <v>0</v>
      </c>
      <c r="H148" s="26" t="s">
        <v>604</v>
      </c>
      <c r="I148" s="45"/>
    </row>
    <row r="149" spans="1:9" hidden="1" x14ac:dyDescent="0.2">
      <c r="A149" s="33"/>
      <c r="B149" s="26"/>
      <c r="C149" s="274">
        <v>99473.94</v>
      </c>
      <c r="D149" s="275">
        <v>44105</v>
      </c>
      <c r="E149" s="274">
        <v>99473.94</v>
      </c>
      <c r="F149" s="26"/>
      <c r="G149" s="87"/>
      <c r="H149" s="26"/>
      <c r="I149" s="45"/>
    </row>
    <row r="150" spans="1:9" hidden="1" x14ac:dyDescent="0.2">
      <c r="A150" s="25" t="s">
        <v>43</v>
      </c>
      <c r="B150" s="26"/>
      <c r="C150" s="63">
        <f>C148+C149</f>
        <v>152087.88</v>
      </c>
      <c r="D150" s="26"/>
      <c r="E150" s="63">
        <f>E148+E149</f>
        <v>152087.88</v>
      </c>
      <c r="F150" s="26"/>
      <c r="G150" s="63">
        <f>G148</f>
        <v>0</v>
      </c>
      <c r="H150" s="26"/>
      <c r="I150" s="27"/>
    </row>
    <row r="151" spans="1:9" hidden="1" x14ac:dyDescent="0.2">
      <c r="A151" s="34"/>
      <c r="B151" s="34"/>
      <c r="C151" s="62"/>
      <c r="D151" s="34"/>
      <c r="E151" s="62"/>
      <c r="F151" s="34"/>
      <c r="G151" s="62"/>
      <c r="H151" s="34"/>
      <c r="I151" s="34"/>
    </row>
    <row r="152" spans="1:9" hidden="1" x14ac:dyDescent="0.2">
      <c r="A152" s="33" t="s">
        <v>42</v>
      </c>
      <c r="B152" s="140"/>
      <c r="C152" s="168"/>
      <c r="D152" s="141"/>
      <c r="E152" s="156"/>
      <c r="F152" s="56"/>
      <c r="G152" s="148">
        <f>C152-E152</f>
        <v>0</v>
      </c>
      <c r="H152" s="140"/>
      <c r="I152" s="27"/>
    </row>
    <row r="153" spans="1:9" hidden="1" x14ac:dyDescent="0.2">
      <c r="A153" s="152"/>
      <c r="B153" s="140" t="s">
        <v>532</v>
      </c>
      <c r="C153" s="168">
        <v>20000</v>
      </c>
      <c r="D153" s="141" t="s">
        <v>731</v>
      </c>
      <c r="E153" s="156">
        <v>20000</v>
      </c>
      <c r="F153" s="56" t="s">
        <v>773</v>
      </c>
      <c r="G153" s="148">
        <f>C153-E153</f>
        <v>0</v>
      </c>
      <c r="H153" s="232" t="s">
        <v>688</v>
      </c>
      <c r="I153" s="44" t="s">
        <v>724</v>
      </c>
    </row>
    <row r="154" spans="1:9" hidden="1" x14ac:dyDescent="0.2">
      <c r="A154" s="142"/>
      <c r="B154" s="150" t="s">
        <v>10</v>
      </c>
      <c r="C154" s="148">
        <v>12500</v>
      </c>
      <c r="D154" s="56" t="s">
        <v>727</v>
      </c>
      <c r="E154" s="86">
        <v>7962</v>
      </c>
      <c r="F154" s="55" t="s">
        <v>795</v>
      </c>
      <c r="G154" s="148">
        <f>C154-E154</f>
        <v>4538</v>
      </c>
      <c r="H154" s="150" t="s">
        <v>688</v>
      </c>
      <c r="I154" s="149" t="s">
        <v>93</v>
      </c>
    </row>
    <row r="155" spans="1:9" hidden="1" x14ac:dyDescent="0.2">
      <c r="A155" s="142"/>
      <c r="B155" s="150" t="s">
        <v>10</v>
      </c>
      <c r="C155" s="148">
        <v>7000</v>
      </c>
      <c r="D155" s="56" t="s">
        <v>726</v>
      </c>
      <c r="E155" s="86">
        <v>3481</v>
      </c>
      <c r="F155" s="55" t="s">
        <v>796</v>
      </c>
      <c r="G155" s="148">
        <f>C155-E155</f>
        <v>3519</v>
      </c>
      <c r="H155" s="150" t="s">
        <v>719</v>
      </c>
      <c r="I155" s="149" t="s">
        <v>100</v>
      </c>
    </row>
    <row r="156" spans="1:9" hidden="1" x14ac:dyDescent="0.2">
      <c r="A156" s="142"/>
      <c r="B156" s="150"/>
      <c r="C156" s="148"/>
      <c r="D156" s="56"/>
      <c r="E156" s="86"/>
      <c r="F156" s="55"/>
      <c r="G156" s="148">
        <v>-3519</v>
      </c>
      <c r="H156" s="150" t="s">
        <v>719</v>
      </c>
      <c r="I156" s="149"/>
    </row>
    <row r="157" spans="1:9" hidden="1" x14ac:dyDescent="0.2">
      <c r="A157" s="142"/>
      <c r="B157" s="150" t="s">
        <v>10</v>
      </c>
      <c r="C157" s="148">
        <v>54000</v>
      </c>
      <c r="D157" s="56" t="s">
        <v>730</v>
      </c>
      <c r="E157" s="86">
        <v>54000</v>
      </c>
      <c r="F157" s="55" t="s">
        <v>774</v>
      </c>
      <c r="G157" s="148"/>
      <c r="H157" s="150" t="s">
        <v>725</v>
      </c>
      <c r="I157" s="149"/>
    </row>
    <row r="158" spans="1:9" hidden="1" x14ac:dyDescent="0.2">
      <c r="A158" s="142"/>
      <c r="B158" s="150" t="s">
        <v>532</v>
      </c>
      <c r="C158" s="148">
        <v>40000</v>
      </c>
      <c r="D158" s="56" t="s">
        <v>732</v>
      </c>
      <c r="E158" s="86">
        <v>40000</v>
      </c>
      <c r="F158" s="55" t="s">
        <v>756</v>
      </c>
      <c r="G158" s="148"/>
      <c r="H158" s="150" t="s">
        <v>725</v>
      </c>
      <c r="I158" s="149"/>
    </row>
    <row r="159" spans="1:9" hidden="1" x14ac:dyDescent="0.2">
      <c r="A159" s="155" t="s">
        <v>113</v>
      </c>
      <c r="B159" s="150" t="s">
        <v>532</v>
      </c>
      <c r="C159" s="148">
        <v>13500</v>
      </c>
      <c r="D159" s="56" t="s">
        <v>733</v>
      </c>
      <c r="E159" s="86">
        <v>13500</v>
      </c>
      <c r="F159" s="55" t="s">
        <v>755</v>
      </c>
      <c r="G159" s="148"/>
      <c r="H159" s="150" t="s">
        <v>729</v>
      </c>
      <c r="I159" s="44"/>
    </row>
    <row r="160" spans="1:9" hidden="1" x14ac:dyDescent="0.2">
      <c r="A160" s="155"/>
      <c r="B160" s="150" t="s">
        <v>10</v>
      </c>
      <c r="C160" s="148">
        <v>7400</v>
      </c>
      <c r="D160" s="56" t="s">
        <v>734</v>
      </c>
      <c r="E160" s="86">
        <v>7400</v>
      </c>
      <c r="F160" s="55" t="s">
        <v>760</v>
      </c>
      <c r="G160" s="148"/>
      <c r="H160" s="150" t="s">
        <v>729</v>
      </c>
      <c r="I160" s="44"/>
    </row>
    <row r="161" spans="1:9" hidden="1" x14ac:dyDescent="0.2">
      <c r="A161" s="155"/>
      <c r="B161" s="150"/>
      <c r="C161" s="148"/>
      <c r="D161" s="56"/>
      <c r="E161" s="86"/>
      <c r="F161" s="55"/>
      <c r="G161" s="148"/>
      <c r="H161" s="150"/>
      <c r="I161" s="44"/>
    </row>
    <row r="162" spans="1:9" hidden="1" x14ac:dyDescent="0.2">
      <c r="A162" s="155"/>
      <c r="B162" s="150"/>
      <c r="C162" s="148"/>
      <c r="D162" s="56"/>
      <c r="E162" s="86"/>
      <c r="F162" s="55"/>
      <c r="G162" s="148"/>
      <c r="H162" s="150"/>
      <c r="I162" s="44"/>
    </row>
    <row r="163" spans="1:9" hidden="1" x14ac:dyDescent="0.2">
      <c r="A163" s="155"/>
      <c r="B163" s="150"/>
      <c r="C163" s="148"/>
      <c r="D163" s="56"/>
      <c r="E163" s="86"/>
      <c r="F163" s="55"/>
      <c r="G163" s="148"/>
      <c r="H163" s="150"/>
      <c r="I163" s="44"/>
    </row>
    <row r="164" spans="1:9" hidden="1" x14ac:dyDescent="0.2">
      <c r="A164" s="155"/>
      <c r="B164" s="150"/>
      <c r="C164" s="148"/>
      <c r="D164" s="56"/>
      <c r="E164" s="86"/>
      <c r="F164" s="55"/>
      <c r="G164" s="148"/>
      <c r="H164" s="150"/>
      <c r="I164" s="44"/>
    </row>
    <row r="165" spans="1:9" hidden="1" x14ac:dyDescent="0.2">
      <c r="A165" s="155"/>
      <c r="B165" s="150"/>
      <c r="C165" s="156"/>
      <c r="D165" s="56"/>
      <c r="E165" s="86"/>
      <c r="F165" s="55"/>
      <c r="G165" s="148"/>
      <c r="H165" s="150"/>
      <c r="I165" s="44"/>
    </row>
    <row r="166" spans="1:9" hidden="1" x14ac:dyDescent="0.2">
      <c r="A166" s="155"/>
      <c r="B166" s="150"/>
      <c r="C166" s="156"/>
      <c r="D166" s="56"/>
      <c r="E166" s="86"/>
      <c r="F166" s="55"/>
      <c r="G166" s="148"/>
      <c r="H166" s="150"/>
      <c r="I166" s="44"/>
    </row>
    <row r="167" spans="1:9" hidden="1" x14ac:dyDescent="0.2">
      <c r="A167" s="155"/>
      <c r="B167" s="150"/>
      <c r="C167" s="156"/>
      <c r="D167" s="56"/>
      <c r="E167" s="86"/>
      <c r="F167" s="55"/>
      <c r="G167" s="148"/>
      <c r="H167" s="150"/>
      <c r="I167" s="44"/>
    </row>
    <row r="168" spans="1:9" hidden="1" x14ac:dyDescent="0.2">
      <c r="A168" s="155"/>
      <c r="B168" s="150"/>
      <c r="C168" s="156"/>
      <c r="D168" s="56"/>
      <c r="E168" s="86"/>
      <c r="F168" s="55"/>
      <c r="G168" s="148"/>
      <c r="H168" s="150"/>
      <c r="I168" s="44"/>
    </row>
    <row r="169" spans="1:9" ht="13.5" hidden="1" thickBot="1" x14ac:dyDescent="0.25">
      <c r="A169" s="29" t="s">
        <v>43</v>
      </c>
      <c r="B169" s="30"/>
      <c r="C169" s="59">
        <f>SUM(C152:C168)</f>
        <v>154400</v>
      </c>
      <c r="D169" s="30"/>
      <c r="E169" s="59">
        <f>SUM(E152:E168)</f>
        <v>146343</v>
      </c>
      <c r="F169" s="57"/>
      <c r="G169" s="59">
        <f>SUM(G152:G168)</f>
        <v>4538</v>
      </c>
      <c r="H169" s="30"/>
      <c r="I169" s="31"/>
    </row>
    <row r="170" spans="1:9" ht="13.5" hidden="1" thickBot="1" x14ac:dyDescent="0.25"/>
    <row r="171" spans="1:9" ht="21" hidden="1" thickBot="1" x14ac:dyDescent="0.25">
      <c r="A171" s="489" t="s">
        <v>605</v>
      </c>
      <c r="B171" s="490"/>
      <c r="C171" s="490"/>
      <c r="D171" s="490"/>
      <c r="E171" s="490"/>
      <c r="F171" s="490"/>
      <c r="G171" s="490"/>
      <c r="H171" s="490"/>
      <c r="I171" s="491"/>
    </row>
    <row r="172" spans="1:9" ht="20.25" hidden="1" x14ac:dyDescent="0.3">
      <c r="A172" s="41"/>
      <c r="B172" s="13" t="s">
        <v>600</v>
      </c>
      <c r="C172" s="13" t="s">
        <v>601</v>
      </c>
      <c r="D172" s="91" t="s">
        <v>602</v>
      </c>
      <c r="E172" s="14"/>
      <c r="F172" s="13"/>
      <c r="G172" s="13"/>
      <c r="H172" s="13"/>
      <c r="I172" s="39"/>
    </row>
    <row r="173" spans="1:9" ht="20.25" hidden="1" x14ac:dyDescent="0.3">
      <c r="A173" s="41" t="s">
        <v>606</v>
      </c>
      <c r="B173" s="214">
        <v>101125</v>
      </c>
      <c r="C173" s="214">
        <f>C208*1.03</f>
        <v>74920.14</v>
      </c>
      <c r="D173" s="214">
        <v>143750</v>
      </c>
      <c r="E173" s="14"/>
      <c r="F173" s="13"/>
      <c r="G173" s="13"/>
      <c r="H173" s="13"/>
      <c r="I173" s="39"/>
    </row>
    <row r="174" spans="1:9" ht="20.25" hidden="1" x14ac:dyDescent="0.3">
      <c r="A174" s="41" t="s">
        <v>36</v>
      </c>
      <c r="B174" s="92">
        <f>IF(B213&gt;66125,66125,B213)</f>
        <v>0</v>
      </c>
      <c r="C174" s="92">
        <f>IF(C213&gt;72738,72738,C213)</f>
        <v>72738</v>
      </c>
      <c r="D174" s="92">
        <f>IF(D213&gt;143750,143750,D213)</f>
        <v>42783.249999999971</v>
      </c>
      <c r="E174" s="14"/>
      <c r="F174" s="13"/>
      <c r="G174" s="13"/>
      <c r="H174" s="13"/>
      <c r="I174" s="39"/>
    </row>
    <row r="175" spans="1:9" hidden="1" x14ac:dyDescent="0.2">
      <c r="A175" s="41" t="s">
        <v>603</v>
      </c>
      <c r="B175" s="92">
        <f>SUM(B173:B174)</f>
        <v>101125</v>
      </c>
      <c r="C175" s="92">
        <f>SUM(C173:C174)</f>
        <v>147658.14000000001</v>
      </c>
      <c r="D175" s="92">
        <f>SUM(D173:D174)</f>
        <v>186533.24999999997</v>
      </c>
      <c r="E175" s="130" t="s">
        <v>107</v>
      </c>
      <c r="F175" s="13"/>
      <c r="G175" s="13"/>
      <c r="H175" s="13"/>
      <c r="I175" s="39"/>
    </row>
    <row r="176" spans="1:9" hidden="1" x14ac:dyDescent="0.2">
      <c r="A176" s="41" t="s">
        <v>47</v>
      </c>
      <c r="B176" s="92">
        <f>B213</f>
        <v>0</v>
      </c>
      <c r="C176" s="92">
        <f>IF(C214&gt;72738,72738,C214)</f>
        <v>72738</v>
      </c>
      <c r="D176" s="92">
        <f>IF(D214&gt;143750, 143750,D214)</f>
        <v>6007.4999999999636</v>
      </c>
      <c r="E176" s="493"/>
      <c r="F176" s="493"/>
      <c r="G176" s="493"/>
      <c r="H176" s="493"/>
      <c r="I176" s="512"/>
    </row>
    <row r="177" spans="1:10" hidden="1" x14ac:dyDescent="0.2">
      <c r="A177" s="41" t="s">
        <v>479</v>
      </c>
      <c r="B177" s="92">
        <f>B173+B176</f>
        <v>101125</v>
      </c>
      <c r="C177" s="92">
        <f>C173+C176</f>
        <v>147658.14000000001</v>
      </c>
      <c r="D177" s="92">
        <f>D173+D176</f>
        <v>149757.49999999997</v>
      </c>
      <c r="E177" s="151" t="s">
        <v>108</v>
      </c>
      <c r="F177" s="13"/>
      <c r="G177" s="13"/>
      <c r="H177" s="13"/>
      <c r="I177" s="39"/>
    </row>
    <row r="178" spans="1:10" hidden="1" x14ac:dyDescent="0.2">
      <c r="A178" s="41" t="s">
        <v>39</v>
      </c>
      <c r="B178" s="92">
        <f>B175-E183</f>
        <v>0</v>
      </c>
      <c r="C178" s="92">
        <f>C175-E186</f>
        <v>140079.15000000002</v>
      </c>
      <c r="D178" s="92">
        <f>D175-E204</f>
        <v>57744.929999999964</v>
      </c>
      <c r="E178" s="151" t="s">
        <v>109</v>
      </c>
      <c r="F178" s="13"/>
      <c r="G178" s="13"/>
      <c r="H178" s="13"/>
      <c r="I178" s="39"/>
    </row>
    <row r="179" spans="1:10" hidden="1" x14ac:dyDescent="0.2">
      <c r="A179" s="41" t="s">
        <v>35</v>
      </c>
      <c r="B179" s="93">
        <f>B177-E183-G183</f>
        <v>0</v>
      </c>
      <c r="C179" s="94">
        <f>C177-E186-G186</f>
        <v>135957.32000000004</v>
      </c>
      <c r="D179" s="94">
        <f>D177-E204-G204</f>
        <v>20969.179999999964</v>
      </c>
      <c r="E179" s="151" t="s">
        <v>110</v>
      </c>
      <c r="F179" s="145"/>
      <c r="G179" s="145"/>
      <c r="H179" s="145"/>
      <c r="I179" s="39"/>
    </row>
    <row r="180" spans="1:10" ht="21" hidden="1" thickBot="1" x14ac:dyDescent="0.35">
      <c r="A180" s="41"/>
      <c r="B180" s="13"/>
      <c r="C180" s="13"/>
      <c r="D180" s="13"/>
      <c r="E180" s="14"/>
      <c r="F180" s="13"/>
      <c r="G180" s="13"/>
      <c r="H180" s="13"/>
      <c r="I180" s="39"/>
    </row>
    <row r="181" spans="1:10" ht="51" hidden="1" x14ac:dyDescent="0.2">
      <c r="A181" s="15" t="s">
        <v>41</v>
      </c>
      <c r="B181" s="16" t="s">
        <v>34</v>
      </c>
      <c r="C181" s="20" t="s">
        <v>64</v>
      </c>
      <c r="D181" s="20" t="s">
        <v>63</v>
      </c>
      <c r="E181" s="16" t="s">
        <v>37</v>
      </c>
      <c r="F181" s="16" t="s">
        <v>40</v>
      </c>
      <c r="G181" s="16" t="s">
        <v>46</v>
      </c>
      <c r="H181" s="16" t="s">
        <v>38</v>
      </c>
      <c r="I181" s="17" t="s">
        <v>5</v>
      </c>
    </row>
    <row r="182" spans="1:10" hidden="1" x14ac:dyDescent="0.2">
      <c r="A182" s="32" t="s">
        <v>10</v>
      </c>
      <c r="B182" s="23" t="s">
        <v>10</v>
      </c>
      <c r="C182" s="60">
        <v>101125</v>
      </c>
      <c r="D182" s="53">
        <v>43467</v>
      </c>
      <c r="E182" s="60">
        <f>C182</f>
        <v>101125</v>
      </c>
      <c r="F182" s="23" t="s">
        <v>623</v>
      </c>
      <c r="G182" s="23"/>
      <c r="H182" s="23" t="s">
        <v>487</v>
      </c>
      <c r="I182" s="24"/>
    </row>
    <row r="183" spans="1:10" hidden="1" x14ac:dyDescent="0.2">
      <c r="A183" s="25" t="s">
        <v>43</v>
      </c>
      <c r="B183" s="26"/>
      <c r="C183" s="64">
        <f>C182</f>
        <v>101125</v>
      </c>
      <c r="D183" s="26"/>
      <c r="E183" s="64">
        <f>E182</f>
        <v>101125</v>
      </c>
      <c r="F183" s="26"/>
      <c r="G183" s="61">
        <f>G182</f>
        <v>0</v>
      </c>
      <c r="H183" s="26"/>
      <c r="I183" s="27"/>
    </row>
    <row r="184" spans="1:10" hidden="1" x14ac:dyDescent="0.2">
      <c r="A184" s="34"/>
      <c r="B184" s="34"/>
      <c r="C184" s="62"/>
      <c r="D184" s="34"/>
      <c r="E184" s="62"/>
      <c r="F184" s="34"/>
      <c r="G184" s="62"/>
      <c r="H184" s="34"/>
      <c r="I184" s="34"/>
    </row>
    <row r="185" spans="1:10" hidden="1" x14ac:dyDescent="0.2">
      <c r="A185" s="33" t="s">
        <v>44</v>
      </c>
      <c r="B185" s="26" t="s">
        <v>567</v>
      </c>
      <c r="C185" s="61">
        <v>11700.82</v>
      </c>
      <c r="D185" s="53" t="s">
        <v>638</v>
      </c>
      <c r="E185" s="61">
        <v>7578.99</v>
      </c>
      <c r="F185" s="26" t="s">
        <v>674</v>
      </c>
      <c r="G185" s="87">
        <f>C185-E185</f>
        <v>4121.83</v>
      </c>
      <c r="H185" s="26" t="s">
        <v>604</v>
      </c>
      <c r="I185" s="45"/>
    </row>
    <row r="186" spans="1:10" hidden="1" x14ac:dyDescent="0.2">
      <c r="A186" s="25" t="s">
        <v>43</v>
      </c>
      <c r="B186" s="26"/>
      <c r="C186" s="63">
        <f>C185</f>
        <v>11700.82</v>
      </c>
      <c r="D186" s="26"/>
      <c r="E186" s="63">
        <f>E185</f>
        <v>7578.99</v>
      </c>
      <c r="F186" s="26"/>
      <c r="G186" s="63">
        <f>G185</f>
        <v>4121.83</v>
      </c>
      <c r="H186" s="26"/>
      <c r="I186" s="27"/>
    </row>
    <row r="187" spans="1:10" hidden="1" x14ac:dyDescent="0.2">
      <c r="A187" s="34"/>
      <c r="B187" s="34"/>
      <c r="C187" s="62"/>
      <c r="D187" s="34"/>
      <c r="E187" s="62"/>
      <c r="F187" s="34"/>
      <c r="G187" s="62"/>
      <c r="H187" s="34"/>
      <c r="I187" s="34"/>
    </row>
    <row r="188" spans="1:10" hidden="1" x14ac:dyDescent="0.2">
      <c r="A188" s="33" t="s">
        <v>42</v>
      </c>
      <c r="B188" s="140"/>
      <c r="C188" s="168"/>
      <c r="D188" s="141"/>
      <c r="E188" s="156"/>
      <c r="F188" s="56"/>
      <c r="G188" s="148">
        <f>C188-E188</f>
        <v>0</v>
      </c>
      <c r="H188" s="140"/>
      <c r="I188" s="27"/>
    </row>
    <row r="189" spans="1:10" hidden="1" x14ac:dyDescent="0.2">
      <c r="A189" s="142"/>
      <c r="B189" s="150" t="s">
        <v>567</v>
      </c>
      <c r="C189" s="148">
        <v>40000</v>
      </c>
      <c r="D189" s="56" t="s">
        <v>628</v>
      </c>
      <c r="E189" s="86">
        <v>35119.919999999998</v>
      </c>
      <c r="F189" s="55" t="s">
        <v>672</v>
      </c>
      <c r="G189" s="148">
        <f>C189-E189</f>
        <v>4880.0800000000017</v>
      </c>
      <c r="H189" s="150" t="s">
        <v>627</v>
      </c>
      <c r="I189" s="149" t="s">
        <v>671</v>
      </c>
    </row>
    <row r="190" spans="1:10" hidden="1" x14ac:dyDescent="0.2">
      <c r="A190" s="142"/>
      <c r="B190" s="150"/>
      <c r="C190" s="148"/>
      <c r="D190" s="56"/>
      <c r="E190" s="86"/>
      <c r="F190" s="55"/>
      <c r="G190" s="148">
        <v>-4880.08</v>
      </c>
      <c r="H190" s="150"/>
      <c r="I190" s="149"/>
      <c r="J190" s="42"/>
    </row>
    <row r="191" spans="1:10" hidden="1" x14ac:dyDescent="0.2">
      <c r="A191" s="142"/>
      <c r="B191" s="150" t="s">
        <v>567</v>
      </c>
      <c r="C191" s="148">
        <v>4880.08</v>
      </c>
      <c r="D191" s="56" t="s">
        <v>673</v>
      </c>
      <c r="E191" s="86"/>
      <c r="F191" s="55"/>
      <c r="G191" s="148"/>
      <c r="H191" s="150" t="s">
        <v>550</v>
      </c>
      <c r="I191" s="149"/>
      <c r="J191" s="42"/>
    </row>
    <row r="192" spans="1:10" hidden="1" x14ac:dyDescent="0.2">
      <c r="A192" s="142"/>
      <c r="B192" s="150"/>
      <c r="C192" s="148">
        <v>17696.939999999999</v>
      </c>
      <c r="D192" s="56" t="s">
        <v>684</v>
      </c>
      <c r="E192" s="86">
        <v>13850.48</v>
      </c>
      <c r="F192" s="55" t="s">
        <v>694</v>
      </c>
      <c r="G192" s="148"/>
      <c r="H192" s="150" t="s">
        <v>550</v>
      </c>
      <c r="I192" s="149" t="s">
        <v>691</v>
      </c>
      <c r="J192" s="42"/>
    </row>
    <row r="193" spans="1:10" hidden="1" x14ac:dyDescent="0.2">
      <c r="A193" s="142"/>
      <c r="B193" s="150"/>
      <c r="C193" s="148"/>
      <c r="D193" s="56"/>
      <c r="E193" s="86">
        <v>8726.5400000000009</v>
      </c>
      <c r="F193" s="56" t="s">
        <v>737</v>
      </c>
      <c r="G193" s="148"/>
      <c r="H193" s="150" t="s">
        <v>550</v>
      </c>
      <c r="I193" s="149" t="s">
        <v>100</v>
      </c>
      <c r="J193" s="42"/>
    </row>
    <row r="194" spans="1:10" hidden="1" x14ac:dyDescent="0.2">
      <c r="A194" s="155" t="s">
        <v>113</v>
      </c>
      <c r="B194" s="150" t="s">
        <v>10</v>
      </c>
      <c r="C194" s="148">
        <v>40000</v>
      </c>
      <c r="D194" s="56" t="s">
        <v>629</v>
      </c>
      <c r="E194" s="86">
        <v>28553</v>
      </c>
      <c r="F194" s="55" t="s">
        <v>669</v>
      </c>
      <c r="G194" s="148">
        <f>C194-E194</f>
        <v>11447</v>
      </c>
      <c r="H194" s="150" t="s">
        <v>627</v>
      </c>
      <c r="I194" s="44" t="s">
        <v>100</v>
      </c>
      <c r="J194" s="42"/>
    </row>
    <row r="195" spans="1:10" hidden="1" x14ac:dyDescent="0.2">
      <c r="A195" s="155"/>
      <c r="B195" s="150"/>
      <c r="C195" s="148"/>
      <c r="D195" s="56"/>
      <c r="E195" s="86"/>
      <c r="F195" s="55"/>
      <c r="G195" s="148">
        <v>-11447</v>
      </c>
      <c r="H195" s="150" t="s">
        <v>627</v>
      </c>
      <c r="I195" s="44" t="s">
        <v>99</v>
      </c>
    </row>
    <row r="196" spans="1:10" hidden="1" x14ac:dyDescent="0.2">
      <c r="A196" s="155"/>
      <c r="B196" s="150" t="s">
        <v>567</v>
      </c>
      <c r="C196" s="148">
        <v>40000</v>
      </c>
      <c r="D196" s="56" t="s">
        <v>636</v>
      </c>
      <c r="E196" s="86">
        <v>22303.06</v>
      </c>
      <c r="F196" s="55" t="s">
        <v>685</v>
      </c>
      <c r="G196" s="148">
        <f>C196-E196</f>
        <v>17696.939999999999</v>
      </c>
      <c r="H196" s="150" t="s">
        <v>632</v>
      </c>
      <c r="I196" s="44"/>
    </row>
    <row r="197" spans="1:10" hidden="1" x14ac:dyDescent="0.2">
      <c r="A197" s="155"/>
      <c r="B197" s="150"/>
      <c r="C197" s="148"/>
      <c r="D197" s="56"/>
      <c r="E197" s="86"/>
      <c r="F197" s="55"/>
      <c r="G197" s="148">
        <v>-17696.939999999999</v>
      </c>
      <c r="H197" s="150" t="s">
        <v>632</v>
      </c>
      <c r="I197" s="44" t="s">
        <v>683</v>
      </c>
    </row>
    <row r="198" spans="1:10" hidden="1" x14ac:dyDescent="0.2">
      <c r="A198" s="155"/>
      <c r="B198" s="150" t="s">
        <v>10</v>
      </c>
      <c r="C198" s="148">
        <v>24000</v>
      </c>
      <c r="D198" s="56" t="s">
        <v>643</v>
      </c>
      <c r="E198" s="86">
        <v>10963.32</v>
      </c>
      <c r="F198" s="55" t="s">
        <v>666</v>
      </c>
      <c r="G198" s="148">
        <f>C198-E198</f>
        <v>13036.68</v>
      </c>
      <c r="H198" s="150" t="s">
        <v>632</v>
      </c>
      <c r="I198" s="44" t="s">
        <v>100</v>
      </c>
    </row>
    <row r="199" spans="1:10" hidden="1" x14ac:dyDescent="0.2">
      <c r="A199" s="155"/>
      <c r="B199" s="150"/>
      <c r="C199" s="148"/>
      <c r="D199" s="56"/>
      <c r="E199" s="86"/>
      <c r="F199" s="55"/>
      <c r="G199" s="148">
        <v>-13036.68</v>
      </c>
      <c r="H199" s="150" t="s">
        <v>632</v>
      </c>
      <c r="I199" s="44" t="s">
        <v>99</v>
      </c>
    </row>
    <row r="200" spans="1:10" hidden="1" x14ac:dyDescent="0.2">
      <c r="A200" s="155"/>
      <c r="B200" s="150" t="s">
        <v>10</v>
      </c>
      <c r="C200" s="156">
        <v>24000</v>
      </c>
      <c r="D200" s="56" t="s">
        <v>652</v>
      </c>
      <c r="E200" s="86">
        <v>9272</v>
      </c>
      <c r="F200" s="230" t="s">
        <v>777</v>
      </c>
      <c r="G200" s="148">
        <f>19567-E200</f>
        <v>10295</v>
      </c>
      <c r="H200" s="150" t="s">
        <v>575</v>
      </c>
      <c r="I200" s="44" t="s">
        <v>100</v>
      </c>
    </row>
    <row r="201" spans="1:10" hidden="1" x14ac:dyDescent="0.2">
      <c r="A201" s="155"/>
      <c r="B201" s="150"/>
      <c r="C201" s="156"/>
      <c r="D201" s="56"/>
      <c r="E201" s="86"/>
      <c r="F201" s="55"/>
      <c r="G201" s="148">
        <v>-10295</v>
      </c>
      <c r="H201" s="150" t="s">
        <v>575</v>
      </c>
      <c r="I201" s="44" t="s">
        <v>99</v>
      </c>
    </row>
    <row r="202" spans="1:10" hidden="1" x14ac:dyDescent="0.2">
      <c r="A202" s="155"/>
      <c r="B202" s="150"/>
      <c r="C202" s="156"/>
      <c r="D202" s="56"/>
      <c r="E202" s="86"/>
      <c r="F202" s="55"/>
      <c r="G202" s="148"/>
      <c r="H202" s="150"/>
      <c r="I202" s="44"/>
    </row>
    <row r="203" spans="1:10" hidden="1" x14ac:dyDescent="0.2">
      <c r="A203" s="155"/>
      <c r="B203" s="150"/>
      <c r="C203" s="156"/>
      <c r="D203" s="56"/>
      <c r="E203" s="86"/>
      <c r="F203" s="55"/>
      <c r="G203" s="148"/>
      <c r="H203" s="150"/>
      <c r="I203" s="44"/>
    </row>
    <row r="204" spans="1:10" ht="13.5" hidden="1" thickBot="1" x14ac:dyDescent="0.25">
      <c r="A204" s="29" t="s">
        <v>43</v>
      </c>
      <c r="B204" s="30"/>
      <c r="C204" s="59">
        <f>SUM(C188:C203)</f>
        <v>190577.02000000002</v>
      </c>
      <c r="D204" s="30"/>
      <c r="E204" s="59">
        <f>SUM(E188:E203)</f>
        <v>128788.32</v>
      </c>
      <c r="F204" s="57"/>
      <c r="G204" s="59">
        <f>SUM(G188:G203)</f>
        <v>0</v>
      </c>
      <c r="H204" s="30"/>
      <c r="I204" s="31"/>
    </row>
    <row r="205" spans="1:10" ht="13.5" hidden="1" thickBot="1" x14ac:dyDescent="0.25"/>
    <row r="206" spans="1:10" ht="21" hidden="1" thickBot="1" x14ac:dyDescent="0.25">
      <c r="A206" s="489" t="s">
        <v>476</v>
      </c>
      <c r="B206" s="490"/>
      <c r="C206" s="490"/>
      <c r="D206" s="490"/>
      <c r="E206" s="490"/>
      <c r="F206" s="490"/>
      <c r="G206" s="490"/>
      <c r="H206" s="490"/>
      <c r="I206" s="491"/>
    </row>
    <row r="207" spans="1:10" ht="20.25" hidden="1" x14ac:dyDescent="0.3">
      <c r="A207" s="41"/>
      <c r="B207" s="13" t="s">
        <v>472</v>
      </c>
      <c r="C207" s="13" t="s">
        <v>473</v>
      </c>
      <c r="D207" s="91" t="s">
        <v>474</v>
      </c>
      <c r="E207" s="14"/>
      <c r="F207" s="13"/>
      <c r="G207" s="13"/>
      <c r="H207" s="13"/>
      <c r="I207" s="39"/>
    </row>
    <row r="208" spans="1:10" ht="20.25" hidden="1" x14ac:dyDescent="0.3">
      <c r="A208" s="41" t="s">
        <v>477</v>
      </c>
      <c r="B208" s="214">
        <v>101125</v>
      </c>
      <c r="C208" s="214">
        <v>72738</v>
      </c>
      <c r="D208" s="214">
        <v>143750</v>
      </c>
      <c r="E208" s="14"/>
      <c r="F208" s="13"/>
      <c r="G208" s="13"/>
      <c r="H208" s="13"/>
      <c r="I208" s="39"/>
    </row>
    <row r="209" spans="1:9" ht="20.25" hidden="1" x14ac:dyDescent="0.3">
      <c r="A209" s="41" t="s">
        <v>36</v>
      </c>
      <c r="B209" s="92">
        <f>IF(B243&gt;66125,66125,B243)</f>
        <v>0</v>
      </c>
      <c r="C209" s="92">
        <f>IF(C243&gt;66125,66125,C243)</f>
        <v>66125</v>
      </c>
      <c r="D209" s="92">
        <f>IF(D245&gt;143750,143750,D245)</f>
        <v>42747.709999999992</v>
      </c>
      <c r="E209" s="14"/>
      <c r="F209" s="13"/>
      <c r="G209" s="13"/>
      <c r="H209" s="13"/>
      <c r="I209" s="39"/>
    </row>
    <row r="210" spans="1:9" hidden="1" x14ac:dyDescent="0.2">
      <c r="A210" s="41" t="s">
        <v>475</v>
      </c>
      <c r="B210" s="92">
        <f>SUM(B208:B209)</f>
        <v>101125</v>
      </c>
      <c r="C210" s="92">
        <f>SUM(C208:C209)</f>
        <v>138863</v>
      </c>
      <c r="D210" s="92">
        <f>SUM(D208:D209)</f>
        <v>186497.71</v>
      </c>
      <c r="E210" s="130" t="s">
        <v>107</v>
      </c>
      <c r="F210" s="13"/>
      <c r="G210" s="13"/>
      <c r="H210" s="13"/>
      <c r="I210" s="39"/>
    </row>
    <row r="211" spans="1:9" hidden="1" x14ac:dyDescent="0.2">
      <c r="A211" s="41" t="s">
        <v>47</v>
      </c>
      <c r="B211" s="92">
        <f>B246</f>
        <v>0</v>
      </c>
      <c r="C211" s="92">
        <f>IF(C244&gt;66125,66125,C244)</f>
        <v>66125</v>
      </c>
      <c r="D211" s="92">
        <f>IF(D246&gt;143750, 143750,D246)</f>
        <v>16572.359999999986</v>
      </c>
      <c r="E211" s="493"/>
      <c r="F211" s="493"/>
      <c r="G211" s="493"/>
      <c r="H211" s="493"/>
      <c r="I211" s="512"/>
    </row>
    <row r="212" spans="1:9" hidden="1" x14ac:dyDescent="0.2">
      <c r="A212" s="41" t="s">
        <v>479</v>
      </c>
      <c r="B212" s="92">
        <f>B208+B211</f>
        <v>101125</v>
      </c>
      <c r="C212" s="92">
        <f>C208+C211</f>
        <v>138863</v>
      </c>
      <c r="D212" s="92">
        <f>D208+D211</f>
        <v>160322.35999999999</v>
      </c>
      <c r="E212" s="151" t="s">
        <v>108</v>
      </c>
      <c r="F212" s="13"/>
      <c r="G212" s="13"/>
      <c r="H212" s="13"/>
      <c r="I212" s="39"/>
    </row>
    <row r="213" spans="1:9" hidden="1" x14ac:dyDescent="0.2">
      <c r="A213" s="41" t="s">
        <v>39</v>
      </c>
      <c r="B213" s="92">
        <f>B210-E218</f>
        <v>0</v>
      </c>
      <c r="C213" s="92">
        <f>C210-E221</f>
        <v>103717.79000000001</v>
      </c>
      <c r="D213" s="92">
        <f>D210-E235</f>
        <v>42783.249999999971</v>
      </c>
      <c r="E213" s="151" t="s">
        <v>109</v>
      </c>
      <c r="F213" s="13"/>
      <c r="G213" s="13"/>
      <c r="H213" s="13"/>
      <c r="I213" s="39"/>
    </row>
    <row r="214" spans="1:9" hidden="1" x14ac:dyDescent="0.2">
      <c r="A214" s="41" t="s">
        <v>35</v>
      </c>
      <c r="B214" s="93">
        <f>B212-E218-G218</f>
        <v>0</v>
      </c>
      <c r="C214" s="94">
        <f>C212-E221-G221</f>
        <v>103717.79000000001</v>
      </c>
      <c r="D214" s="94">
        <f>D212-E235-G235</f>
        <v>6007.4999999999636</v>
      </c>
      <c r="E214" s="151" t="s">
        <v>110</v>
      </c>
      <c r="F214" s="145"/>
      <c r="G214" s="145"/>
      <c r="H214" s="145"/>
      <c r="I214" s="39"/>
    </row>
    <row r="215" spans="1:9" ht="21" hidden="1" thickBot="1" x14ac:dyDescent="0.35">
      <c r="A215" s="41"/>
      <c r="B215" s="13"/>
      <c r="C215" s="13"/>
      <c r="D215" s="13"/>
      <c r="E215" s="14"/>
      <c r="F215" s="13"/>
      <c r="G215" s="13"/>
      <c r="H215" s="13"/>
      <c r="I215" s="39"/>
    </row>
    <row r="216" spans="1:9" ht="51" hidden="1" x14ac:dyDescent="0.2">
      <c r="A216" s="15" t="s">
        <v>41</v>
      </c>
      <c r="B216" s="16" t="s">
        <v>34</v>
      </c>
      <c r="C216" s="20" t="s">
        <v>64</v>
      </c>
      <c r="D216" s="20" t="s">
        <v>63</v>
      </c>
      <c r="E216" s="16" t="s">
        <v>37</v>
      </c>
      <c r="F216" s="16" t="s">
        <v>40</v>
      </c>
      <c r="G216" s="16" t="s">
        <v>46</v>
      </c>
      <c r="H216" s="16" t="s">
        <v>38</v>
      </c>
      <c r="I216" s="17" t="s">
        <v>5</v>
      </c>
    </row>
    <row r="217" spans="1:9" hidden="1" x14ac:dyDescent="0.2">
      <c r="A217" s="32" t="s">
        <v>10</v>
      </c>
      <c r="B217" s="23" t="s">
        <v>10</v>
      </c>
      <c r="C217" s="60">
        <v>101125</v>
      </c>
      <c r="D217" s="53"/>
      <c r="E217" s="60">
        <v>101125</v>
      </c>
      <c r="F217" s="23" t="s">
        <v>490</v>
      </c>
      <c r="G217" s="23"/>
      <c r="H217" s="23" t="s">
        <v>491</v>
      </c>
      <c r="I217" s="24"/>
    </row>
    <row r="218" spans="1:9" hidden="1" x14ac:dyDescent="0.2">
      <c r="A218" s="25" t="s">
        <v>43</v>
      </c>
      <c r="B218" s="26"/>
      <c r="C218" s="64">
        <f>C217</f>
        <v>101125</v>
      </c>
      <c r="D218" s="26"/>
      <c r="E218" s="64">
        <f>E217</f>
        <v>101125</v>
      </c>
      <c r="F218" s="26"/>
      <c r="G218" s="61">
        <f>G217</f>
        <v>0</v>
      </c>
      <c r="H218" s="26"/>
      <c r="I218" s="27"/>
    </row>
    <row r="219" spans="1:9" hidden="1" x14ac:dyDescent="0.2">
      <c r="A219" s="34"/>
      <c r="B219" s="34"/>
      <c r="C219" s="62"/>
      <c r="D219" s="34"/>
      <c r="E219" s="62"/>
      <c r="F219" s="34"/>
      <c r="G219" s="62"/>
      <c r="H219" s="34"/>
      <c r="I219" s="34"/>
    </row>
    <row r="220" spans="1:9" hidden="1" x14ac:dyDescent="0.2">
      <c r="A220" s="33" t="s">
        <v>44</v>
      </c>
      <c r="B220" s="26" t="s">
        <v>567</v>
      </c>
      <c r="C220" s="61">
        <v>35145.21</v>
      </c>
      <c r="D220" s="53">
        <v>43374</v>
      </c>
      <c r="E220" s="61">
        <v>35145.21</v>
      </c>
      <c r="F220" s="26" t="s">
        <v>582</v>
      </c>
      <c r="G220" s="87"/>
      <c r="H220" s="26" t="s">
        <v>487</v>
      </c>
      <c r="I220" s="45"/>
    </row>
    <row r="221" spans="1:9" hidden="1" x14ac:dyDescent="0.2">
      <c r="A221" s="25" t="s">
        <v>43</v>
      </c>
      <c r="B221" s="26"/>
      <c r="C221" s="63">
        <f>C220</f>
        <v>35145.21</v>
      </c>
      <c r="D221" s="26"/>
      <c r="E221" s="63">
        <f>E220</f>
        <v>35145.21</v>
      </c>
      <c r="F221" s="26"/>
      <c r="G221" s="63">
        <f>G220</f>
        <v>0</v>
      </c>
      <c r="H221" s="26"/>
      <c r="I221" s="27"/>
    </row>
    <row r="222" spans="1:9" hidden="1" x14ac:dyDescent="0.2">
      <c r="A222" s="34"/>
      <c r="B222" s="34"/>
      <c r="C222" s="62"/>
      <c r="D222" s="34"/>
      <c r="E222" s="62"/>
      <c r="F222" s="34"/>
      <c r="G222" s="62"/>
      <c r="H222" s="34"/>
      <c r="I222" s="34"/>
    </row>
    <row r="223" spans="1:9" hidden="1" x14ac:dyDescent="0.2">
      <c r="A223" s="33" t="s">
        <v>42</v>
      </c>
      <c r="B223" s="140"/>
      <c r="C223" s="168"/>
      <c r="D223" s="141"/>
      <c r="E223" s="156"/>
      <c r="F223" s="56"/>
      <c r="G223" s="148">
        <f>C223-E223</f>
        <v>0</v>
      </c>
      <c r="H223" s="140"/>
      <c r="I223" s="27" t="s">
        <v>584</v>
      </c>
    </row>
    <row r="224" spans="1:9" ht="25.5" hidden="1" x14ac:dyDescent="0.2">
      <c r="A224" s="142"/>
      <c r="B224" s="150" t="s">
        <v>567</v>
      </c>
      <c r="C224" s="148">
        <f>30000-15400</f>
        <v>14600</v>
      </c>
      <c r="D224" s="56" t="s">
        <v>505</v>
      </c>
      <c r="E224" s="86">
        <v>3999.6</v>
      </c>
      <c r="F224" s="55" t="s">
        <v>586</v>
      </c>
      <c r="G224" s="148">
        <f>14600-E224-C234</f>
        <v>10600.4</v>
      </c>
      <c r="H224" s="150" t="s">
        <v>401</v>
      </c>
      <c r="I224" s="149" t="s">
        <v>576</v>
      </c>
    </row>
    <row r="225" spans="1:9" hidden="1" x14ac:dyDescent="0.2">
      <c r="A225" s="155" t="s">
        <v>113</v>
      </c>
      <c r="B225" s="150" t="s">
        <v>10</v>
      </c>
      <c r="C225" s="148">
        <v>2000</v>
      </c>
      <c r="D225" s="56" t="s">
        <v>523</v>
      </c>
      <c r="E225" s="86">
        <v>2000</v>
      </c>
      <c r="F225" s="55" t="s">
        <v>553</v>
      </c>
      <c r="G225" s="148">
        <v>0</v>
      </c>
      <c r="H225" s="150" t="s">
        <v>518</v>
      </c>
      <c r="I225" s="83"/>
    </row>
    <row r="226" spans="1:9" hidden="1" x14ac:dyDescent="0.2">
      <c r="A226" s="155"/>
      <c r="B226" s="150" t="s">
        <v>10</v>
      </c>
      <c r="C226" s="148">
        <v>50000</v>
      </c>
      <c r="D226" s="56" t="s">
        <v>539</v>
      </c>
      <c r="E226" s="86">
        <v>8505</v>
      </c>
      <c r="F226" s="55" t="s">
        <v>571</v>
      </c>
      <c r="G226" s="148">
        <f>C226-E226</f>
        <v>41495</v>
      </c>
      <c r="H226" s="150" t="s">
        <v>535</v>
      </c>
      <c r="I226" s="44" t="s">
        <v>569</v>
      </c>
    </row>
    <row r="227" spans="1:9" hidden="1" x14ac:dyDescent="0.2">
      <c r="A227" s="155"/>
      <c r="B227" s="150"/>
      <c r="C227" s="148"/>
      <c r="D227" s="56"/>
      <c r="E227" s="86"/>
      <c r="F227" s="55"/>
      <c r="G227" s="148">
        <v>-41495</v>
      </c>
      <c r="H227" s="150"/>
      <c r="I227" s="44"/>
    </row>
    <row r="228" spans="1:9" hidden="1" x14ac:dyDescent="0.2">
      <c r="A228" s="155"/>
      <c r="B228" s="150" t="s">
        <v>532</v>
      </c>
      <c r="C228" s="156">
        <v>40000</v>
      </c>
      <c r="D228" s="56" t="s">
        <v>540</v>
      </c>
      <c r="E228" s="86">
        <v>40000</v>
      </c>
      <c r="F228" s="55" t="s">
        <v>573</v>
      </c>
      <c r="G228" s="148">
        <f>C228-E228</f>
        <v>0</v>
      </c>
      <c r="H228" s="150" t="s">
        <v>535</v>
      </c>
      <c r="I228" s="44" t="s">
        <v>100</v>
      </c>
    </row>
    <row r="229" spans="1:9" hidden="1" x14ac:dyDescent="0.2">
      <c r="A229" s="155"/>
      <c r="B229" s="150" t="s">
        <v>10</v>
      </c>
      <c r="C229" s="156">
        <v>60000</v>
      </c>
      <c r="D229" s="56" t="s">
        <v>595</v>
      </c>
      <c r="E229" s="86">
        <v>17747</v>
      </c>
      <c r="F229" s="55" t="s">
        <v>615</v>
      </c>
      <c r="G229" s="148"/>
      <c r="H229" s="520" t="s">
        <v>550</v>
      </c>
      <c r="I229" s="44" t="s">
        <v>579</v>
      </c>
    </row>
    <row r="230" spans="1:9" hidden="1" x14ac:dyDescent="0.2">
      <c r="A230" s="155"/>
      <c r="B230" s="150"/>
      <c r="C230" s="156"/>
      <c r="D230" s="56"/>
      <c r="E230" s="86">
        <v>24568</v>
      </c>
      <c r="F230" s="252" t="s">
        <v>710</v>
      </c>
      <c r="G230" s="148">
        <f>42253-24568</f>
        <v>17685</v>
      </c>
      <c r="H230" s="521"/>
      <c r="I230" s="44" t="s">
        <v>188</v>
      </c>
    </row>
    <row r="231" spans="1:9" hidden="1" x14ac:dyDescent="0.2">
      <c r="A231" s="155"/>
      <c r="B231" s="150"/>
      <c r="C231" s="156"/>
      <c r="D231" s="56"/>
      <c r="E231" s="86">
        <v>17685</v>
      </c>
      <c r="F231" s="252" t="s">
        <v>775</v>
      </c>
      <c r="G231" s="148">
        <v>-17685</v>
      </c>
      <c r="H231" s="276" t="s">
        <v>550</v>
      </c>
      <c r="I231" s="44" t="s">
        <v>766</v>
      </c>
    </row>
    <row r="232" spans="1:9" hidden="1" x14ac:dyDescent="0.2">
      <c r="A232" s="155"/>
      <c r="B232" s="150" t="s">
        <v>532</v>
      </c>
      <c r="C232" s="156">
        <v>15400</v>
      </c>
      <c r="D232" s="56" t="s">
        <v>572</v>
      </c>
      <c r="E232" s="86">
        <v>15400</v>
      </c>
      <c r="F232" s="55" t="s">
        <v>583</v>
      </c>
      <c r="G232" s="148">
        <f>C232-E232</f>
        <v>0</v>
      </c>
      <c r="H232" s="150" t="s">
        <v>570</v>
      </c>
      <c r="I232" s="44" t="s">
        <v>577</v>
      </c>
    </row>
    <row r="233" spans="1:9" hidden="1" x14ac:dyDescent="0.2">
      <c r="A233" s="155"/>
      <c r="B233" s="150" t="s">
        <v>532</v>
      </c>
      <c r="C233" s="156">
        <v>17740</v>
      </c>
      <c r="D233" s="56" t="s">
        <v>587</v>
      </c>
      <c r="E233" s="86">
        <v>13809.86</v>
      </c>
      <c r="F233" s="239" t="s">
        <v>689</v>
      </c>
      <c r="G233" s="148">
        <f>C233-E233</f>
        <v>3930.1399999999994</v>
      </c>
      <c r="H233" s="150" t="s">
        <v>575</v>
      </c>
      <c r="I233" s="44" t="s">
        <v>585</v>
      </c>
    </row>
    <row r="234" spans="1:9" hidden="1" x14ac:dyDescent="0.2">
      <c r="A234" s="155"/>
      <c r="B234" s="150"/>
      <c r="C234" s="156"/>
      <c r="D234" s="56"/>
      <c r="E234" s="86"/>
      <c r="F234" s="55"/>
      <c r="G234" s="148">
        <v>-3930.14</v>
      </c>
      <c r="H234" s="150" t="s">
        <v>575</v>
      </c>
      <c r="I234" s="248" t="s">
        <v>723</v>
      </c>
    </row>
    <row r="235" spans="1:9" ht="13.5" hidden="1" thickBot="1" x14ac:dyDescent="0.25">
      <c r="A235" s="29" t="s">
        <v>43</v>
      </c>
      <c r="B235" s="30"/>
      <c r="C235" s="59">
        <f>SUM(C223:C234)</f>
        <v>199740</v>
      </c>
      <c r="D235" s="30"/>
      <c r="E235" s="59">
        <f>SUM(E223:E234)</f>
        <v>143714.46000000002</v>
      </c>
      <c r="F235" s="57"/>
      <c r="G235" s="59">
        <f>SUM(G223:G234)</f>
        <v>10600.400000000001</v>
      </c>
      <c r="H235" s="30"/>
      <c r="I235" s="31"/>
    </row>
    <row r="236" spans="1:9" hidden="1" x14ac:dyDescent="0.2"/>
    <row r="237" spans="1:9" ht="13.5" hidden="1" thickBot="1" x14ac:dyDescent="0.25"/>
    <row r="238" spans="1:9" ht="21" hidden="1" thickBot="1" x14ac:dyDescent="0.25">
      <c r="A238" s="489" t="s">
        <v>327</v>
      </c>
      <c r="B238" s="490"/>
      <c r="C238" s="490"/>
      <c r="D238" s="490"/>
      <c r="E238" s="490"/>
      <c r="F238" s="490"/>
      <c r="G238" s="490"/>
      <c r="H238" s="490"/>
      <c r="I238" s="491"/>
    </row>
    <row r="239" spans="1:9" ht="20.25" hidden="1" x14ac:dyDescent="0.3">
      <c r="A239" s="41"/>
      <c r="B239" s="13" t="s">
        <v>322</v>
      </c>
      <c r="C239" s="13" t="s">
        <v>323</v>
      </c>
      <c r="D239" s="91" t="s">
        <v>324</v>
      </c>
      <c r="E239" s="14"/>
      <c r="F239" s="13"/>
      <c r="G239" s="13"/>
      <c r="H239" s="13"/>
      <c r="I239" s="39"/>
    </row>
    <row r="240" spans="1:9" ht="20.25" hidden="1" x14ac:dyDescent="0.3">
      <c r="A240" s="41" t="s">
        <v>328</v>
      </c>
      <c r="B240" s="92">
        <v>66125</v>
      </c>
      <c r="C240" s="92">
        <v>66125</v>
      </c>
      <c r="D240" s="92">
        <v>143750</v>
      </c>
      <c r="E240" s="14"/>
      <c r="F240" s="13"/>
      <c r="G240" s="13"/>
      <c r="H240" s="13"/>
      <c r="I240" s="39"/>
    </row>
    <row r="241" spans="1:9" ht="20.25" hidden="1" x14ac:dyDescent="0.3">
      <c r="A241" s="41" t="s">
        <v>36</v>
      </c>
      <c r="B241" s="92">
        <f>IF(B286&gt;66125,66125,B286)</f>
        <v>0</v>
      </c>
      <c r="C241" s="92">
        <f>IF(C286&gt;66125,66125,C286)</f>
        <v>66125</v>
      </c>
      <c r="D241" s="92">
        <f>IF(D286&gt;143750,143750,D286)</f>
        <v>32906.649999999994</v>
      </c>
      <c r="E241" s="14"/>
      <c r="F241" s="13"/>
      <c r="G241" s="13"/>
      <c r="H241" s="13"/>
      <c r="I241" s="39"/>
    </row>
    <row r="242" spans="1:9" hidden="1" x14ac:dyDescent="0.2">
      <c r="A242" s="41" t="s">
        <v>325</v>
      </c>
      <c r="B242" s="92">
        <f>SUM(B240:B241)</f>
        <v>66125</v>
      </c>
      <c r="C242" s="92">
        <f>SUM(C240:C241)</f>
        <v>132250</v>
      </c>
      <c r="D242" s="92">
        <f>SUM(D240:D241)</f>
        <v>176656.65</v>
      </c>
      <c r="E242" s="130" t="s">
        <v>107</v>
      </c>
      <c r="F242" s="13"/>
      <c r="G242" s="13"/>
      <c r="H242" s="13"/>
      <c r="I242" s="39"/>
    </row>
    <row r="243" spans="1:9" hidden="1" x14ac:dyDescent="0.2">
      <c r="A243" s="41" t="s">
        <v>47</v>
      </c>
      <c r="B243" s="92">
        <f>B287</f>
        <v>0</v>
      </c>
      <c r="C243" s="92">
        <f>IF(C287&gt;66125,66125,C287)</f>
        <v>66125</v>
      </c>
      <c r="D243" s="92">
        <f>D287</f>
        <v>15940.359999999986</v>
      </c>
      <c r="E243" s="493"/>
      <c r="F243" s="493"/>
      <c r="G243" s="493"/>
      <c r="H243" s="493"/>
      <c r="I243" s="512"/>
    </row>
    <row r="244" spans="1:9" hidden="1" x14ac:dyDescent="0.2">
      <c r="A244" s="41" t="s">
        <v>45</v>
      </c>
      <c r="B244" s="92">
        <f>B240+B243</f>
        <v>66125</v>
      </c>
      <c r="C244" s="92">
        <f>C240+C243</f>
        <v>132250</v>
      </c>
      <c r="D244" s="92">
        <f>D240+D243</f>
        <v>159690.35999999999</v>
      </c>
      <c r="E244" s="151" t="s">
        <v>108</v>
      </c>
      <c r="F244" s="13"/>
      <c r="G244" s="13"/>
      <c r="H244" s="13"/>
      <c r="I244" s="39"/>
    </row>
    <row r="245" spans="1:9" hidden="1" x14ac:dyDescent="0.2">
      <c r="A245" s="41" t="s">
        <v>39</v>
      </c>
      <c r="B245" s="92">
        <f>B242-E250</f>
        <v>0</v>
      </c>
      <c r="C245" s="92">
        <f>C242-E253</f>
        <v>109475.34</v>
      </c>
      <c r="D245" s="92">
        <f>D242-E277</f>
        <v>42747.709999999992</v>
      </c>
      <c r="E245" s="151" t="s">
        <v>109</v>
      </c>
      <c r="F245" s="13"/>
      <c r="G245" s="13"/>
      <c r="H245" s="13"/>
      <c r="I245" s="39"/>
    </row>
    <row r="246" spans="1:9" hidden="1" x14ac:dyDescent="0.2">
      <c r="A246" s="41" t="s">
        <v>35</v>
      </c>
      <c r="B246" s="93">
        <f>B244-E250-G250</f>
        <v>0</v>
      </c>
      <c r="C246" s="94">
        <f>C244-E253-G253</f>
        <v>109475.34</v>
      </c>
      <c r="D246" s="94">
        <f>D244-E277-G277</f>
        <v>16572.359999999986</v>
      </c>
      <c r="E246" s="151" t="s">
        <v>110</v>
      </c>
      <c r="F246" s="145"/>
      <c r="G246" s="145"/>
      <c r="H246" s="145"/>
      <c r="I246" s="39"/>
    </row>
    <row r="247" spans="1:9" ht="21" hidden="1" thickBot="1" x14ac:dyDescent="0.35">
      <c r="A247" s="41"/>
      <c r="B247" s="13"/>
      <c r="C247" s="13"/>
      <c r="D247" s="13"/>
      <c r="E247" s="14"/>
      <c r="F247" s="13"/>
      <c r="G247" s="13"/>
      <c r="H247" s="13"/>
      <c r="I247" s="39"/>
    </row>
    <row r="248" spans="1:9" ht="51" hidden="1" x14ac:dyDescent="0.2">
      <c r="A248" s="15" t="s">
        <v>41</v>
      </c>
      <c r="B248" s="16" t="s">
        <v>34</v>
      </c>
      <c r="C248" s="20" t="s">
        <v>64</v>
      </c>
      <c r="D248" s="20" t="s">
        <v>63</v>
      </c>
      <c r="E248" s="16" t="s">
        <v>37</v>
      </c>
      <c r="F248" s="16" t="s">
        <v>40</v>
      </c>
      <c r="G248" s="16" t="s">
        <v>46</v>
      </c>
      <c r="H248" s="16" t="s">
        <v>38</v>
      </c>
      <c r="I248" s="17" t="s">
        <v>5</v>
      </c>
    </row>
    <row r="249" spans="1:9" hidden="1" x14ac:dyDescent="0.2">
      <c r="A249" s="32" t="s">
        <v>10</v>
      </c>
      <c r="B249" s="23" t="s">
        <v>10</v>
      </c>
      <c r="C249" s="60">
        <v>66125</v>
      </c>
      <c r="D249" s="53">
        <v>42738</v>
      </c>
      <c r="E249" s="60">
        <v>66125</v>
      </c>
      <c r="F249" s="23" t="s">
        <v>354</v>
      </c>
      <c r="G249" s="23"/>
      <c r="H249" s="23" t="s">
        <v>355</v>
      </c>
      <c r="I249" s="24"/>
    </row>
    <row r="250" spans="1:9" hidden="1" x14ac:dyDescent="0.2">
      <c r="A250" s="25" t="s">
        <v>43</v>
      </c>
      <c r="B250" s="26"/>
      <c r="C250" s="64">
        <f>C249</f>
        <v>66125</v>
      </c>
      <c r="D250" s="26"/>
      <c r="E250" s="64">
        <f>E249</f>
        <v>66125</v>
      </c>
      <c r="F250" s="26"/>
      <c r="G250" s="61">
        <f>G249</f>
        <v>0</v>
      </c>
      <c r="H250" s="26"/>
      <c r="I250" s="27"/>
    </row>
    <row r="251" spans="1:9" hidden="1" x14ac:dyDescent="0.2">
      <c r="A251" s="34"/>
      <c r="B251" s="34"/>
      <c r="C251" s="62"/>
      <c r="D251" s="34"/>
      <c r="E251" s="62"/>
      <c r="F251" s="34"/>
      <c r="G251" s="62"/>
      <c r="H251" s="34"/>
      <c r="I251" s="34"/>
    </row>
    <row r="252" spans="1:9" hidden="1" x14ac:dyDescent="0.2">
      <c r="A252" s="33" t="s">
        <v>44</v>
      </c>
      <c r="B252" s="26" t="s">
        <v>11</v>
      </c>
      <c r="C252" s="61">
        <v>22774.66</v>
      </c>
      <c r="D252" s="53">
        <v>43185</v>
      </c>
      <c r="E252" s="61">
        <v>22774.66</v>
      </c>
      <c r="F252" s="26" t="s">
        <v>531</v>
      </c>
      <c r="G252" s="87"/>
      <c r="H252" s="26" t="s">
        <v>530</v>
      </c>
      <c r="I252" s="45"/>
    </row>
    <row r="253" spans="1:9" hidden="1" x14ac:dyDescent="0.2">
      <c r="A253" s="25" t="s">
        <v>43</v>
      </c>
      <c r="B253" s="26"/>
      <c r="C253" s="63">
        <f>C252</f>
        <v>22774.66</v>
      </c>
      <c r="D253" s="26"/>
      <c r="E253" s="63">
        <f>E252</f>
        <v>22774.66</v>
      </c>
      <c r="F253" s="26"/>
      <c r="G253" s="63">
        <f>G252</f>
        <v>0</v>
      </c>
      <c r="H253" s="26"/>
      <c r="I253" s="27"/>
    </row>
    <row r="254" spans="1:9" hidden="1" x14ac:dyDescent="0.2">
      <c r="A254" s="34"/>
      <c r="B254" s="34"/>
      <c r="C254" s="62"/>
      <c r="D254" s="34"/>
      <c r="E254" s="62"/>
      <c r="F254" s="34"/>
      <c r="G254" s="62"/>
      <c r="H254" s="34"/>
      <c r="I254" s="34"/>
    </row>
    <row r="255" spans="1:9" hidden="1" x14ac:dyDescent="0.2">
      <c r="A255" s="33" t="s">
        <v>42</v>
      </c>
      <c r="B255" s="140"/>
      <c r="C255" s="168"/>
      <c r="D255" s="141"/>
      <c r="E255" s="156"/>
      <c r="F255" s="56"/>
      <c r="G255" s="148">
        <f>C255-E255</f>
        <v>0</v>
      </c>
      <c r="H255" s="140"/>
      <c r="I255" s="27"/>
    </row>
    <row r="256" spans="1:9" hidden="1" x14ac:dyDescent="0.2">
      <c r="A256" s="155"/>
      <c r="B256" s="494" t="s">
        <v>10</v>
      </c>
      <c r="C256" s="148">
        <v>12000</v>
      </c>
      <c r="D256" s="56" t="s">
        <v>358</v>
      </c>
      <c r="E256" s="156">
        <v>11745</v>
      </c>
      <c r="F256" s="498" t="s">
        <v>414</v>
      </c>
      <c r="G256" s="148">
        <f>C256-E256</f>
        <v>255</v>
      </c>
      <c r="H256" s="494" t="s">
        <v>267</v>
      </c>
      <c r="I256" s="44"/>
    </row>
    <row r="257" spans="1:9" hidden="1" x14ac:dyDescent="0.2">
      <c r="A257" s="155"/>
      <c r="B257" s="495"/>
      <c r="C257" s="148"/>
      <c r="D257" s="56"/>
      <c r="E257" s="156"/>
      <c r="F257" s="495"/>
      <c r="G257" s="148">
        <v>-255</v>
      </c>
      <c r="H257" s="495"/>
      <c r="I257" s="44" t="s">
        <v>66</v>
      </c>
    </row>
    <row r="258" spans="1:9" hidden="1" x14ac:dyDescent="0.2">
      <c r="A258" s="142"/>
      <c r="B258" s="150" t="s">
        <v>10</v>
      </c>
      <c r="C258" s="148">
        <v>6000</v>
      </c>
      <c r="D258" s="56" t="s">
        <v>371</v>
      </c>
      <c r="E258" s="86"/>
      <c r="F258" s="55"/>
      <c r="G258" s="148">
        <v>0</v>
      </c>
      <c r="H258" s="150" t="s">
        <v>365</v>
      </c>
      <c r="I258" s="44" t="s">
        <v>440</v>
      </c>
    </row>
    <row r="259" spans="1:9" hidden="1" x14ac:dyDescent="0.2">
      <c r="A259" s="155" t="s">
        <v>113</v>
      </c>
      <c r="B259" s="150" t="s">
        <v>10</v>
      </c>
      <c r="C259" s="148">
        <v>14000</v>
      </c>
      <c r="D259" s="56" t="s">
        <v>372</v>
      </c>
      <c r="E259" s="86">
        <v>14000</v>
      </c>
      <c r="F259" s="55" t="s">
        <v>426</v>
      </c>
      <c r="G259" s="148">
        <f>C259-E259</f>
        <v>0</v>
      </c>
      <c r="H259" s="150" t="s">
        <v>366</v>
      </c>
      <c r="I259" s="83"/>
    </row>
    <row r="260" spans="1:9" hidden="1" x14ac:dyDescent="0.2">
      <c r="A260" s="155"/>
      <c r="B260" s="494" t="s">
        <v>10</v>
      </c>
      <c r="C260" s="496">
        <v>12000</v>
      </c>
      <c r="D260" s="498" t="s">
        <v>373</v>
      </c>
      <c r="E260" s="86">
        <v>10155</v>
      </c>
      <c r="F260" s="55" t="s">
        <v>469</v>
      </c>
      <c r="G260" s="148">
        <f>C260-E260</f>
        <v>1845</v>
      </c>
      <c r="H260" s="494" t="s">
        <v>367</v>
      </c>
      <c r="I260" s="44" t="s">
        <v>189</v>
      </c>
    </row>
    <row r="261" spans="1:9" hidden="1" x14ac:dyDescent="0.2">
      <c r="A261" s="155"/>
      <c r="B261" s="507"/>
      <c r="C261" s="508"/>
      <c r="D261" s="507"/>
      <c r="E261" s="499">
        <v>1145</v>
      </c>
      <c r="F261" s="513" t="s">
        <v>516</v>
      </c>
      <c r="G261" s="148">
        <v>700</v>
      </c>
      <c r="H261" s="507"/>
      <c r="I261" s="44" t="s">
        <v>90</v>
      </c>
    </row>
    <row r="262" spans="1:9" hidden="1" x14ac:dyDescent="0.2">
      <c r="A262" s="155"/>
      <c r="B262" s="495"/>
      <c r="C262" s="497"/>
      <c r="D262" s="495"/>
      <c r="E262" s="497"/>
      <c r="F262" s="495"/>
      <c r="G262" s="148">
        <v>-700</v>
      </c>
      <c r="H262" s="495"/>
      <c r="I262" s="44" t="s">
        <v>515</v>
      </c>
    </row>
    <row r="263" spans="1:9" hidden="1" x14ac:dyDescent="0.2">
      <c r="A263" s="155"/>
      <c r="B263" s="150" t="s">
        <v>10</v>
      </c>
      <c r="C263" s="156">
        <v>0</v>
      </c>
      <c r="D263" s="56" t="s">
        <v>375</v>
      </c>
      <c r="E263" s="86"/>
      <c r="F263" s="55"/>
      <c r="G263" s="148">
        <v>0</v>
      </c>
      <c r="H263" s="150" t="s">
        <v>374</v>
      </c>
      <c r="I263" s="44" t="s">
        <v>428</v>
      </c>
    </row>
    <row r="264" spans="1:9" hidden="1" x14ac:dyDescent="0.2">
      <c r="A264" s="155"/>
      <c r="B264" s="150" t="s">
        <v>11</v>
      </c>
      <c r="C264" s="156">
        <v>8768</v>
      </c>
      <c r="D264" s="56" t="s">
        <v>381</v>
      </c>
      <c r="E264" s="86">
        <v>8768</v>
      </c>
      <c r="F264" s="55" t="s">
        <v>407</v>
      </c>
      <c r="G264" s="148">
        <f t="shared" ref="G264:G276" si="0">C264-E264</f>
        <v>0</v>
      </c>
      <c r="H264" s="150" t="s">
        <v>267</v>
      </c>
      <c r="I264" s="44"/>
    </row>
    <row r="265" spans="1:9" hidden="1" x14ac:dyDescent="0.2">
      <c r="A265" s="155"/>
      <c r="B265" s="150" t="s">
        <v>11</v>
      </c>
      <c r="C265" s="156">
        <v>22960</v>
      </c>
      <c r="D265" s="56" t="s">
        <v>384</v>
      </c>
      <c r="E265" s="86">
        <v>14313.74</v>
      </c>
      <c r="F265" s="55" t="s">
        <v>456</v>
      </c>
      <c r="G265" s="148">
        <f t="shared" si="0"/>
        <v>8646.26</v>
      </c>
      <c r="H265" s="150" t="s">
        <v>383</v>
      </c>
      <c r="I265" s="44"/>
    </row>
    <row r="266" spans="1:9" hidden="1" x14ac:dyDescent="0.2">
      <c r="A266" s="155"/>
      <c r="B266" s="150"/>
      <c r="C266" s="156"/>
      <c r="D266" s="56"/>
      <c r="E266" s="86"/>
      <c r="F266" s="55"/>
      <c r="G266" s="148">
        <v>-8646.26</v>
      </c>
      <c r="H266" s="150" t="s">
        <v>367</v>
      </c>
      <c r="I266" s="44" t="s">
        <v>454</v>
      </c>
    </row>
    <row r="267" spans="1:9" hidden="1" x14ac:dyDescent="0.2">
      <c r="A267" s="155"/>
      <c r="B267" s="150" t="s">
        <v>11</v>
      </c>
      <c r="C267" s="156">
        <v>20000</v>
      </c>
      <c r="D267" s="56" t="s">
        <v>403</v>
      </c>
      <c r="E267" s="86">
        <v>20000</v>
      </c>
      <c r="F267" s="55" t="s">
        <v>460</v>
      </c>
      <c r="G267" s="148">
        <f t="shared" si="0"/>
        <v>0</v>
      </c>
      <c r="H267" s="150" t="s">
        <v>401</v>
      </c>
      <c r="I267" s="44"/>
    </row>
    <row r="268" spans="1:9" hidden="1" x14ac:dyDescent="0.2">
      <c r="A268" s="155"/>
      <c r="B268" s="150" t="s">
        <v>11</v>
      </c>
      <c r="C268" s="156">
        <v>20000</v>
      </c>
      <c r="D268" s="56" t="s">
        <v>404</v>
      </c>
      <c r="E268" s="86">
        <v>20000</v>
      </c>
      <c r="F268" s="513" t="s">
        <v>470</v>
      </c>
      <c r="G268" s="148">
        <f t="shared" si="0"/>
        <v>0</v>
      </c>
      <c r="H268" s="150" t="s">
        <v>402</v>
      </c>
      <c r="I268" s="44"/>
    </row>
    <row r="269" spans="1:9" hidden="1" x14ac:dyDescent="0.2">
      <c r="A269" s="155"/>
      <c r="B269" s="150"/>
      <c r="C269" s="156">
        <v>8646.26</v>
      </c>
      <c r="D269" s="56" t="s">
        <v>461</v>
      </c>
      <c r="E269" s="86">
        <v>8646.26</v>
      </c>
      <c r="F269" s="495"/>
      <c r="G269" s="148">
        <v>0</v>
      </c>
      <c r="H269" s="150" t="s">
        <v>402</v>
      </c>
      <c r="I269" s="44" t="s">
        <v>453</v>
      </c>
    </row>
    <row r="270" spans="1:9" hidden="1" x14ac:dyDescent="0.2">
      <c r="A270" s="155"/>
      <c r="B270" s="150" t="s">
        <v>10</v>
      </c>
      <c r="C270" s="156">
        <v>15000</v>
      </c>
      <c r="D270" s="56" t="s">
        <v>418</v>
      </c>
      <c r="E270" s="86">
        <v>15000</v>
      </c>
      <c r="F270" s="55" t="s">
        <v>464</v>
      </c>
      <c r="G270" s="148">
        <f t="shared" si="0"/>
        <v>0</v>
      </c>
      <c r="H270" s="150" t="s">
        <v>416</v>
      </c>
      <c r="I270" s="44" t="s">
        <v>450</v>
      </c>
    </row>
    <row r="271" spans="1:9" hidden="1" x14ac:dyDescent="0.2">
      <c r="A271" s="155"/>
      <c r="B271" s="150" t="s">
        <v>10</v>
      </c>
      <c r="C271" s="156">
        <v>7500</v>
      </c>
      <c r="D271" s="56" t="s">
        <v>449</v>
      </c>
      <c r="E271" s="86">
        <v>2982.96</v>
      </c>
      <c r="F271" s="55" t="s">
        <v>464</v>
      </c>
      <c r="G271" s="148">
        <v>0</v>
      </c>
      <c r="H271" s="150" t="s">
        <v>416</v>
      </c>
      <c r="I271" s="44" t="s">
        <v>442</v>
      </c>
    </row>
    <row r="272" spans="1:9" hidden="1" x14ac:dyDescent="0.2">
      <c r="A272" s="155"/>
      <c r="B272" s="150"/>
      <c r="C272" s="156"/>
      <c r="D272" s="56"/>
      <c r="E272" s="86">
        <v>4517.04</v>
      </c>
      <c r="F272" s="55" t="s">
        <v>484</v>
      </c>
      <c r="G272" s="148">
        <f>-G271</f>
        <v>0</v>
      </c>
      <c r="H272" s="150" t="s">
        <v>416</v>
      </c>
      <c r="I272" s="44"/>
    </row>
    <row r="273" spans="1:9" hidden="1" x14ac:dyDescent="0.2">
      <c r="A273" s="155"/>
      <c r="B273" s="150" t="s">
        <v>10</v>
      </c>
      <c r="C273" s="156">
        <v>10000</v>
      </c>
      <c r="D273" s="56" t="s">
        <v>417</v>
      </c>
      <c r="E273" s="86">
        <v>2635.94</v>
      </c>
      <c r="F273" s="55" t="s">
        <v>452</v>
      </c>
      <c r="G273" s="148">
        <f t="shared" si="0"/>
        <v>7364.0599999999995</v>
      </c>
      <c r="H273" s="150" t="s">
        <v>401</v>
      </c>
      <c r="I273" s="44" t="s">
        <v>188</v>
      </c>
    </row>
    <row r="274" spans="1:9" hidden="1" x14ac:dyDescent="0.2">
      <c r="A274" s="155"/>
      <c r="B274" s="150"/>
      <c r="C274" s="156"/>
      <c r="D274" s="56"/>
      <c r="E274" s="86">
        <v>5610</v>
      </c>
      <c r="F274" s="225" t="s">
        <v>527</v>
      </c>
      <c r="G274" s="148">
        <f>G273-E274</f>
        <v>1754.0599999999995</v>
      </c>
      <c r="H274" s="150"/>
      <c r="I274" s="44" t="s">
        <v>90</v>
      </c>
    </row>
    <row r="275" spans="1:9" hidden="1" x14ac:dyDescent="0.2">
      <c r="A275" s="155"/>
      <c r="B275" s="150"/>
      <c r="C275" s="156"/>
      <c r="D275" s="56"/>
      <c r="E275" s="86"/>
      <c r="F275" s="55"/>
      <c r="G275" s="148">
        <v>-1754.06</v>
      </c>
      <c r="H275" s="150"/>
      <c r="I275" s="44" t="s">
        <v>66</v>
      </c>
    </row>
    <row r="276" spans="1:9" hidden="1" x14ac:dyDescent="0.2">
      <c r="A276" s="155"/>
      <c r="B276" s="150" t="s">
        <v>10</v>
      </c>
      <c r="C276" s="156">
        <v>13000</v>
      </c>
      <c r="D276" s="56" t="s">
        <v>429</v>
      </c>
      <c r="E276" s="86">
        <v>13000</v>
      </c>
      <c r="F276" s="55" t="s">
        <v>432</v>
      </c>
      <c r="G276" s="148">
        <f t="shared" si="0"/>
        <v>0</v>
      </c>
      <c r="H276" s="150" t="s">
        <v>402</v>
      </c>
      <c r="I276" s="44"/>
    </row>
    <row r="277" spans="1:9" ht="13.5" hidden="1" thickBot="1" x14ac:dyDescent="0.25">
      <c r="A277" s="29" t="s">
        <v>43</v>
      </c>
      <c r="B277" s="30"/>
      <c r="C277" s="59">
        <f>SUM(C255:C276)</f>
        <v>169874.26</v>
      </c>
      <c r="D277" s="30"/>
      <c r="E277" s="59">
        <f>SUM(E255:E273)</f>
        <v>133908.94</v>
      </c>
      <c r="F277" s="57"/>
      <c r="G277" s="59">
        <f>SUM(G255:G276)</f>
        <v>9209.06</v>
      </c>
      <c r="H277" s="30"/>
      <c r="I277" s="31"/>
    </row>
    <row r="278" spans="1:9" ht="13.5" hidden="1" thickBot="1" x14ac:dyDescent="0.25"/>
    <row r="279" spans="1:9" ht="21" hidden="1" thickBot="1" x14ac:dyDescent="0.25">
      <c r="A279" s="489" t="s">
        <v>213</v>
      </c>
      <c r="B279" s="490"/>
      <c r="C279" s="490"/>
      <c r="D279" s="490"/>
      <c r="E279" s="490"/>
      <c r="F279" s="490"/>
      <c r="G279" s="490"/>
      <c r="H279" s="490"/>
      <c r="I279" s="491"/>
    </row>
    <row r="280" spans="1:9" ht="20.25" hidden="1" x14ac:dyDescent="0.3">
      <c r="A280" s="41"/>
      <c r="B280" s="13" t="s">
        <v>208</v>
      </c>
      <c r="C280" s="13" t="s">
        <v>209</v>
      </c>
      <c r="D280" s="91" t="s">
        <v>210</v>
      </c>
      <c r="E280" s="14"/>
      <c r="F280" s="13"/>
      <c r="G280" s="13"/>
      <c r="H280" s="13"/>
      <c r="I280" s="39"/>
    </row>
    <row r="281" spans="1:9" ht="20.25" hidden="1" x14ac:dyDescent="0.3">
      <c r="A281" s="41" t="s">
        <v>214</v>
      </c>
      <c r="B281" s="92">
        <v>66125</v>
      </c>
      <c r="C281" s="92">
        <v>66125</v>
      </c>
      <c r="D281" s="92">
        <v>143750</v>
      </c>
      <c r="E281" s="14"/>
      <c r="F281" s="13"/>
      <c r="G281" s="13"/>
      <c r="H281" s="13"/>
      <c r="I281" s="39"/>
    </row>
    <row r="282" spans="1:9" ht="20.25" hidden="1" x14ac:dyDescent="0.3">
      <c r="A282" s="41" t="s">
        <v>36</v>
      </c>
      <c r="B282" s="92">
        <f>IF(B327&gt;66125,66125,B327)</f>
        <v>0</v>
      </c>
      <c r="C282" s="92">
        <f>IF(C327&gt;66125,66125,C327)</f>
        <v>66125</v>
      </c>
      <c r="D282" s="92">
        <f>IF(D327&gt;143750,143750,D327)</f>
        <v>26685.01999999999</v>
      </c>
      <c r="E282" s="14"/>
      <c r="F282" s="13"/>
      <c r="G282" s="13"/>
      <c r="H282" s="13"/>
      <c r="I282" s="39"/>
    </row>
    <row r="283" spans="1:9" hidden="1" x14ac:dyDescent="0.2">
      <c r="A283" s="41" t="s">
        <v>211</v>
      </c>
      <c r="B283" s="92">
        <f>SUM(B281:B282)</f>
        <v>66125</v>
      </c>
      <c r="C283" s="92">
        <f>SUM(C281:C282)</f>
        <v>132250</v>
      </c>
      <c r="D283" s="92">
        <f>SUM(D281:D282)</f>
        <v>170435.02</v>
      </c>
      <c r="E283" s="130" t="s">
        <v>107</v>
      </c>
      <c r="F283" s="13"/>
      <c r="G283" s="13"/>
      <c r="H283" s="13"/>
      <c r="I283" s="39"/>
    </row>
    <row r="284" spans="1:9" hidden="1" x14ac:dyDescent="0.2">
      <c r="A284" s="41" t="s">
        <v>47</v>
      </c>
      <c r="B284" s="92">
        <f>B328</f>
        <v>0</v>
      </c>
      <c r="C284" s="92">
        <f>IF(C328&gt;66125,66125,C328)</f>
        <v>66125</v>
      </c>
      <c r="D284" s="92">
        <f>D328</f>
        <v>9718.7299999999814</v>
      </c>
      <c r="E284" s="493"/>
      <c r="F284" s="493"/>
      <c r="G284" s="493"/>
      <c r="H284" s="493"/>
      <c r="I284" s="512"/>
    </row>
    <row r="285" spans="1:9" hidden="1" x14ac:dyDescent="0.2">
      <c r="A285" s="41" t="s">
        <v>45</v>
      </c>
      <c r="B285" s="92">
        <f>B281+B284</f>
        <v>66125</v>
      </c>
      <c r="C285" s="92">
        <f>C281+C284</f>
        <v>132250</v>
      </c>
      <c r="D285" s="92">
        <f>D281+D284</f>
        <v>153468.72999999998</v>
      </c>
      <c r="E285" s="151" t="s">
        <v>108</v>
      </c>
      <c r="F285" s="13"/>
      <c r="G285" s="13"/>
      <c r="H285" s="13"/>
      <c r="I285" s="39"/>
    </row>
    <row r="286" spans="1:9" hidden="1" x14ac:dyDescent="0.2">
      <c r="A286" s="41" t="s">
        <v>39</v>
      </c>
      <c r="B286" s="92">
        <f>B283-E291</f>
        <v>0</v>
      </c>
      <c r="C286" s="92">
        <f>C283-E294</f>
        <v>107580.35</v>
      </c>
      <c r="D286" s="92">
        <f>D283-E317</f>
        <v>32906.649999999994</v>
      </c>
      <c r="E286" s="151" t="s">
        <v>109</v>
      </c>
      <c r="F286" s="13"/>
      <c r="G286" s="13"/>
      <c r="H286" s="13"/>
      <c r="I286" s="39"/>
    </row>
    <row r="287" spans="1:9" hidden="1" x14ac:dyDescent="0.2">
      <c r="A287" s="41" t="s">
        <v>35</v>
      </c>
      <c r="B287" s="93">
        <f>B285-E291-G291</f>
        <v>0</v>
      </c>
      <c r="C287" s="94">
        <f>C285-E294-G294</f>
        <v>107580.35</v>
      </c>
      <c r="D287" s="94">
        <f>D285-E317-G317</f>
        <v>15940.359999999986</v>
      </c>
      <c r="E287" s="151" t="s">
        <v>110</v>
      </c>
      <c r="F287" s="145"/>
      <c r="G287" s="145"/>
      <c r="H287" s="145"/>
      <c r="I287" s="39"/>
    </row>
    <row r="288" spans="1:9" ht="21" hidden="1" thickBot="1" x14ac:dyDescent="0.35">
      <c r="A288" s="41"/>
      <c r="B288" s="13"/>
      <c r="C288" s="13"/>
      <c r="D288" s="13"/>
      <c r="E288" s="14"/>
      <c r="F288" s="13"/>
      <c r="G288" s="13"/>
      <c r="H288" s="13"/>
      <c r="I288" s="39"/>
    </row>
    <row r="289" spans="1:9" ht="51" hidden="1" x14ac:dyDescent="0.2">
      <c r="A289" s="15" t="s">
        <v>41</v>
      </c>
      <c r="B289" s="16" t="s">
        <v>34</v>
      </c>
      <c r="C289" s="20" t="s">
        <v>64</v>
      </c>
      <c r="D289" s="20" t="s">
        <v>63</v>
      </c>
      <c r="E289" s="16" t="s">
        <v>37</v>
      </c>
      <c r="F289" s="16" t="s">
        <v>40</v>
      </c>
      <c r="G289" s="16" t="s">
        <v>46</v>
      </c>
      <c r="H289" s="16" t="s">
        <v>38</v>
      </c>
      <c r="I289" s="17" t="s">
        <v>5</v>
      </c>
    </row>
    <row r="290" spans="1:9" hidden="1" x14ac:dyDescent="0.2">
      <c r="A290" s="32" t="s">
        <v>10</v>
      </c>
      <c r="B290" s="23" t="s">
        <v>10</v>
      </c>
      <c r="C290" s="60">
        <v>66125</v>
      </c>
      <c r="D290" s="53">
        <v>42373</v>
      </c>
      <c r="E290" s="60">
        <v>66125</v>
      </c>
      <c r="F290" s="23" t="s">
        <v>227</v>
      </c>
      <c r="G290" s="23"/>
      <c r="H290" s="23" t="s">
        <v>228</v>
      </c>
      <c r="I290" s="24"/>
    </row>
    <row r="291" spans="1:9" hidden="1" x14ac:dyDescent="0.2">
      <c r="A291" s="25" t="s">
        <v>43</v>
      </c>
      <c r="B291" s="26"/>
      <c r="C291" s="64">
        <f>C290</f>
        <v>66125</v>
      </c>
      <c r="D291" s="26"/>
      <c r="E291" s="64">
        <f>E290</f>
        <v>66125</v>
      </c>
      <c r="F291" s="26"/>
      <c r="G291" s="61">
        <f>G290</f>
        <v>0</v>
      </c>
      <c r="H291" s="26"/>
      <c r="I291" s="27"/>
    </row>
    <row r="292" spans="1:9" hidden="1" x14ac:dyDescent="0.2">
      <c r="A292" s="34"/>
      <c r="B292" s="34"/>
      <c r="C292" s="62"/>
      <c r="D292" s="34"/>
      <c r="E292" s="62"/>
      <c r="F292" s="34"/>
      <c r="G292" s="62"/>
      <c r="H292" s="34"/>
      <c r="I292" s="34"/>
    </row>
    <row r="293" spans="1:9" hidden="1" x14ac:dyDescent="0.2">
      <c r="A293" s="33" t="s">
        <v>44</v>
      </c>
      <c r="B293" s="26" t="s">
        <v>11</v>
      </c>
      <c r="C293" s="61"/>
      <c r="D293" s="53"/>
      <c r="E293" s="61">
        <v>24669.65</v>
      </c>
      <c r="F293" s="26" t="s">
        <v>393</v>
      </c>
      <c r="G293" s="87">
        <v>0</v>
      </c>
      <c r="H293" s="26" t="s">
        <v>387</v>
      </c>
      <c r="I293" s="45"/>
    </row>
    <row r="294" spans="1:9" hidden="1" x14ac:dyDescent="0.2">
      <c r="A294" s="25" t="s">
        <v>43</v>
      </c>
      <c r="B294" s="26"/>
      <c r="C294" s="63">
        <f>C293</f>
        <v>0</v>
      </c>
      <c r="D294" s="26"/>
      <c r="E294" s="63">
        <f>E293</f>
        <v>24669.65</v>
      </c>
      <c r="F294" s="26"/>
      <c r="G294" s="63">
        <f>G293</f>
        <v>0</v>
      </c>
      <c r="H294" s="26"/>
      <c r="I294" s="27"/>
    </row>
    <row r="295" spans="1:9" hidden="1" x14ac:dyDescent="0.2">
      <c r="A295" s="34"/>
      <c r="B295" s="34"/>
      <c r="C295" s="62"/>
      <c r="D295" s="34"/>
      <c r="E295" s="62"/>
      <c r="F295" s="34"/>
      <c r="G295" s="62"/>
      <c r="H295" s="34"/>
      <c r="I295" s="34"/>
    </row>
    <row r="296" spans="1:9" hidden="1" x14ac:dyDescent="0.2">
      <c r="A296" s="33" t="s">
        <v>42</v>
      </c>
      <c r="B296" s="140"/>
      <c r="C296" s="168"/>
      <c r="D296" s="141"/>
      <c r="E296" s="156"/>
      <c r="F296" s="56"/>
      <c r="G296" s="148"/>
      <c r="H296" s="140"/>
      <c r="I296" s="27"/>
    </row>
    <row r="297" spans="1:9" hidden="1" x14ac:dyDescent="0.2">
      <c r="A297" s="152"/>
      <c r="B297" s="179" t="s">
        <v>11</v>
      </c>
      <c r="C297" s="496">
        <v>14000</v>
      </c>
      <c r="D297" s="513" t="s">
        <v>192</v>
      </c>
      <c r="E297" s="502">
        <v>1452.2</v>
      </c>
      <c r="F297" s="498" t="s">
        <v>269</v>
      </c>
      <c r="G297" s="148">
        <f>C297-E297</f>
        <v>12547.8</v>
      </c>
      <c r="H297" s="513" t="s">
        <v>193</v>
      </c>
      <c r="I297" s="44" t="s">
        <v>92</v>
      </c>
    </row>
    <row r="298" spans="1:9" hidden="1" x14ac:dyDescent="0.2">
      <c r="A298" s="152"/>
      <c r="B298" s="172"/>
      <c r="C298" s="497"/>
      <c r="D298" s="495"/>
      <c r="E298" s="497"/>
      <c r="F298" s="495"/>
      <c r="G298" s="148">
        <v>-12547.8</v>
      </c>
      <c r="H298" s="495"/>
      <c r="I298" s="44" t="s">
        <v>270</v>
      </c>
    </row>
    <row r="299" spans="1:9" hidden="1" x14ac:dyDescent="0.2">
      <c r="A299" s="152"/>
      <c r="B299" s="494" t="s">
        <v>11</v>
      </c>
      <c r="C299" s="496">
        <v>8420</v>
      </c>
      <c r="D299" s="498" t="s">
        <v>234</v>
      </c>
      <c r="E299" s="502">
        <v>4634.67</v>
      </c>
      <c r="F299" s="513" t="s">
        <v>305</v>
      </c>
      <c r="G299" s="148">
        <f>C299-E299</f>
        <v>3785.33</v>
      </c>
      <c r="H299" s="494" t="s">
        <v>232</v>
      </c>
      <c r="I299" s="44" t="s">
        <v>92</v>
      </c>
    </row>
    <row r="300" spans="1:9" hidden="1" x14ac:dyDescent="0.2">
      <c r="A300" s="152"/>
      <c r="B300" s="495"/>
      <c r="C300" s="497"/>
      <c r="D300" s="495"/>
      <c r="E300" s="497"/>
      <c r="F300" s="495"/>
      <c r="G300" s="148">
        <v>-3785.33</v>
      </c>
      <c r="H300" s="495"/>
      <c r="I300" s="44" t="s">
        <v>297</v>
      </c>
    </row>
    <row r="301" spans="1:9" hidden="1" x14ac:dyDescent="0.2">
      <c r="A301" s="152"/>
      <c r="B301" s="150" t="s">
        <v>10</v>
      </c>
      <c r="C301" s="148">
        <v>20000</v>
      </c>
      <c r="D301" s="56" t="s">
        <v>250</v>
      </c>
      <c r="E301" s="156"/>
      <c r="F301" s="153"/>
      <c r="G301" s="148">
        <v>0</v>
      </c>
      <c r="H301" s="150" t="s">
        <v>29</v>
      </c>
      <c r="I301" s="44" t="s">
        <v>273</v>
      </c>
    </row>
    <row r="302" spans="1:9" hidden="1" x14ac:dyDescent="0.2">
      <c r="A302" s="152"/>
      <c r="B302" s="494" t="s">
        <v>10</v>
      </c>
      <c r="C302" s="496">
        <v>16800</v>
      </c>
      <c r="D302" s="498" t="s">
        <v>309</v>
      </c>
      <c r="E302" s="502">
        <v>12901</v>
      </c>
      <c r="F302" s="498" t="s">
        <v>313</v>
      </c>
      <c r="G302" s="148">
        <f>C302-E302</f>
        <v>3899</v>
      </c>
      <c r="H302" s="494" t="s">
        <v>29</v>
      </c>
      <c r="I302" s="44" t="s">
        <v>100</v>
      </c>
    </row>
    <row r="303" spans="1:9" hidden="1" x14ac:dyDescent="0.2">
      <c r="A303" s="152"/>
      <c r="B303" s="495"/>
      <c r="C303" s="497"/>
      <c r="D303" s="495"/>
      <c r="E303" s="497"/>
      <c r="F303" s="495"/>
      <c r="G303" s="148">
        <v>-3899</v>
      </c>
      <c r="H303" s="495"/>
      <c r="I303" s="44" t="s">
        <v>67</v>
      </c>
    </row>
    <row r="304" spans="1:9" hidden="1" x14ac:dyDescent="0.2">
      <c r="A304" s="142"/>
      <c r="B304" s="150" t="s">
        <v>10</v>
      </c>
      <c r="C304" s="148">
        <v>12000</v>
      </c>
      <c r="D304" s="56" t="s">
        <v>248</v>
      </c>
      <c r="E304" s="86">
        <v>5549.17</v>
      </c>
      <c r="F304" s="55" t="s">
        <v>451</v>
      </c>
      <c r="G304" s="148">
        <f>C304-E304-E305</f>
        <v>5536.83</v>
      </c>
      <c r="H304" s="150" t="s">
        <v>247</v>
      </c>
      <c r="I304" s="44" t="s">
        <v>188</v>
      </c>
    </row>
    <row r="305" spans="1:9" hidden="1" x14ac:dyDescent="0.2">
      <c r="A305" s="142"/>
      <c r="B305" s="150"/>
      <c r="C305" s="148"/>
      <c r="D305" s="56"/>
      <c r="E305" s="86">
        <v>914</v>
      </c>
      <c r="F305" s="230" t="s">
        <v>580</v>
      </c>
      <c r="G305" s="148">
        <v>-5536.83</v>
      </c>
      <c r="H305" s="150"/>
      <c r="I305" s="44" t="s">
        <v>569</v>
      </c>
    </row>
    <row r="306" spans="1:9" hidden="1" x14ac:dyDescent="0.2">
      <c r="A306" s="142"/>
      <c r="B306" s="150"/>
      <c r="C306" s="148"/>
      <c r="D306" s="56"/>
      <c r="E306" s="86"/>
      <c r="F306" s="55"/>
      <c r="G306" s="148"/>
      <c r="H306" s="150"/>
      <c r="I306" s="44"/>
    </row>
    <row r="307" spans="1:9" hidden="1" x14ac:dyDescent="0.2">
      <c r="A307" s="142"/>
      <c r="B307" s="494" t="s">
        <v>10</v>
      </c>
      <c r="C307" s="496">
        <v>4000</v>
      </c>
      <c r="D307" s="498" t="s">
        <v>249</v>
      </c>
      <c r="E307" s="499">
        <v>3886</v>
      </c>
      <c r="F307" s="513" t="s">
        <v>290</v>
      </c>
      <c r="G307" s="148">
        <f>C307-E307</f>
        <v>114</v>
      </c>
      <c r="H307" s="494" t="s">
        <v>193</v>
      </c>
      <c r="I307" s="500" t="s">
        <v>289</v>
      </c>
    </row>
    <row r="308" spans="1:9" hidden="1" x14ac:dyDescent="0.2">
      <c r="A308" s="142"/>
      <c r="B308" s="495"/>
      <c r="C308" s="497"/>
      <c r="D308" s="495"/>
      <c r="E308" s="497"/>
      <c r="F308" s="495"/>
      <c r="G308" s="148">
        <v>-114</v>
      </c>
      <c r="H308" s="495"/>
      <c r="I308" s="501"/>
    </row>
    <row r="309" spans="1:9" hidden="1" x14ac:dyDescent="0.2">
      <c r="A309" s="155" t="s">
        <v>113</v>
      </c>
      <c r="B309" s="150" t="s">
        <v>11</v>
      </c>
      <c r="C309" s="148">
        <v>40000</v>
      </c>
      <c r="D309" s="56" t="s">
        <v>259</v>
      </c>
      <c r="E309" s="86">
        <v>40000</v>
      </c>
      <c r="F309" s="55" t="s">
        <v>276</v>
      </c>
      <c r="G309" s="148">
        <f>C309-E309</f>
        <v>0</v>
      </c>
      <c r="H309" s="150" t="s">
        <v>29</v>
      </c>
      <c r="I309" s="83"/>
    </row>
    <row r="310" spans="1:9" hidden="1" x14ac:dyDescent="0.2">
      <c r="A310" s="155"/>
      <c r="B310" s="150" t="s">
        <v>263</v>
      </c>
      <c r="C310" s="148">
        <v>2236</v>
      </c>
      <c r="D310" s="56" t="s">
        <v>264</v>
      </c>
      <c r="E310" s="86">
        <v>2236</v>
      </c>
      <c r="F310" s="55" t="s">
        <v>272</v>
      </c>
      <c r="G310" s="148">
        <f>C310-E310</f>
        <v>0</v>
      </c>
      <c r="H310" s="150" t="s">
        <v>232</v>
      </c>
      <c r="I310" s="83"/>
    </row>
    <row r="311" spans="1:9" hidden="1" x14ac:dyDescent="0.2">
      <c r="A311" s="155"/>
      <c r="B311" s="150" t="s">
        <v>10</v>
      </c>
      <c r="C311" s="148">
        <v>20000</v>
      </c>
      <c r="D311" s="56" t="s">
        <v>268</v>
      </c>
      <c r="E311" s="499">
        <v>33200</v>
      </c>
      <c r="F311" s="513" t="s">
        <v>316</v>
      </c>
      <c r="G311" s="148">
        <v>0</v>
      </c>
      <c r="H311" s="494" t="s">
        <v>267</v>
      </c>
      <c r="I311" s="44" t="s">
        <v>100</v>
      </c>
    </row>
    <row r="312" spans="1:9" hidden="1" x14ac:dyDescent="0.2">
      <c r="A312" s="155"/>
      <c r="B312" s="150" t="s">
        <v>10</v>
      </c>
      <c r="C312" s="148">
        <v>13200</v>
      </c>
      <c r="D312" s="56" t="s">
        <v>310</v>
      </c>
      <c r="E312" s="497"/>
      <c r="F312" s="495"/>
      <c r="G312" s="148">
        <v>0</v>
      </c>
      <c r="H312" s="495"/>
      <c r="I312" s="44"/>
    </row>
    <row r="313" spans="1:9" hidden="1" x14ac:dyDescent="0.2">
      <c r="A313" s="155"/>
      <c r="B313" s="140" t="s">
        <v>11</v>
      </c>
      <c r="C313" s="148">
        <f>21108+3785.33</f>
        <v>24893.33</v>
      </c>
      <c r="D313" s="56" t="s">
        <v>320</v>
      </c>
      <c r="E313" s="86">
        <v>24893.33</v>
      </c>
      <c r="F313" s="55" t="s">
        <v>339</v>
      </c>
      <c r="G313" s="148">
        <f>C313-E313</f>
        <v>0</v>
      </c>
      <c r="H313" s="140" t="s">
        <v>267</v>
      </c>
      <c r="I313" s="44" t="s">
        <v>306</v>
      </c>
    </row>
    <row r="314" spans="1:9" hidden="1" x14ac:dyDescent="0.2">
      <c r="A314" s="155"/>
      <c r="B314" s="187" t="s">
        <v>263</v>
      </c>
      <c r="C314" s="148">
        <v>1765</v>
      </c>
      <c r="D314" s="56" t="s">
        <v>346</v>
      </c>
      <c r="E314" s="86">
        <v>1765</v>
      </c>
      <c r="F314" s="55" t="s">
        <v>359</v>
      </c>
      <c r="G314" s="148">
        <f>C314-E314</f>
        <v>0</v>
      </c>
      <c r="H314" s="187" t="s">
        <v>296</v>
      </c>
      <c r="I314" s="188"/>
    </row>
    <row r="315" spans="1:9" hidden="1" x14ac:dyDescent="0.2">
      <c r="A315" s="155"/>
      <c r="B315" s="150" t="s">
        <v>11</v>
      </c>
      <c r="C315" s="156">
        <v>5000</v>
      </c>
      <c r="D315" s="56" t="s">
        <v>307</v>
      </c>
      <c r="E315" s="86">
        <v>5000</v>
      </c>
      <c r="F315" s="55" t="s">
        <v>341</v>
      </c>
      <c r="G315" s="148">
        <f>C315-E315</f>
        <v>0</v>
      </c>
      <c r="H315" s="150" t="s">
        <v>296</v>
      </c>
      <c r="I315" s="44"/>
    </row>
    <row r="316" spans="1:9" hidden="1" x14ac:dyDescent="0.2">
      <c r="A316" s="155"/>
      <c r="B316" s="150" t="s">
        <v>263</v>
      </c>
      <c r="C316" s="156">
        <v>1097</v>
      </c>
      <c r="D316" s="56" t="s">
        <v>350</v>
      </c>
      <c r="E316" s="86">
        <v>1097</v>
      </c>
      <c r="F316" s="55" t="s">
        <v>353</v>
      </c>
      <c r="G316" s="148"/>
      <c r="H316" s="150" t="s">
        <v>351</v>
      </c>
      <c r="I316" s="44"/>
    </row>
    <row r="317" spans="1:9" ht="13.5" hidden="1" thickBot="1" x14ac:dyDescent="0.25">
      <c r="A317" s="29" t="s">
        <v>43</v>
      </c>
      <c r="B317" s="30"/>
      <c r="C317" s="59">
        <f>SUM(C296:C316)</f>
        <v>183411.33000000002</v>
      </c>
      <c r="D317" s="30"/>
      <c r="E317" s="59">
        <f>SUM(E296:E316)</f>
        <v>137528.37</v>
      </c>
      <c r="F317" s="57"/>
      <c r="G317" s="59">
        <f>SUM(G296:G316)</f>
        <v>0</v>
      </c>
      <c r="H317" s="30"/>
      <c r="I317" s="31"/>
    </row>
    <row r="318" spans="1:9" hidden="1" x14ac:dyDescent="0.2"/>
    <row r="319" spans="1:9" ht="13.5" hidden="1" thickBot="1" x14ac:dyDescent="0.25"/>
    <row r="320" spans="1:9" ht="21" hidden="1" thickBot="1" x14ac:dyDescent="0.25">
      <c r="A320" s="489" t="s">
        <v>123</v>
      </c>
      <c r="B320" s="490"/>
      <c r="C320" s="490"/>
      <c r="D320" s="490"/>
      <c r="E320" s="490"/>
      <c r="F320" s="490"/>
      <c r="G320" s="490"/>
      <c r="H320" s="490"/>
      <c r="I320" s="491"/>
    </row>
    <row r="321" spans="1:9" ht="20.25" hidden="1" x14ac:dyDescent="0.3">
      <c r="A321" s="41"/>
      <c r="B321" s="13" t="s">
        <v>118</v>
      </c>
      <c r="C321" s="13" t="s">
        <v>119</v>
      </c>
      <c r="D321" s="91" t="s">
        <v>120</v>
      </c>
      <c r="E321" s="14"/>
      <c r="F321" s="13"/>
      <c r="G321" s="13"/>
      <c r="H321" s="13"/>
      <c r="I321" s="39"/>
    </row>
    <row r="322" spans="1:9" ht="20.25" hidden="1" x14ac:dyDescent="0.3">
      <c r="A322" s="41" t="s">
        <v>124</v>
      </c>
      <c r="B322" s="92">
        <v>66125</v>
      </c>
      <c r="C322" s="92">
        <v>66125</v>
      </c>
      <c r="D322" s="92">
        <v>143750</v>
      </c>
      <c r="E322" s="14"/>
      <c r="F322" s="13"/>
      <c r="G322" s="13"/>
      <c r="H322" s="13"/>
      <c r="I322" s="39"/>
    </row>
    <row r="323" spans="1:9" ht="20.25" hidden="1" x14ac:dyDescent="0.3">
      <c r="A323" s="41" t="s">
        <v>36</v>
      </c>
      <c r="B323" s="92">
        <v>0</v>
      </c>
      <c r="C323" s="92">
        <v>66125</v>
      </c>
      <c r="D323" s="92">
        <v>27266.31</v>
      </c>
      <c r="E323" s="14"/>
      <c r="F323" s="13"/>
      <c r="G323" s="13"/>
      <c r="H323" s="13"/>
      <c r="I323" s="39"/>
    </row>
    <row r="324" spans="1:9" hidden="1" x14ac:dyDescent="0.2">
      <c r="A324" s="41" t="s">
        <v>121</v>
      </c>
      <c r="B324" s="92">
        <f>SUM(B322:B323)</f>
        <v>66125</v>
      </c>
      <c r="C324" s="92">
        <f>SUM(C322:C323)</f>
        <v>132250</v>
      </c>
      <c r="D324" s="92">
        <f>SUM(D322:D323)</f>
        <v>171016.31</v>
      </c>
      <c r="E324" s="130" t="s">
        <v>107</v>
      </c>
      <c r="F324" s="13"/>
      <c r="G324" s="13"/>
      <c r="H324" s="13"/>
      <c r="I324" s="39"/>
    </row>
    <row r="325" spans="1:9" hidden="1" x14ac:dyDescent="0.2">
      <c r="A325" s="41" t="s">
        <v>47</v>
      </c>
      <c r="B325" s="92">
        <v>0</v>
      </c>
      <c r="C325" s="92">
        <v>66125</v>
      </c>
      <c r="D325" s="92">
        <v>24207.02</v>
      </c>
      <c r="E325" s="493"/>
      <c r="F325" s="493"/>
      <c r="G325" s="493"/>
      <c r="H325" s="493"/>
      <c r="I325" s="512"/>
    </row>
    <row r="326" spans="1:9" hidden="1" x14ac:dyDescent="0.2">
      <c r="A326" s="41" t="s">
        <v>45</v>
      </c>
      <c r="B326" s="92">
        <f>B322+B325</f>
        <v>66125</v>
      </c>
      <c r="C326" s="92">
        <f>C322+C325</f>
        <v>132250</v>
      </c>
      <c r="D326" s="92">
        <f>D322+D325</f>
        <v>167957.02</v>
      </c>
      <c r="E326" s="151" t="s">
        <v>108</v>
      </c>
      <c r="F326" s="13"/>
      <c r="G326" s="13"/>
      <c r="H326" s="13"/>
      <c r="I326" s="39"/>
    </row>
    <row r="327" spans="1:9" hidden="1" x14ac:dyDescent="0.2">
      <c r="A327" s="41" t="s">
        <v>39</v>
      </c>
      <c r="B327" s="92">
        <f>B324-E332</f>
        <v>0</v>
      </c>
      <c r="C327" s="92">
        <f>C324-E335</f>
        <v>89927.98000000001</v>
      </c>
      <c r="D327" s="92">
        <f>D324-E351</f>
        <v>26685.01999999999</v>
      </c>
      <c r="E327" s="151" t="s">
        <v>109</v>
      </c>
      <c r="F327" s="13"/>
      <c r="G327" s="13"/>
      <c r="H327" s="13"/>
      <c r="I327" s="39"/>
    </row>
    <row r="328" spans="1:9" hidden="1" x14ac:dyDescent="0.2">
      <c r="A328" s="41" t="s">
        <v>35</v>
      </c>
      <c r="B328" s="93">
        <f>B326-E332-G332</f>
        <v>0</v>
      </c>
      <c r="C328" s="94">
        <f>C326-E335-G335</f>
        <v>89927.98000000001</v>
      </c>
      <c r="D328" s="94">
        <f>D326-E351-G351</f>
        <v>9718.7299999999814</v>
      </c>
      <c r="E328" s="151" t="s">
        <v>110</v>
      </c>
      <c r="F328" s="145"/>
      <c r="G328" s="145"/>
      <c r="H328" s="145"/>
      <c r="I328" s="39"/>
    </row>
    <row r="329" spans="1:9" ht="21" hidden="1" thickBot="1" x14ac:dyDescent="0.35">
      <c r="A329" s="41"/>
      <c r="B329" s="13"/>
      <c r="C329" s="13"/>
      <c r="D329" s="13"/>
      <c r="E329" s="14"/>
      <c r="F329" s="13"/>
      <c r="G329" s="13"/>
      <c r="H329" s="13"/>
      <c r="I329" s="39"/>
    </row>
    <row r="330" spans="1:9" ht="51" hidden="1" x14ac:dyDescent="0.2">
      <c r="A330" s="15" t="s">
        <v>41</v>
      </c>
      <c r="B330" s="16" t="s">
        <v>34</v>
      </c>
      <c r="C330" s="20" t="s">
        <v>64</v>
      </c>
      <c r="D330" s="20" t="s">
        <v>63</v>
      </c>
      <c r="E330" s="16" t="s">
        <v>37</v>
      </c>
      <c r="F330" s="16" t="s">
        <v>40</v>
      </c>
      <c r="G330" s="16" t="s">
        <v>46</v>
      </c>
      <c r="H330" s="16" t="s">
        <v>38</v>
      </c>
      <c r="I330" s="17" t="s">
        <v>5</v>
      </c>
    </row>
    <row r="331" spans="1:9" hidden="1" x14ac:dyDescent="0.2">
      <c r="A331" s="32" t="s">
        <v>10</v>
      </c>
      <c r="B331" s="23" t="s">
        <v>10</v>
      </c>
      <c r="C331" s="60">
        <v>66125</v>
      </c>
      <c r="D331" s="53">
        <v>42006</v>
      </c>
      <c r="E331" s="60">
        <v>66125</v>
      </c>
      <c r="F331" s="23" t="s">
        <v>175</v>
      </c>
      <c r="G331" s="23">
        <f>IF(E331="",C331,0)</f>
        <v>0</v>
      </c>
      <c r="H331" s="23" t="s">
        <v>136</v>
      </c>
      <c r="I331" s="24"/>
    </row>
    <row r="332" spans="1:9" hidden="1" x14ac:dyDescent="0.2">
      <c r="A332" s="25" t="s">
        <v>43</v>
      </c>
      <c r="B332" s="26"/>
      <c r="C332" s="64">
        <f>C331</f>
        <v>66125</v>
      </c>
      <c r="D332" s="26"/>
      <c r="E332" s="64">
        <f>E331</f>
        <v>66125</v>
      </c>
      <c r="F332" s="26"/>
      <c r="G332" s="61">
        <f>G331</f>
        <v>0</v>
      </c>
      <c r="H332" s="26"/>
      <c r="I332" s="27"/>
    </row>
    <row r="333" spans="1:9" hidden="1" x14ac:dyDescent="0.2">
      <c r="A333" s="34"/>
      <c r="B333" s="34"/>
      <c r="C333" s="62"/>
      <c r="D333" s="34"/>
      <c r="E333" s="62"/>
      <c r="F333" s="34"/>
      <c r="G333" s="62"/>
      <c r="H333" s="34"/>
      <c r="I333" s="34"/>
    </row>
    <row r="334" spans="1:9" hidden="1" x14ac:dyDescent="0.2">
      <c r="A334" s="33" t="s">
        <v>44</v>
      </c>
      <c r="B334" s="26" t="s">
        <v>11</v>
      </c>
      <c r="C334" s="61">
        <v>42322.02</v>
      </c>
      <c r="D334" s="53">
        <v>42416</v>
      </c>
      <c r="E334" s="61">
        <v>42322.02</v>
      </c>
      <c r="F334" s="26" t="s">
        <v>254</v>
      </c>
      <c r="G334" s="87"/>
      <c r="H334" s="26" t="s">
        <v>238</v>
      </c>
      <c r="I334" s="45"/>
    </row>
    <row r="335" spans="1:9" hidden="1" x14ac:dyDescent="0.2">
      <c r="A335" s="25" t="s">
        <v>43</v>
      </c>
      <c r="B335" s="26"/>
      <c r="C335" s="63">
        <f>C334</f>
        <v>42322.02</v>
      </c>
      <c r="D335" s="26"/>
      <c r="E335" s="63">
        <f>E334</f>
        <v>42322.02</v>
      </c>
      <c r="F335" s="26"/>
      <c r="G335" s="63">
        <f>G334</f>
        <v>0</v>
      </c>
      <c r="H335" s="26"/>
      <c r="I335" s="27"/>
    </row>
    <row r="336" spans="1:9" hidden="1" x14ac:dyDescent="0.2">
      <c r="A336" s="34"/>
      <c r="B336" s="34"/>
      <c r="C336" s="62"/>
      <c r="D336" s="34"/>
      <c r="E336" s="62"/>
      <c r="F336" s="34"/>
      <c r="G336" s="62"/>
      <c r="H336" s="34"/>
      <c r="I336" s="34"/>
    </row>
    <row r="337" spans="1:9" hidden="1" x14ac:dyDescent="0.2">
      <c r="A337" s="33" t="s">
        <v>42</v>
      </c>
      <c r="B337" s="494" t="s">
        <v>11</v>
      </c>
      <c r="C337" s="496">
        <v>17500</v>
      </c>
      <c r="D337" s="498" t="s">
        <v>141</v>
      </c>
      <c r="E337" s="156">
        <v>9491.02</v>
      </c>
      <c r="F337" s="56" t="s">
        <v>190</v>
      </c>
      <c r="G337" s="148"/>
      <c r="H337" s="494" t="s">
        <v>135</v>
      </c>
      <c r="I337" s="27" t="s">
        <v>189</v>
      </c>
    </row>
    <row r="338" spans="1:9" hidden="1" x14ac:dyDescent="0.2">
      <c r="A338" s="152"/>
      <c r="B338" s="507"/>
      <c r="C338" s="508"/>
      <c r="D338" s="507"/>
      <c r="E338" s="518">
        <v>7551.75</v>
      </c>
      <c r="F338" s="514" t="s">
        <v>241</v>
      </c>
      <c r="G338" s="163">
        <f>8008.98-E338</f>
        <v>457.22999999999956</v>
      </c>
      <c r="H338" s="507"/>
      <c r="I338" s="165" t="s">
        <v>98</v>
      </c>
    </row>
    <row r="339" spans="1:9" hidden="1" x14ac:dyDescent="0.2">
      <c r="A339" s="152"/>
      <c r="B339" s="495"/>
      <c r="C339" s="497"/>
      <c r="D339" s="495"/>
      <c r="E339" s="519"/>
      <c r="F339" s="515"/>
      <c r="G339" s="163">
        <v>-457.23</v>
      </c>
      <c r="H339" s="495"/>
      <c r="I339" s="165" t="s">
        <v>99</v>
      </c>
    </row>
    <row r="340" spans="1:9" hidden="1" x14ac:dyDescent="0.2">
      <c r="A340" s="152"/>
      <c r="B340" s="516" t="s">
        <v>10</v>
      </c>
      <c r="C340" s="496">
        <v>15060</v>
      </c>
      <c r="D340" s="498" t="s">
        <v>143</v>
      </c>
      <c r="E340" s="502">
        <v>14933.52</v>
      </c>
      <c r="F340" s="513" t="s">
        <v>164</v>
      </c>
      <c r="G340" s="148">
        <f>C340-E340</f>
        <v>126.47999999999956</v>
      </c>
      <c r="H340" s="494" t="s">
        <v>142</v>
      </c>
      <c r="I340" s="44" t="s">
        <v>100</v>
      </c>
    </row>
    <row r="341" spans="1:9" hidden="1" x14ac:dyDescent="0.2">
      <c r="A341" s="152"/>
      <c r="B341" s="517"/>
      <c r="C341" s="497"/>
      <c r="D341" s="495"/>
      <c r="E341" s="497"/>
      <c r="F341" s="495"/>
      <c r="G341" s="148">
        <v>-126.48</v>
      </c>
      <c r="H341" s="495"/>
      <c r="I341" s="44" t="s">
        <v>159</v>
      </c>
    </row>
    <row r="342" spans="1:9" hidden="1" x14ac:dyDescent="0.2">
      <c r="A342" s="152"/>
      <c r="B342" s="150" t="s">
        <v>11</v>
      </c>
      <c r="C342" s="148">
        <v>26700</v>
      </c>
      <c r="D342" s="56" t="s">
        <v>146</v>
      </c>
      <c r="E342" s="156">
        <v>26700</v>
      </c>
      <c r="F342" s="55" t="s">
        <v>173</v>
      </c>
      <c r="G342" s="148">
        <f>C342-E342</f>
        <v>0</v>
      </c>
      <c r="H342" s="150" t="s">
        <v>142</v>
      </c>
      <c r="I342" s="44" t="s">
        <v>100</v>
      </c>
    </row>
    <row r="343" spans="1:9" hidden="1" x14ac:dyDescent="0.2">
      <c r="A343" s="152"/>
      <c r="B343" s="150" t="s">
        <v>10</v>
      </c>
      <c r="C343" s="148">
        <v>8000</v>
      </c>
      <c r="D343" s="56" t="s">
        <v>148</v>
      </c>
      <c r="E343" s="156">
        <v>8000</v>
      </c>
      <c r="F343" s="153" t="s">
        <v>183</v>
      </c>
      <c r="G343" s="148">
        <f>C343-E343</f>
        <v>0</v>
      </c>
      <c r="H343" s="150" t="s">
        <v>106</v>
      </c>
      <c r="I343" s="83"/>
    </row>
    <row r="344" spans="1:9" hidden="1" x14ac:dyDescent="0.2">
      <c r="A344" s="142"/>
      <c r="B344" s="150" t="s">
        <v>10</v>
      </c>
      <c r="C344" s="156">
        <v>25000</v>
      </c>
      <c r="D344" s="56" t="s">
        <v>154</v>
      </c>
      <c r="E344" s="86">
        <v>11093</v>
      </c>
      <c r="F344" s="55" t="s">
        <v>195</v>
      </c>
      <c r="G344" s="148">
        <f t="shared" ref="G344:G349" si="1">C344-E344</f>
        <v>13907</v>
      </c>
      <c r="H344" s="150" t="s">
        <v>151</v>
      </c>
      <c r="I344" s="44" t="s">
        <v>134</v>
      </c>
    </row>
    <row r="345" spans="1:9" hidden="1" x14ac:dyDescent="0.2">
      <c r="A345" s="142"/>
      <c r="B345" s="150"/>
      <c r="C345" s="156"/>
      <c r="D345" s="56"/>
      <c r="E345" s="86"/>
      <c r="F345" s="55"/>
      <c r="G345" s="148"/>
      <c r="H345" s="150"/>
      <c r="I345" s="44"/>
    </row>
    <row r="346" spans="1:9" hidden="1" x14ac:dyDescent="0.2">
      <c r="A346" s="155" t="s">
        <v>113</v>
      </c>
      <c r="B346" s="150" t="s">
        <v>11</v>
      </c>
      <c r="C346" s="156">
        <v>11000</v>
      </c>
      <c r="D346" s="56" t="s">
        <v>157</v>
      </c>
      <c r="E346" s="86">
        <v>11000</v>
      </c>
      <c r="F346" s="55" t="s">
        <v>187</v>
      </c>
      <c r="G346" s="148">
        <f t="shared" si="1"/>
        <v>0</v>
      </c>
      <c r="H346" s="150" t="s">
        <v>151</v>
      </c>
      <c r="I346" s="83"/>
    </row>
    <row r="347" spans="1:9" hidden="1" x14ac:dyDescent="0.2">
      <c r="A347" s="155"/>
      <c r="B347" s="150" t="s">
        <v>10</v>
      </c>
      <c r="C347" s="156">
        <v>12850</v>
      </c>
      <c r="D347" s="56" t="s">
        <v>165</v>
      </c>
      <c r="E347" s="86">
        <v>12850</v>
      </c>
      <c r="F347" s="55" t="s">
        <v>180</v>
      </c>
      <c r="G347" s="148">
        <f t="shared" si="1"/>
        <v>0</v>
      </c>
      <c r="H347" s="150" t="s">
        <v>162</v>
      </c>
      <c r="I347" s="83"/>
    </row>
    <row r="348" spans="1:9" hidden="1" x14ac:dyDescent="0.2">
      <c r="A348" s="155"/>
      <c r="B348" s="150" t="s">
        <v>10</v>
      </c>
      <c r="C348" s="156">
        <v>18440</v>
      </c>
      <c r="D348" s="56" t="s">
        <v>168</v>
      </c>
      <c r="E348" s="86">
        <v>18440</v>
      </c>
      <c r="F348" s="55" t="s">
        <v>199</v>
      </c>
      <c r="G348" s="148">
        <f t="shared" si="1"/>
        <v>0</v>
      </c>
      <c r="H348" s="150" t="s">
        <v>163</v>
      </c>
      <c r="I348" s="44" t="s">
        <v>169</v>
      </c>
    </row>
    <row r="349" spans="1:9" hidden="1" x14ac:dyDescent="0.2">
      <c r="A349" s="155"/>
      <c r="B349" s="150" t="s">
        <v>11</v>
      </c>
      <c r="C349" s="156">
        <v>24272</v>
      </c>
      <c r="D349" s="56" t="s">
        <v>167</v>
      </c>
      <c r="E349" s="86">
        <v>24272</v>
      </c>
      <c r="F349" s="55" t="s">
        <v>186</v>
      </c>
      <c r="G349" s="148">
        <f t="shared" si="1"/>
        <v>0</v>
      </c>
      <c r="H349" s="150" t="s">
        <v>162</v>
      </c>
      <c r="I349" s="83"/>
    </row>
    <row r="350" spans="1:9" hidden="1" x14ac:dyDescent="0.2">
      <c r="A350" s="155"/>
      <c r="B350" s="164"/>
      <c r="C350" s="163"/>
      <c r="D350" s="162"/>
      <c r="E350" s="86"/>
      <c r="F350" s="55"/>
      <c r="G350" s="148"/>
      <c r="H350" s="164"/>
      <c r="I350" s="165"/>
    </row>
    <row r="351" spans="1:9" ht="13.5" hidden="1" thickBot="1" x14ac:dyDescent="0.25">
      <c r="A351" s="29" t="s">
        <v>43</v>
      </c>
      <c r="B351" s="30"/>
      <c r="C351" s="59">
        <f>SUM(C337:C350)</f>
        <v>158822</v>
      </c>
      <c r="D351" s="30"/>
      <c r="E351" s="59">
        <f>SUM(E337:E350)</f>
        <v>144331.29</v>
      </c>
      <c r="F351" s="57"/>
      <c r="G351" s="59">
        <f>SUM(G337:G350)</f>
        <v>13907</v>
      </c>
      <c r="H351" s="30"/>
      <c r="I351" s="31"/>
    </row>
    <row r="353" spans="1:9" x14ac:dyDescent="0.2">
      <c r="A353" s="11"/>
      <c r="B353" s="11"/>
      <c r="C353" s="11"/>
      <c r="D353" s="11"/>
      <c r="E353" s="11"/>
      <c r="F353" s="11"/>
      <c r="G353" s="11"/>
      <c r="H353" s="11"/>
      <c r="I353" s="11"/>
    </row>
  </sheetData>
  <mergeCells count="68">
    <mergeCell ref="A2:I2"/>
    <mergeCell ref="B337:B339"/>
    <mergeCell ref="I307:I308"/>
    <mergeCell ref="H307:H308"/>
    <mergeCell ref="B299:B300"/>
    <mergeCell ref="C302:C303"/>
    <mergeCell ref="D302:D303"/>
    <mergeCell ref="H299:H300"/>
    <mergeCell ref="D299:D300"/>
    <mergeCell ref="B256:B257"/>
    <mergeCell ref="H229:H230"/>
    <mergeCell ref="A238:I238"/>
    <mergeCell ref="E243:I243"/>
    <mergeCell ref="E325:I325"/>
    <mergeCell ref="B307:B308"/>
    <mergeCell ref="B302:B303"/>
    <mergeCell ref="B340:B341"/>
    <mergeCell ref="C340:C341"/>
    <mergeCell ref="H256:H257"/>
    <mergeCell ref="F256:F257"/>
    <mergeCell ref="D337:D339"/>
    <mergeCell ref="E338:E339"/>
    <mergeCell ref="C297:C298"/>
    <mergeCell ref="D297:D298"/>
    <mergeCell ref="E297:E298"/>
    <mergeCell ref="C299:C300"/>
    <mergeCell ref="C337:C339"/>
    <mergeCell ref="E299:E300"/>
    <mergeCell ref="F299:F300"/>
    <mergeCell ref="H297:H298"/>
    <mergeCell ref="F297:F298"/>
    <mergeCell ref="F268:F269"/>
    <mergeCell ref="D340:D341"/>
    <mergeCell ref="F302:F303"/>
    <mergeCell ref="H302:H303"/>
    <mergeCell ref="F307:F308"/>
    <mergeCell ref="E307:E308"/>
    <mergeCell ref="E340:E341"/>
    <mergeCell ref="F340:F341"/>
    <mergeCell ref="H340:H341"/>
    <mergeCell ref="E302:E303"/>
    <mergeCell ref="D307:D308"/>
    <mergeCell ref="F338:F339"/>
    <mergeCell ref="H337:H339"/>
    <mergeCell ref="E311:E312"/>
    <mergeCell ref="F311:F312"/>
    <mergeCell ref="H311:H312"/>
    <mergeCell ref="A320:I320"/>
    <mergeCell ref="C307:C308"/>
    <mergeCell ref="A279:I279"/>
    <mergeCell ref="E284:I284"/>
    <mergeCell ref="H260:H262"/>
    <mergeCell ref="B260:B262"/>
    <mergeCell ref="F261:F262"/>
    <mergeCell ref="C260:C262"/>
    <mergeCell ref="D260:D262"/>
    <mergeCell ref="E261:E262"/>
    <mergeCell ref="A171:I171"/>
    <mergeCell ref="A100:I100"/>
    <mergeCell ref="E105:I105"/>
    <mergeCell ref="E176:I176"/>
    <mergeCell ref="E211:I211"/>
    <mergeCell ref="A206:I206"/>
    <mergeCell ref="A35:I35"/>
    <mergeCell ref="A68:I68"/>
    <mergeCell ref="E73:I73"/>
    <mergeCell ref="A134:I134"/>
    <mergeCell ref="E139:I139"/>
  </mergeCells>
  <phoneticPr fontId="7" type="noConversion"/>
  <pageMargins left="0.69" right="0.28999999999999998" top="0.48" bottom="0.44" header="0.5" footer="0.5"/>
  <pageSetup scale="68" orientation="landscape" r:id="rId1"/>
  <headerFooter alignWithMargins="0">
    <oddFooter>&amp;CCurrent as of &amp;D</oddFooter>
  </headerFooter>
  <rowBreaks count="4" manualBreakCount="4">
    <brk id="204" max="16383" man="1"/>
    <brk id="237" max="16383" man="1"/>
    <brk id="277" max="16383" man="1"/>
    <brk id="318"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02"/>
  <sheetViews>
    <sheetView showGridLines="0" zoomScaleNormal="100" zoomScaleSheetLayoutView="75" workbookViewId="0">
      <selection activeCell="H7" sqref="H7"/>
    </sheetView>
  </sheetViews>
  <sheetFormatPr defaultRowHeight="12.75" x14ac:dyDescent="0.2"/>
  <cols>
    <col min="1" max="1" width="22.28515625" bestFit="1" customWidth="1"/>
    <col min="2" max="3" width="17" customWidth="1"/>
    <col min="4" max="4" width="18.85546875" bestFit="1" customWidth="1"/>
    <col min="5" max="5" width="17.7109375" bestFit="1" customWidth="1"/>
    <col min="6" max="6" width="15.85546875" customWidth="1"/>
    <col min="7" max="7" width="14.28515625" customWidth="1"/>
    <col min="8" max="8" width="12.7109375" customWidth="1"/>
    <col min="9" max="9" width="32.7109375" customWidth="1"/>
    <col min="10" max="10" width="23" customWidth="1"/>
  </cols>
  <sheetData>
    <row r="1" spans="1:9" ht="13.5" thickBot="1" x14ac:dyDescent="0.25"/>
    <row r="2" spans="1:9" ht="21" thickBot="1" x14ac:dyDescent="0.25">
      <c r="A2" s="489" t="s">
        <v>1145</v>
      </c>
      <c r="B2" s="490"/>
      <c r="C2" s="490"/>
      <c r="D2" s="490"/>
      <c r="E2" s="490"/>
      <c r="F2" s="490"/>
      <c r="G2" s="490"/>
      <c r="H2" s="490"/>
      <c r="I2" s="491"/>
    </row>
    <row r="3" spans="1:9" ht="20.25" x14ac:dyDescent="0.3">
      <c r="A3" s="41"/>
      <c r="B3" s="13" t="s">
        <v>1140</v>
      </c>
      <c r="C3" s="13" t="s">
        <v>1141</v>
      </c>
      <c r="D3" s="13" t="s">
        <v>1142</v>
      </c>
      <c r="E3" s="13" t="s">
        <v>1143</v>
      </c>
      <c r="F3" s="14"/>
      <c r="G3" s="13"/>
      <c r="H3" s="13"/>
      <c r="I3" s="39"/>
    </row>
    <row r="4" spans="1:9" x14ac:dyDescent="0.2">
      <c r="A4" s="41" t="s">
        <v>992</v>
      </c>
      <c r="B4" s="216">
        <f>B37+(B37*0.03)</f>
        <v>119782.82</v>
      </c>
      <c r="C4" s="216">
        <v>81868</v>
      </c>
      <c r="D4" s="216">
        <f>D37+(D37*0.03)</f>
        <v>170272.39</v>
      </c>
      <c r="E4" s="216">
        <v>10000</v>
      </c>
      <c r="F4" s="151" t="s">
        <v>972</v>
      </c>
      <c r="G4" s="13"/>
      <c r="H4" s="13"/>
      <c r="I4" s="161" t="s">
        <v>973</v>
      </c>
    </row>
    <row r="5" spans="1:9" ht="20.25" x14ac:dyDescent="0.3">
      <c r="A5" s="41" t="s">
        <v>36</v>
      </c>
      <c r="B5" s="18">
        <f>IF(OR(B42&gt;=B4,B42&lt;B4),B42,B4)</f>
        <v>0</v>
      </c>
      <c r="C5" s="18">
        <f>IF(OR(C42&gt;=C4,C42&lt;C4),C4,C42)</f>
        <v>81868</v>
      </c>
      <c r="D5" s="18">
        <f>IF(OR(D42&gt;=D4,D42&lt;D4),D42,D4)</f>
        <v>132329</v>
      </c>
      <c r="E5" s="18">
        <v>0</v>
      </c>
      <c r="F5" s="14"/>
      <c r="G5" s="13"/>
      <c r="H5" s="13"/>
      <c r="I5" s="39"/>
    </row>
    <row r="6" spans="1:9" x14ac:dyDescent="0.2">
      <c r="A6" s="41" t="s">
        <v>993</v>
      </c>
      <c r="B6" s="18">
        <f>SUM(B4:B5)</f>
        <v>119782.82</v>
      </c>
      <c r="C6" s="18">
        <f>SUM(C4:C5)</f>
        <v>163736</v>
      </c>
      <c r="D6" s="18">
        <f>SUM(D4:D5)</f>
        <v>302601.39</v>
      </c>
      <c r="E6" s="18">
        <f>SUM(E4:E5)</f>
        <v>10000</v>
      </c>
      <c r="F6" s="130" t="s">
        <v>107</v>
      </c>
      <c r="G6" s="13"/>
      <c r="H6" s="13"/>
      <c r="I6" s="39"/>
    </row>
    <row r="7" spans="1:9" ht="20.25" x14ac:dyDescent="0.3">
      <c r="A7" s="41" t="s">
        <v>47</v>
      </c>
      <c r="B7" s="18">
        <f>IF(OR(B43&gt;+B4,B43&lt;B4),B43,B4)</f>
        <v>0</v>
      </c>
      <c r="C7" s="18">
        <f>IF(OR(C43&gt;+C4,C43&lt;C4),C4,C43)</f>
        <v>81868</v>
      </c>
      <c r="D7" s="18">
        <f>IF(OR(D43&gt;+D4,D43&lt;D4),D43,D4)</f>
        <v>132329</v>
      </c>
      <c r="E7" s="18">
        <v>0</v>
      </c>
      <c r="F7" s="14"/>
      <c r="G7" s="13"/>
      <c r="H7" s="13"/>
      <c r="I7" s="39"/>
    </row>
    <row r="8" spans="1:9" x14ac:dyDescent="0.2">
      <c r="A8" s="41" t="s">
        <v>479</v>
      </c>
      <c r="B8" s="18">
        <f>B6+B7</f>
        <v>119782.82</v>
      </c>
      <c r="C8" s="18">
        <f>C7+C4</f>
        <v>163736</v>
      </c>
      <c r="D8" s="18">
        <f>D7+D4</f>
        <v>302601.39</v>
      </c>
      <c r="E8" s="18">
        <f>E7+E4</f>
        <v>10000</v>
      </c>
      <c r="F8" s="151" t="s">
        <v>108</v>
      </c>
      <c r="G8" s="13"/>
      <c r="H8" s="13"/>
      <c r="I8" s="39"/>
    </row>
    <row r="9" spans="1:9" x14ac:dyDescent="0.2">
      <c r="A9" s="41" t="s">
        <v>39</v>
      </c>
      <c r="B9" s="18">
        <f>B6-E14</f>
        <v>0</v>
      </c>
      <c r="C9" s="18">
        <f>C6-E18</f>
        <v>163736</v>
      </c>
      <c r="D9" s="18">
        <f>D6-E27</f>
        <v>302601.39</v>
      </c>
      <c r="E9" s="18">
        <f>E6-E33</f>
        <v>10000</v>
      </c>
      <c r="F9" s="151" t="s">
        <v>109</v>
      </c>
      <c r="G9" s="13"/>
      <c r="H9" s="13"/>
      <c r="I9" s="39"/>
    </row>
    <row r="10" spans="1:9" x14ac:dyDescent="0.2">
      <c r="A10" s="41" t="s">
        <v>132</v>
      </c>
      <c r="B10" s="40">
        <f>B8-E14-F14</f>
        <v>0</v>
      </c>
      <c r="C10" s="40">
        <f>C8-E18-F18</f>
        <v>163736</v>
      </c>
      <c r="D10" s="47">
        <f>D8-E27-F27</f>
        <v>302601.39</v>
      </c>
      <c r="E10" s="47">
        <f>E8-E33-F33</f>
        <v>10000</v>
      </c>
      <c r="F10" s="151" t="s">
        <v>110</v>
      </c>
      <c r="G10" s="145"/>
      <c r="H10" s="145"/>
      <c r="I10" s="145"/>
    </row>
    <row r="11" spans="1:9" ht="21" thickBot="1" x14ac:dyDescent="0.35">
      <c r="A11" s="41"/>
      <c r="B11" s="13"/>
      <c r="C11" s="13"/>
      <c r="D11" s="13"/>
      <c r="E11" s="14"/>
      <c r="F11" s="14"/>
      <c r="G11" s="13"/>
      <c r="H11" s="13"/>
      <c r="I11" s="39"/>
    </row>
    <row r="12" spans="1:9" ht="25.5" x14ac:dyDescent="0.2">
      <c r="A12" s="19" t="s">
        <v>41</v>
      </c>
      <c r="B12" s="20" t="s">
        <v>34</v>
      </c>
      <c r="C12" s="20" t="s">
        <v>64</v>
      </c>
      <c r="D12" s="20" t="s">
        <v>63</v>
      </c>
      <c r="E12" s="20" t="s">
        <v>37</v>
      </c>
      <c r="F12" s="20" t="s">
        <v>48</v>
      </c>
      <c r="G12" s="20" t="s">
        <v>40</v>
      </c>
      <c r="H12" s="20" t="s">
        <v>38</v>
      </c>
      <c r="I12" s="21" t="s">
        <v>5</v>
      </c>
    </row>
    <row r="13" spans="1:9" x14ac:dyDescent="0.2">
      <c r="A13" s="22" t="s">
        <v>10</v>
      </c>
      <c r="B13" s="23" t="s">
        <v>10</v>
      </c>
      <c r="C13" s="60">
        <v>119782.82</v>
      </c>
      <c r="D13" s="53">
        <v>45299</v>
      </c>
      <c r="E13" s="60">
        <v>119782.82</v>
      </c>
      <c r="G13" s="300" t="s">
        <v>1158</v>
      </c>
      <c r="H13" s="23" t="s">
        <v>974</v>
      </c>
      <c r="I13" s="24"/>
    </row>
    <row r="14" spans="1:9" x14ac:dyDescent="0.2">
      <c r="A14" s="25" t="s">
        <v>43</v>
      </c>
      <c r="B14" s="26"/>
      <c r="C14" s="64">
        <f>C13</f>
        <v>119782.82</v>
      </c>
      <c r="D14" s="26"/>
      <c r="E14" s="278">
        <f>E13</f>
        <v>119782.82</v>
      </c>
      <c r="F14" s="281"/>
      <c r="G14" s="301"/>
      <c r="H14" s="26"/>
      <c r="I14" s="27"/>
    </row>
    <row r="15" spans="1:9" x14ac:dyDescent="0.2">
      <c r="A15" s="34"/>
      <c r="B15" s="34"/>
      <c r="C15" s="62"/>
      <c r="D15" s="34"/>
      <c r="E15" s="62"/>
      <c r="F15" s="280"/>
      <c r="G15" s="34"/>
      <c r="H15" s="34"/>
      <c r="I15" s="34"/>
    </row>
    <row r="16" spans="1:9" x14ac:dyDescent="0.2">
      <c r="A16" s="25" t="s">
        <v>44</v>
      </c>
      <c r="B16" s="26"/>
      <c r="C16" s="156"/>
      <c r="D16" s="58"/>
      <c r="E16" s="61"/>
      <c r="F16" s="61"/>
      <c r="G16" s="26"/>
      <c r="H16" s="26"/>
      <c r="I16" s="84"/>
    </row>
    <row r="17" spans="1:9" x14ac:dyDescent="0.2">
      <c r="A17" s="25"/>
      <c r="B17" s="26"/>
      <c r="C17" s="61"/>
      <c r="D17" s="54"/>
      <c r="E17" s="61"/>
      <c r="F17" s="61"/>
      <c r="G17" s="26"/>
      <c r="H17" s="26" t="s">
        <v>974</v>
      </c>
      <c r="I17" s="27"/>
    </row>
    <row r="18" spans="1:9" x14ac:dyDescent="0.2">
      <c r="A18" s="25" t="s">
        <v>43</v>
      </c>
      <c r="B18" s="26"/>
      <c r="C18" s="63">
        <f>C16+C17</f>
        <v>0</v>
      </c>
      <c r="D18" s="26"/>
      <c r="E18" s="63">
        <f>E16+E17</f>
        <v>0</v>
      </c>
      <c r="F18" s="63">
        <f>SUM(F16:F17)</f>
        <v>0</v>
      </c>
      <c r="G18" s="26"/>
      <c r="H18" s="26"/>
      <c r="I18" s="27"/>
    </row>
    <row r="19" spans="1:9" x14ac:dyDescent="0.2">
      <c r="A19" s="34"/>
      <c r="B19" s="34"/>
      <c r="C19" s="62"/>
      <c r="D19" s="34"/>
      <c r="E19" s="333"/>
      <c r="F19" s="62"/>
      <c r="G19" s="34"/>
      <c r="H19" s="34"/>
      <c r="I19" s="34"/>
    </row>
    <row r="20" spans="1:9" x14ac:dyDescent="0.2">
      <c r="A20" s="25" t="s">
        <v>42</v>
      </c>
      <c r="B20" s="140"/>
      <c r="C20" s="147"/>
      <c r="D20" s="331"/>
      <c r="E20" s="56"/>
      <c r="F20" s="332"/>
      <c r="G20" s="140"/>
      <c r="H20" s="26"/>
      <c r="I20" s="45"/>
    </row>
    <row r="21" spans="1:9" x14ac:dyDescent="0.2">
      <c r="A21" s="155"/>
      <c r="B21" s="150"/>
      <c r="C21" s="156"/>
      <c r="D21" s="56"/>
      <c r="E21" s="156"/>
      <c r="F21" s="156"/>
      <c r="G21" s="140"/>
      <c r="H21" s="150"/>
      <c r="I21" s="96"/>
    </row>
    <row r="22" spans="1:9" x14ac:dyDescent="0.2">
      <c r="A22" s="155"/>
      <c r="B22" s="150"/>
      <c r="C22" s="156"/>
      <c r="D22" s="56"/>
      <c r="E22" s="156"/>
      <c r="F22" s="156"/>
      <c r="G22" s="140"/>
      <c r="H22" s="150"/>
      <c r="I22" s="96"/>
    </row>
    <row r="23" spans="1:9" x14ac:dyDescent="0.2">
      <c r="A23" s="155"/>
      <c r="B23" s="150"/>
      <c r="C23" s="156"/>
      <c r="D23" s="56"/>
      <c r="E23" s="156"/>
      <c r="F23" s="156"/>
      <c r="G23" s="140"/>
      <c r="H23" s="150"/>
      <c r="I23" s="96"/>
    </row>
    <row r="24" spans="1:9" x14ac:dyDescent="0.2">
      <c r="A24" s="155"/>
      <c r="B24" s="150"/>
      <c r="C24" s="156"/>
      <c r="D24" s="56"/>
      <c r="E24" s="156"/>
      <c r="F24" s="156"/>
      <c r="G24" s="140"/>
      <c r="H24" s="150"/>
      <c r="I24" s="96"/>
    </row>
    <row r="25" spans="1:9" x14ac:dyDescent="0.2">
      <c r="A25" s="155"/>
      <c r="B25" s="150"/>
      <c r="C25" s="156"/>
      <c r="D25" s="56"/>
      <c r="E25" s="156"/>
      <c r="F25" s="156"/>
      <c r="G25" s="140"/>
      <c r="H25" s="150"/>
      <c r="I25" s="96"/>
    </row>
    <row r="26" spans="1:9" x14ac:dyDescent="0.2">
      <c r="A26" s="155"/>
      <c r="B26" s="150"/>
      <c r="C26" s="156"/>
      <c r="D26" s="56"/>
      <c r="E26" s="156"/>
      <c r="F26" s="156"/>
      <c r="G26" s="140"/>
      <c r="H26" s="150"/>
      <c r="I26" s="96"/>
    </row>
    <row r="27" spans="1:9" x14ac:dyDescent="0.2">
      <c r="A27" s="155" t="s">
        <v>43</v>
      </c>
      <c r="B27" s="150"/>
      <c r="C27" s="330">
        <f>SUM(C20:C26)</f>
        <v>0</v>
      </c>
      <c r="D27" s="56"/>
      <c r="E27" s="330">
        <f>SUM(E20:E26)</f>
        <v>0</v>
      </c>
      <c r="F27" s="330">
        <f>SUM(F20:F26)</f>
        <v>0</v>
      </c>
      <c r="G27" s="140"/>
      <c r="H27" s="150"/>
      <c r="I27" s="96"/>
    </row>
    <row r="28" spans="1:9" x14ac:dyDescent="0.2">
      <c r="A28" s="334"/>
      <c r="B28" s="318"/>
      <c r="C28" s="335"/>
      <c r="D28" s="320"/>
      <c r="E28" s="335"/>
      <c r="F28" s="335"/>
      <c r="G28" s="336"/>
      <c r="H28" s="318"/>
      <c r="I28" s="337"/>
    </row>
    <row r="29" spans="1:9" x14ac:dyDescent="0.2">
      <c r="A29" s="155" t="s">
        <v>975</v>
      </c>
      <c r="B29" s="150"/>
      <c r="C29" s="156"/>
      <c r="D29" s="56"/>
      <c r="E29" s="156"/>
      <c r="F29" s="156"/>
      <c r="G29" s="140"/>
      <c r="H29" s="150"/>
      <c r="I29" s="96"/>
    </row>
    <row r="30" spans="1:9" x14ac:dyDescent="0.2">
      <c r="A30" s="155"/>
      <c r="B30" s="150"/>
      <c r="C30" s="156"/>
      <c r="D30" s="56"/>
      <c r="E30" s="156"/>
      <c r="F30" s="156"/>
      <c r="G30" s="140"/>
      <c r="H30" s="150"/>
      <c r="I30" s="96"/>
    </row>
    <row r="31" spans="1:9" x14ac:dyDescent="0.2">
      <c r="A31" s="155"/>
      <c r="B31" s="150"/>
      <c r="C31" s="156"/>
      <c r="D31" s="56"/>
      <c r="E31" s="156"/>
      <c r="F31" s="156"/>
      <c r="G31" s="140"/>
      <c r="H31" s="150"/>
      <c r="I31" s="96"/>
    </row>
    <row r="32" spans="1:9" x14ac:dyDescent="0.2">
      <c r="A32" s="155"/>
      <c r="B32" s="150"/>
      <c r="C32" s="156"/>
      <c r="D32" s="56"/>
      <c r="E32" s="156"/>
      <c r="F32" s="156"/>
      <c r="G32" s="140"/>
      <c r="H32" s="150"/>
      <c r="I32" s="96"/>
    </row>
    <row r="33" spans="1:9" ht="13.5" thickBot="1" x14ac:dyDescent="0.25">
      <c r="A33" s="29" t="s">
        <v>43</v>
      </c>
      <c r="B33" s="30"/>
      <c r="C33" s="59">
        <f>SUM(C30:C32)</f>
        <v>0</v>
      </c>
      <c r="D33" s="30"/>
      <c r="E33" s="59">
        <f>SUM(E30:E32)</f>
        <v>0</v>
      </c>
      <c r="F33" s="59">
        <f>SUM(F30:F32)</f>
        <v>0</v>
      </c>
      <c r="G33" s="30"/>
      <c r="H33" s="30"/>
      <c r="I33" s="31"/>
    </row>
    <row r="34" spans="1:9" ht="13.5" thickBot="1" x14ac:dyDescent="0.25"/>
    <row r="35" spans="1:9" ht="21" thickBot="1" x14ac:dyDescent="0.25">
      <c r="A35" s="489" t="s">
        <v>976</v>
      </c>
      <c r="B35" s="490"/>
      <c r="C35" s="490"/>
      <c r="D35" s="490"/>
      <c r="E35" s="490"/>
      <c r="F35" s="490"/>
      <c r="G35" s="490"/>
      <c r="H35" s="490"/>
      <c r="I35" s="491"/>
    </row>
    <row r="36" spans="1:9" ht="20.25" x14ac:dyDescent="0.3">
      <c r="A36" s="41"/>
      <c r="B36" s="13" t="s">
        <v>964</v>
      </c>
      <c r="C36" s="13" t="s">
        <v>965</v>
      </c>
      <c r="D36" s="13" t="s">
        <v>966</v>
      </c>
      <c r="E36" s="13" t="s">
        <v>967</v>
      </c>
      <c r="F36" s="14"/>
      <c r="G36" s="13"/>
      <c r="H36" s="13"/>
      <c r="I36" s="39"/>
    </row>
    <row r="37" spans="1:9" x14ac:dyDescent="0.2">
      <c r="A37" s="41" t="s">
        <v>971</v>
      </c>
      <c r="B37" s="216">
        <v>116294</v>
      </c>
      <c r="C37" s="216">
        <v>81868</v>
      </c>
      <c r="D37" s="216">
        <v>165313</v>
      </c>
      <c r="E37" s="216">
        <v>10000</v>
      </c>
      <c r="F37" s="151" t="s">
        <v>972</v>
      </c>
      <c r="G37" s="13"/>
      <c r="H37" s="13"/>
      <c r="I37" s="161" t="s">
        <v>973</v>
      </c>
    </row>
    <row r="38" spans="1:9" ht="20.25" x14ac:dyDescent="0.3">
      <c r="A38" s="41" t="s">
        <v>36</v>
      </c>
      <c r="B38" s="18">
        <f>IF(B75&gt;B37,B37,B75)</f>
        <v>0</v>
      </c>
      <c r="C38" s="18">
        <f>IF(C75&gt;C37,C37,C75)</f>
        <v>81868</v>
      </c>
      <c r="D38" s="18">
        <f>IF(D75&gt;D37,D37,D75)</f>
        <v>78000</v>
      </c>
      <c r="E38" s="18">
        <v>0</v>
      </c>
      <c r="F38" s="14"/>
      <c r="G38" s="13"/>
      <c r="H38" s="13"/>
      <c r="I38" s="39"/>
    </row>
    <row r="39" spans="1:9" x14ac:dyDescent="0.2">
      <c r="A39" s="41" t="s">
        <v>969</v>
      </c>
      <c r="B39" s="18">
        <f>SUM(B37:B38)</f>
        <v>116294</v>
      </c>
      <c r="C39" s="18">
        <f>SUM(C37:C38)</f>
        <v>163736</v>
      </c>
      <c r="D39" s="18">
        <f>SUM(D37:D38)</f>
        <v>243313</v>
      </c>
      <c r="E39" s="18">
        <f>SUM(E37:E38)</f>
        <v>10000</v>
      </c>
      <c r="F39" s="130" t="s">
        <v>107</v>
      </c>
      <c r="G39" s="13"/>
      <c r="H39" s="13"/>
      <c r="I39" s="39"/>
    </row>
    <row r="40" spans="1:9" ht="20.25" x14ac:dyDescent="0.3">
      <c r="A40" s="41" t="s">
        <v>47</v>
      </c>
      <c r="B40" s="18">
        <f>B75</f>
        <v>0</v>
      </c>
      <c r="C40" s="18">
        <f>IF(C76&gt;C37,C37,C76)</f>
        <v>81868</v>
      </c>
      <c r="D40" s="18">
        <f>IF(D76&gt;D70,D70,D76)</f>
        <v>78000</v>
      </c>
      <c r="E40" s="18">
        <v>0</v>
      </c>
      <c r="F40" s="14"/>
      <c r="G40" s="13"/>
      <c r="H40" s="13"/>
      <c r="I40" s="39"/>
    </row>
    <row r="41" spans="1:9" x14ac:dyDescent="0.2">
      <c r="A41" s="41" t="s">
        <v>479</v>
      </c>
      <c r="B41" s="18">
        <f>B39+B40</f>
        <v>116294</v>
      </c>
      <c r="C41" s="18">
        <f>C40+C37</f>
        <v>163736</v>
      </c>
      <c r="D41" s="18">
        <f>D40+D37</f>
        <v>243313</v>
      </c>
      <c r="E41" s="18">
        <f>E40+E37</f>
        <v>10000</v>
      </c>
      <c r="F41" s="151" t="s">
        <v>108</v>
      </c>
      <c r="G41" s="13"/>
      <c r="H41" s="13"/>
      <c r="I41" s="39"/>
    </row>
    <row r="42" spans="1:9" x14ac:dyDescent="0.2">
      <c r="A42" s="41" t="s">
        <v>39</v>
      </c>
      <c r="B42" s="18">
        <f>B39-E47</f>
        <v>0</v>
      </c>
      <c r="C42" s="18">
        <f>C39-E51</f>
        <v>147593.9</v>
      </c>
      <c r="D42" s="18">
        <f>D39-E60</f>
        <v>132329</v>
      </c>
      <c r="E42" s="18">
        <f>E39-E66</f>
        <v>10000</v>
      </c>
      <c r="F42" s="151" t="s">
        <v>109</v>
      </c>
      <c r="G42" s="13"/>
      <c r="H42" s="13"/>
      <c r="I42" s="39"/>
    </row>
    <row r="43" spans="1:9" x14ac:dyDescent="0.2">
      <c r="A43" s="41" t="s">
        <v>132</v>
      </c>
      <c r="B43" s="40">
        <f>B41-E47-F47</f>
        <v>0</v>
      </c>
      <c r="C43" s="40">
        <f>C41-E51-F51</f>
        <v>147593.9</v>
      </c>
      <c r="D43" s="47">
        <f>D41-E60-F60</f>
        <v>132329</v>
      </c>
      <c r="E43" s="47">
        <f>E41-E66-F66</f>
        <v>10000</v>
      </c>
      <c r="F43" s="151" t="s">
        <v>110</v>
      </c>
      <c r="G43" s="145"/>
      <c r="H43" s="145"/>
      <c r="I43" s="145"/>
    </row>
    <row r="44" spans="1:9" ht="21" thickBot="1" x14ac:dyDescent="0.35">
      <c r="A44" s="41"/>
      <c r="B44" s="13"/>
      <c r="C44" s="13"/>
      <c r="D44" s="13"/>
      <c r="E44" s="14"/>
      <c r="F44" s="14"/>
      <c r="G44" s="13"/>
      <c r="H44" s="13"/>
      <c r="I44" s="39"/>
    </row>
    <row r="45" spans="1:9" ht="25.5" x14ac:dyDescent="0.2">
      <c r="A45" s="19" t="s">
        <v>41</v>
      </c>
      <c r="B45" s="20" t="s">
        <v>34</v>
      </c>
      <c r="C45" s="20" t="s">
        <v>64</v>
      </c>
      <c r="D45" s="20" t="s">
        <v>63</v>
      </c>
      <c r="E45" s="20" t="s">
        <v>37</v>
      </c>
      <c r="F45" s="20" t="s">
        <v>48</v>
      </c>
      <c r="G45" s="20" t="s">
        <v>40</v>
      </c>
      <c r="H45" s="20" t="s">
        <v>38</v>
      </c>
      <c r="I45" s="21" t="s">
        <v>5</v>
      </c>
    </row>
    <row r="46" spans="1:9" x14ac:dyDescent="0.2">
      <c r="A46" s="22" t="s">
        <v>10</v>
      </c>
      <c r="B46" s="23" t="s">
        <v>10</v>
      </c>
      <c r="C46" s="60">
        <v>116294</v>
      </c>
      <c r="D46" s="53">
        <v>45000</v>
      </c>
      <c r="E46" s="60">
        <f>C46</f>
        <v>116294</v>
      </c>
      <c r="G46" s="300" t="s">
        <v>1010</v>
      </c>
      <c r="H46" s="23" t="s">
        <v>974</v>
      </c>
      <c r="I46" s="24"/>
    </row>
    <row r="47" spans="1:9" x14ac:dyDescent="0.2">
      <c r="A47" s="25" t="s">
        <v>43</v>
      </c>
      <c r="B47" s="26"/>
      <c r="C47" s="64">
        <f>C46</f>
        <v>116294</v>
      </c>
      <c r="D47" s="26"/>
      <c r="E47" s="278">
        <f>E46</f>
        <v>116294</v>
      </c>
      <c r="F47" s="281"/>
      <c r="G47" s="301"/>
      <c r="H47" s="26"/>
      <c r="I47" s="27"/>
    </row>
    <row r="48" spans="1:9" x14ac:dyDescent="0.2">
      <c r="A48" s="34"/>
      <c r="B48" s="34"/>
      <c r="C48" s="62"/>
      <c r="D48" s="34"/>
      <c r="E48" s="62"/>
      <c r="F48" s="280"/>
      <c r="G48" s="34"/>
      <c r="H48" s="34"/>
      <c r="I48" s="34"/>
    </row>
    <row r="49" spans="1:9" x14ac:dyDescent="0.2">
      <c r="A49" s="25" t="s">
        <v>44</v>
      </c>
      <c r="B49" s="26" t="s">
        <v>568</v>
      </c>
      <c r="C49" s="156">
        <v>16142.1</v>
      </c>
      <c r="D49" s="58">
        <v>45015</v>
      </c>
      <c r="E49" s="61">
        <v>16142.1</v>
      </c>
      <c r="F49" s="61">
        <v>0</v>
      </c>
      <c r="G49" s="26" t="s">
        <v>1114</v>
      </c>
      <c r="H49" s="26"/>
      <c r="I49" s="84"/>
    </row>
    <row r="50" spans="1:9" x14ac:dyDescent="0.2">
      <c r="A50" s="25"/>
      <c r="B50" s="26"/>
      <c r="C50" s="61"/>
      <c r="D50" s="54"/>
      <c r="E50" s="61"/>
      <c r="F50" s="61"/>
      <c r="G50" s="26"/>
      <c r="H50" s="26" t="s">
        <v>974</v>
      </c>
      <c r="I50" s="27"/>
    </row>
    <row r="51" spans="1:9" x14ac:dyDescent="0.2">
      <c r="A51" s="25" t="s">
        <v>43</v>
      </c>
      <c r="B51" s="26"/>
      <c r="C51" s="63">
        <f>C49+C50</f>
        <v>16142.1</v>
      </c>
      <c r="D51" s="26"/>
      <c r="E51" s="63">
        <f>E49+E50</f>
        <v>16142.1</v>
      </c>
      <c r="F51" s="63">
        <f>SUM(F49:F50)</f>
        <v>0</v>
      </c>
      <c r="G51" s="26"/>
      <c r="H51" s="26"/>
      <c r="I51" s="27"/>
    </row>
    <row r="52" spans="1:9" x14ac:dyDescent="0.2">
      <c r="A52" s="34"/>
      <c r="B52" s="34"/>
      <c r="C52" s="62"/>
      <c r="D52" s="34"/>
      <c r="E52" s="333"/>
      <c r="F52" s="62"/>
      <c r="G52" s="34"/>
      <c r="H52" s="34"/>
      <c r="I52" s="34"/>
    </row>
    <row r="53" spans="1:9" x14ac:dyDescent="0.2">
      <c r="A53" s="25" t="s">
        <v>42</v>
      </c>
      <c r="B53" s="140"/>
      <c r="C53" s="147"/>
      <c r="D53" s="331"/>
      <c r="E53" s="56"/>
      <c r="F53" s="332"/>
      <c r="G53" s="140"/>
      <c r="H53" s="26"/>
      <c r="I53" s="45"/>
    </row>
    <row r="54" spans="1:9" x14ac:dyDescent="0.2">
      <c r="A54" s="155"/>
      <c r="B54" s="150" t="s">
        <v>532</v>
      </c>
      <c r="C54" s="156">
        <v>32000</v>
      </c>
      <c r="D54" s="56" t="s">
        <v>955</v>
      </c>
      <c r="E54" s="156">
        <v>32000</v>
      </c>
      <c r="F54" s="156"/>
      <c r="G54" s="140" t="s">
        <v>1115</v>
      </c>
      <c r="H54" s="150" t="s">
        <v>952</v>
      </c>
      <c r="I54" s="96"/>
    </row>
    <row r="55" spans="1:9" x14ac:dyDescent="0.2">
      <c r="A55" s="155"/>
      <c r="B55" s="150" t="s">
        <v>10</v>
      </c>
      <c r="C55" s="156">
        <v>25000</v>
      </c>
      <c r="D55" s="56" t="s">
        <v>1070</v>
      </c>
      <c r="E55" s="156">
        <v>17984</v>
      </c>
      <c r="F55" s="156">
        <f>C55-E55</f>
        <v>7016</v>
      </c>
      <c r="G55" s="140" t="s">
        <v>778</v>
      </c>
      <c r="H55" s="150" t="s">
        <v>1053</v>
      </c>
      <c r="I55" s="96"/>
    </row>
    <row r="56" spans="1:9" x14ac:dyDescent="0.2">
      <c r="A56" s="155"/>
      <c r="B56" s="150"/>
      <c r="C56" s="156"/>
      <c r="D56" s="56"/>
      <c r="E56" s="156"/>
      <c r="F56" s="156">
        <v>-7016</v>
      </c>
      <c r="G56" s="140"/>
      <c r="H56" s="150"/>
      <c r="I56" s="96" t="s">
        <v>99</v>
      </c>
    </row>
    <row r="57" spans="1:9" x14ac:dyDescent="0.2">
      <c r="A57" s="155"/>
      <c r="B57" s="150" t="s">
        <v>532</v>
      </c>
      <c r="C57" s="156">
        <v>36000</v>
      </c>
      <c r="D57" s="56" t="s">
        <v>1089</v>
      </c>
      <c r="E57" s="156">
        <f>C57</f>
        <v>36000</v>
      </c>
      <c r="F57" s="156"/>
      <c r="G57" s="140" t="s">
        <v>1112</v>
      </c>
      <c r="H57" s="150" t="s">
        <v>1053</v>
      </c>
      <c r="I57" s="96"/>
    </row>
    <row r="58" spans="1:9" x14ac:dyDescent="0.2">
      <c r="A58" s="155"/>
      <c r="B58" s="150" t="s">
        <v>10</v>
      </c>
      <c r="C58" s="156">
        <v>25000</v>
      </c>
      <c r="D58" s="56" t="s">
        <v>1088</v>
      </c>
      <c r="E58" s="156">
        <v>25000</v>
      </c>
      <c r="F58" s="156"/>
      <c r="G58" s="140" t="s">
        <v>1118</v>
      </c>
      <c r="H58" s="150" t="s">
        <v>952</v>
      </c>
      <c r="I58" s="96" t="s">
        <v>1079</v>
      </c>
    </row>
    <row r="59" spans="1:9" x14ac:dyDescent="0.2">
      <c r="A59" s="155"/>
      <c r="B59" s="150"/>
      <c r="C59" s="156"/>
      <c r="D59" s="56"/>
      <c r="E59" s="156"/>
      <c r="F59" s="156"/>
      <c r="G59" s="140"/>
      <c r="H59" s="150"/>
      <c r="I59" s="96"/>
    </row>
    <row r="60" spans="1:9" x14ac:dyDescent="0.2">
      <c r="A60" s="155" t="s">
        <v>43</v>
      </c>
      <c r="B60" s="150"/>
      <c r="C60" s="330">
        <f>SUM(C53:C59)</f>
        <v>118000</v>
      </c>
      <c r="D60" s="56"/>
      <c r="E60" s="330">
        <f>SUM(E53:E59)</f>
        <v>110984</v>
      </c>
      <c r="F60" s="330">
        <f>SUM(F53:F59)</f>
        <v>0</v>
      </c>
      <c r="G60" s="140"/>
      <c r="H60" s="150"/>
      <c r="I60" s="96"/>
    </row>
    <row r="61" spans="1:9" x14ac:dyDescent="0.2">
      <c r="A61" s="334"/>
      <c r="B61" s="318"/>
      <c r="C61" s="335"/>
      <c r="D61" s="320"/>
      <c r="E61" s="335"/>
      <c r="F61" s="335"/>
      <c r="G61" s="336"/>
      <c r="H61" s="318"/>
      <c r="I61" s="337"/>
    </row>
    <row r="62" spans="1:9" x14ac:dyDescent="0.2">
      <c r="A62" s="155" t="s">
        <v>975</v>
      </c>
      <c r="B62" s="150"/>
      <c r="C62" s="156"/>
      <c r="D62" s="56"/>
      <c r="E62" s="156"/>
      <c r="F62" s="156"/>
      <c r="G62" s="140"/>
      <c r="H62" s="150"/>
      <c r="I62" s="96"/>
    </row>
    <row r="63" spans="1:9" x14ac:dyDescent="0.2">
      <c r="A63" s="155"/>
      <c r="B63" s="150"/>
      <c r="C63" s="156"/>
      <c r="D63" s="56"/>
      <c r="E63" s="156"/>
      <c r="F63" s="156"/>
      <c r="G63" s="140"/>
      <c r="H63" s="150"/>
      <c r="I63" s="96"/>
    </row>
    <row r="64" spans="1:9" x14ac:dyDescent="0.2">
      <c r="A64" s="155"/>
      <c r="B64" s="150"/>
      <c r="C64" s="156"/>
      <c r="D64" s="56"/>
      <c r="E64" s="156"/>
      <c r="F64" s="156"/>
      <c r="G64" s="140"/>
      <c r="H64" s="150"/>
      <c r="I64" s="96"/>
    </row>
    <row r="65" spans="1:9" x14ac:dyDescent="0.2">
      <c r="A65" s="155"/>
      <c r="B65" s="150"/>
      <c r="C65" s="156"/>
      <c r="D65" s="56"/>
      <c r="E65" s="156"/>
      <c r="F65" s="156"/>
      <c r="G65" s="140"/>
      <c r="H65" s="150"/>
      <c r="I65" s="96"/>
    </row>
    <row r="66" spans="1:9" ht="13.5" thickBot="1" x14ac:dyDescent="0.25">
      <c r="A66" s="29" t="s">
        <v>43</v>
      </c>
      <c r="B66" s="30"/>
      <c r="C66" s="59">
        <f>SUM(C63:C65)</f>
        <v>0</v>
      </c>
      <c r="D66" s="30"/>
      <c r="E66" s="59">
        <f>SUM(E63:E65)</f>
        <v>0</v>
      </c>
      <c r="F66" s="59">
        <f>SUM(F63:F65)</f>
        <v>0</v>
      </c>
      <c r="G66" s="30"/>
      <c r="H66" s="30"/>
      <c r="I66" s="31"/>
    </row>
    <row r="67" spans="1:9" ht="13.5" hidden="1" thickBot="1" x14ac:dyDescent="0.25"/>
    <row r="68" spans="1:9" ht="21" hidden="1" thickBot="1" x14ac:dyDescent="0.25">
      <c r="A68" s="489" t="s">
        <v>867</v>
      </c>
      <c r="B68" s="490"/>
      <c r="C68" s="490"/>
      <c r="D68" s="490"/>
      <c r="E68" s="490"/>
      <c r="F68" s="490"/>
      <c r="G68" s="490"/>
      <c r="H68" s="490"/>
      <c r="I68" s="491"/>
    </row>
    <row r="69" spans="1:9" ht="20.25" hidden="1" x14ac:dyDescent="0.3">
      <c r="A69" s="41"/>
      <c r="B69" s="13" t="s">
        <v>859</v>
      </c>
      <c r="C69" s="13" t="s">
        <v>860</v>
      </c>
      <c r="D69" s="13" t="s">
        <v>861</v>
      </c>
      <c r="E69" s="14"/>
      <c r="F69" s="14"/>
      <c r="G69" s="13"/>
      <c r="H69" s="13"/>
      <c r="I69" s="39"/>
    </row>
    <row r="70" spans="1:9" ht="20.25" hidden="1" x14ac:dyDescent="0.3">
      <c r="A70" s="41" t="s">
        <v>864</v>
      </c>
      <c r="B70" s="216">
        <v>101125</v>
      </c>
      <c r="C70" s="216">
        <f>C95+(0.03*C95)</f>
        <v>81867.259821779997</v>
      </c>
      <c r="D70" s="216">
        <v>143750</v>
      </c>
      <c r="E70" s="161"/>
      <c r="F70" s="14"/>
      <c r="G70" s="13"/>
      <c r="H70" s="13"/>
      <c r="I70" s="39"/>
    </row>
    <row r="71" spans="1:9" ht="20.25" hidden="1" x14ac:dyDescent="0.3">
      <c r="A71" s="41" t="s">
        <v>36</v>
      </c>
      <c r="B71" s="18">
        <f>IF(B100&gt;B70,B70,B100)</f>
        <v>0</v>
      </c>
      <c r="C71" s="18">
        <f>IF(C100&gt;C70,C70,C100)</f>
        <v>81867.259821779997</v>
      </c>
      <c r="D71" s="18">
        <f>IF(D100&gt;D70,D70,D100)</f>
        <v>143750</v>
      </c>
      <c r="E71" s="14"/>
      <c r="F71" s="14"/>
      <c r="G71" s="13"/>
      <c r="H71" s="13"/>
      <c r="I71" s="39"/>
    </row>
    <row r="72" spans="1:9" ht="20.25" hidden="1" x14ac:dyDescent="0.3">
      <c r="A72" s="41" t="s">
        <v>862</v>
      </c>
      <c r="B72" s="18">
        <f>SUM(B70:B71)</f>
        <v>101125</v>
      </c>
      <c r="C72" s="18">
        <f>SUM(C70:C71)</f>
        <v>163734.51964355999</v>
      </c>
      <c r="D72" s="18">
        <f>SUM(D70:D71)</f>
        <v>287500</v>
      </c>
      <c r="E72" s="130" t="s">
        <v>107</v>
      </c>
      <c r="F72" s="14"/>
      <c r="G72" s="13"/>
      <c r="H72" s="13"/>
      <c r="I72" s="39"/>
    </row>
    <row r="73" spans="1:9" ht="20.25" hidden="1" x14ac:dyDescent="0.3">
      <c r="A73" s="41" t="s">
        <v>47</v>
      </c>
      <c r="B73" s="18">
        <f>B100</f>
        <v>0</v>
      </c>
      <c r="C73" s="18">
        <f>IF(C101&gt;C70,C70,C101)</f>
        <v>81867.259821779997</v>
      </c>
      <c r="D73" s="18">
        <f>IF(D101&gt;D95,D95,D101)</f>
        <v>143750</v>
      </c>
      <c r="E73" s="14"/>
      <c r="F73" s="14"/>
      <c r="G73" s="13"/>
      <c r="H73" s="13"/>
      <c r="I73" s="39"/>
    </row>
    <row r="74" spans="1:9" ht="20.25" hidden="1" x14ac:dyDescent="0.3">
      <c r="A74" s="41" t="s">
        <v>479</v>
      </c>
      <c r="B74" s="18">
        <f>B72+B73</f>
        <v>101125</v>
      </c>
      <c r="C74" s="18">
        <f>C73+C70</f>
        <v>163734.51964355999</v>
      </c>
      <c r="D74" s="18">
        <f>D73+D70</f>
        <v>287500</v>
      </c>
      <c r="E74" s="151" t="s">
        <v>108</v>
      </c>
      <c r="F74" s="14"/>
      <c r="G74" s="13"/>
      <c r="H74" s="13"/>
      <c r="I74" s="39"/>
    </row>
    <row r="75" spans="1:9" ht="20.25" hidden="1" x14ac:dyDescent="0.3">
      <c r="A75" s="41" t="s">
        <v>39</v>
      </c>
      <c r="B75" s="18">
        <f>B72-E80</f>
        <v>0</v>
      </c>
      <c r="C75" s="18">
        <f>C72-E84</f>
        <v>109485.83964356</v>
      </c>
      <c r="D75" s="18">
        <f>D72-E91</f>
        <v>78000</v>
      </c>
      <c r="E75" s="151" t="s">
        <v>109</v>
      </c>
      <c r="F75" s="14"/>
      <c r="G75" s="13"/>
      <c r="H75" s="13"/>
      <c r="I75" s="39"/>
    </row>
    <row r="76" spans="1:9" hidden="1" x14ac:dyDescent="0.2">
      <c r="A76" s="41" t="s">
        <v>132</v>
      </c>
      <c r="B76" s="40">
        <f>B74-E80-F80</f>
        <v>0</v>
      </c>
      <c r="C76" s="40">
        <f>C74-E84-F84</f>
        <v>109485.83964356</v>
      </c>
      <c r="D76" s="47">
        <f>D74-E91-F91</f>
        <v>78000</v>
      </c>
      <c r="E76" s="493" t="s">
        <v>110</v>
      </c>
      <c r="F76" s="503"/>
      <c r="G76" s="503"/>
      <c r="H76" s="503"/>
      <c r="I76" s="39"/>
    </row>
    <row r="77" spans="1:9" ht="21" hidden="1" thickBot="1" x14ac:dyDescent="0.35">
      <c r="A77" s="41"/>
      <c r="B77" s="13"/>
      <c r="C77" s="13"/>
      <c r="D77" s="13"/>
      <c r="E77" s="14"/>
      <c r="F77" s="14"/>
      <c r="G77" s="13"/>
      <c r="H77" s="13"/>
      <c r="I77" s="39"/>
    </row>
    <row r="78" spans="1:9" ht="25.5" hidden="1" x14ac:dyDescent="0.2">
      <c r="A78" s="19" t="s">
        <v>41</v>
      </c>
      <c r="B78" s="20" t="s">
        <v>34</v>
      </c>
      <c r="C78" s="20" t="s">
        <v>64</v>
      </c>
      <c r="D78" s="20" t="s">
        <v>63</v>
      </c>
      <c r="E78" s="20" t="s">
        <v>37</v>
      </c>
      <c r="F78" s="20" t="s">
        <v>48</v>
      </c>
      <c r="G78" s="20" t="s">
        <v>40</v>
      </c>
      <c r="H78" s="20" t="s">
        <v>38</v>
      </c>
      <c r="I78" s="21" t="s">
        <v>5</v>
      </c>
    </row>
    <row r="79" spans="1:9" hidden="1" x14ac:dyDescent="0.2">
      <c r="A79" s="22" t="s">
        <v>10</v>
      </c>
      <c r="B79" s="23" t="s">
        <v>10</v>
      </c>
      <c r="C79" s="60">
        <v>101125</v>
      </c>
      <c r="D79" s="53">
        <v>44586</v>
      </c>
      <c r="E79" s="60">
        <f>C79</f>
        <v>101125</v>
      </c>
      <c r="G79" s="300" t="s">
        <v>881</v>
      </c>
      <c r="H79" s="23" t="s">
        <v>487</v>
      </c>
      <c r="I79" s="24"/>
    </row>
    <row r="80" spans="1:9" hidden="1" x14ac:dyDescent="0.2">
      <c r="A80" s="25" t="s">
        <v>43</v>
      </c>
      <c r="B80" s="26"/>
      <c r="C80" s="64">
        <f>C79</f>
        <v>101125</v>
      </c>
      <c r="D80" s="26"/>
      <c r="E80" s="278">
        <f>E79</f>
        <v>101125</v>
      </c>
      <c r="F80" s="281"/>
      <c r="G80" s="301"/>
      <c r="H80" s="26" t="s">
        <v>487</v>
      </c>
      <c r="I80" s="27"/>
    </row>
    <row r="81" spans="1:9" hidden="1" x14ac:dyDescent="0.2">
      <c r="A81" s="34"/>
      <c r="B81" s="34"/>
      <c r="C81" s="62"/>
      <c r="D81" s="34"/>
      <c r="E81" s="62"/>
      <c r="F81" s="280"/>
      <c r="G81" s="34"/>
      <c r="H81" s="34"/>
      <c r="I81" s="34"/>
    </row>
    <row r="82" spans="1:9" hidden="1" x14ac:dyDescent="0.2">
      <c r="A82" s="25" t="s">
        <v>44</v>
      </c>
      <c r="B82" s="26" t="s">
        <v>568</v>
      </c>
      <c r="C82" s="156">
        <v>23218.13</v>
      </c>
      <c r="D82" s="58" t="s">
        <v>915</v>
      </c>
      <c r="E82" s="61">
        <v>23218.13</v>
      </c>
      <c r="F82" s="61">
        <v>0</v>
      </c>
      <c r="G82" s="26" t="s">
        <v>915</v>
      </c>
      <c r="H82" s="26" t="s">
        <v>487</v>
      </c>
      <c r="I82" s="84"/>
    </row>
    <row r="83" spans="1:9" hidden="1" x14ac:dyDescent="0.2">
      <c r="A83" s="25"/>
      <c r="B83" s="26"/>
      <c r="C83" s="61">
        <v>31030.55</v>
      </c>
      <c r="D83" s="54" t="s">
        <v>936</v>
      </c>
      <c r="E83" s="61">
        <v>31030.55</v>
      </c>
      <c r="F83" s="61"/>
      <c r="G83" s="26" t="s">
        <v>936</v>
      </c>
      <c r="H83" s="26" t="s">
        <v>487</v>
      </c>
      <c r="I83" s="27"/>
    </row>
    <row r="84" spans="1:9" hidden="1" x14ac:dyDescent="0.2">
      <c r="A84" s="25" t="s">
        <v>43</v>
      </c>
      <c r="B84" s="26"/>
      <c r="C84" s="63">
        <f>C82+C83</f>
        <v>54248.68</v>
      </c>
      <c r="D84" s="26"/>
      <c r="E84" s="63">
        <f>E82+E83</f>
        <v>54248.68</v>
      </c>
      <c r="F84" s="63">
        <f>SUM(F82:F83)</f>
        <v>0</v>
      </c>
      <c r="G84" s="26"/>
      <c r="H84" s="26"/>
      <c r="I84" s="27"/>
    </row>
    <row r="85" spans="1:9" hidden="1" x14ac:dyDescent="0.2">
      <c r="A85" s="34"/>
      <c r="B85" s="34"/>
      <c r="C85" s="62"/>
      <c r="D85" s="34"/>
      <c r="E85" s="62"/>
      <c r="F85" s="62"/>
      <c r="G85" s="34"/>
      <c r="H85" s="34"/>
      <c r="I85" s="34"/>
    </row>
    <row r="86" spans="1:9" hidden="1" x14ac:dyDescent="0.2">
      <c r="A86" s="25" t="s">
        <v>42</v>
      </c>
      <c r="B86" s="140" t="s">
        <v>10</v>
      </c>
      <c r="C86" s="147">
        <v>80000</v>
      </c>
      <c r="D86" s="141" t="s">
        <v>886</v>
      </c>
      <c r="E86" s="254">
        <v>80000</v>
      </c>
      <c r="F86" s="147"/>
      <c r="G86" s="494" t="s">
        <v>1014</v>
      </c>
      <c r="H86" s="26" t="s">
        <v>882</v>
      </c>
      <c r="I86" s="45"/>
    </row>
    <row r="87" spans="1:9" hidden="1" x14ac:dyDescent="0.2">
      <c r="A87" s="155"/>
      <c r="B87" s="140"/>
      <c r="C87" s="147">
        <v>33500</v>
      </c>
      <c r="D87" s="141" t="s">
        <v>962</v>
      </c>
      <c r="E87" s="257">
        <v>33500</v>
      </c>
      <c r="F87" s="147"/>
      <c r="G87" s="495"/>
      <c r="H87" s="150" t="s">
        <v>882</v>
      </c>
      <c r="I87" s="149" t="s">
        <v>940</v>
      </c>
    </row>
    <row r="88" spans="1:9" hidden="1" x14ac:dyDescent="0.2">
      <c r="A88" s="155"/>
      <c r="B88" s="150" t="s">
        <v>532</v>
      </c>
      <c r="C88" s="156">
        <v>96000</v>
      </c>
      <c r="D88" s="56" t="s">
        <v>885</v>
      </c>
      <c r="E88" s="274">
        <v>96000</v>
      </c>
      <c r="F88" s="156"/>
      <c r="G88" s="140" t="s">
        <v>928</v>
      </c>
      <c r="H88" s="150" t="s">
        <v>882</v>
      </c>
      <c r="I88" s="96"/>
    </row>
    <row r="89" spans="1:9" hidden="1" x14ac:dyDescent="0.2">
      <c r="A89" s="155"/>
      <c r="B89" s="150" t="s">
        <v>10</v>
      </c>
      <c r="C89" s="156">
        <v>40000</v>
      </c>
      <c r="D89" s="56" t="s">
        <v>959</v>
      </c>
      <c r="E89" s="274">
        <v>40000</v>
      </c>
      <c r="F89" s="156"/>
      <c r="G89" s="140" t="s">
        <v>1118</v>
      </c>
      <c r="H89" s="150" t="s">
        <v>952</v>
      </c>
      <c r="I89" s="96" t="s">
        <v>1078</v>
      </c>
    </row>
    <row r="90" spans="1:9" hidden="1" x14ac:dyDescent="0.2">
      <c r="A90" s="155"/>
      <c r="B90" s="150" t="s">
        <v>263</v>
      </c>
      <c r="C90" s="156">
        <v>20200</v>
      </c>
      <c r="D90" s="56" t="s">
        <v>956</v>
      </c>
      <c r="E90" s="274">
        <v>20200</v>
      </c>
      <c r="F90" s="156"/>
      <c r="G90" s="140" t="s">
        <v>1044</v>
      </c>
      <c r="H90" s="150" t="s">
        <v>882</v>
      </c>
      <c r="I90" s="96"/>
    </row>
    <row r="91" spans="1:9" ht="13.5" hidden="1" thickBot="1" x14ac:dyDescent="0.25">
      <c r="A91" s="29" t="s">
        <v>43</v>
      </c>
      <c r="B91" s="30"/>
      <c r="C91" s="59">
        <f>SUM(C86:C90)</f>
        <v>269700</v>
      </c>
      <c r="D91" s="30"/>
      <c r="E91" s="59">
        <f>SUM(E86:E88)</f>
        <v>209500</v>
      </c>
      <c r="F91" s="59">
        <f>SUM(F86:F90)</f>
        <v>0</v>
      </c>
      <c r="G91" s="30"/>
      <c r="H91" s="30"/>
      <c r="I91" s="31"/>
    </row>
    <row r="92" spans="1:9" ht="13.5" hidden="1" thickBot="1" x14ac:dyDescent="0.25"/>
    <row r="93" spans="1:9" ht="21" hidden="1" thickBot="1" x14ac:dyDescent="0.25">
      <c r="A93" s="489" t="s">
        <v>786</v>
      </c>
      <c r="B93" s="490"/>
      <c r="C93" s="490"/>
      <c r="D93" s="490"/>
      <c r="E93" s="490"/>
      <c r="F93" s="490"/>
      <c r="G93" s="490"/>
      <c r="H93" s="490"/>
      <c r="I93" s="491"/>
    </row>
    <row r="94" spans="1:9" ht="20.25" hidden="1" x14ac:dyDescent="0.3">
      <c r="A94" s="41"/>
      <c r="B94" s="13" t="s">
        <v>780</v>
      </c>
      <c r="C94" s="13" t="s">
        <v>781</v>
      </c>
      <c r="D94" s="13" t="s">
        <v>782</v>
      </c>
      <c r="E94" s="14"/>
      <c r="F94" s="14"/>
      <c r="G94" s="13"/>
      <c r="H94" s="13"/>
      <c r="I94" s="39"/>
    </row>
    <row r="95" spans="1:9" ht="20.25" hidden="1" x14ac:dyDescent="0.3">
      <c r="A95" s="41" t="s">
        <v>784</v>
      </c>
      <c r="B95" s="216">
        <v>101125</v>
      </c>
      <c r="C95" s="216">
        <f>C117+(0.03*C117)</f>
        <v>79482.776526000001</v>
      </c>
      <c r="D95" s="216">
        <v>143750</v>
      </c>
      <c r="E95" s="161"/>
      <c r="F95" s="14"/>
      <c r="G95" s="13"/>
      <c r="H95" s="13"/>
      <c r="I95" s="39"/>
    </row>
    <row r="96" spans="1:9" ht="20.25" hidden="1" x14ac:dyDescent="0.3">
      <c r="A96" s="41" t="s">
        <v>36</v>
      </c>
      <c r="B96" s="18">
        <f>IF(B122&gt;B95,B95,B122)</f>
        <v>0</v>
      </c>
      <c r="C96" s="18">
        <f>IF(C122&gt;C95,C95,C122)</f>
        <v>79482.776526000001</v>
      </c>
      <c r="D96" s="18">
        <f>IF(D122&gt;D95,D95,D122)</f>
        <v>143750</v>
      </c>
      <c r="E96" s="14"/>
      <c r="F96" s="14"/>
      <c r="G96" s="13"/>
      <c r="H96" s="13"/>
      <c r="I96" s="39"/>
    </row>
    <row r="97" spans="1:9" ht="20.25" hidden="1" x14ac:dyDescent="0.3">
      <c r="A97" s="41" t="s">
        <v>785</v>
      </c>
      <c r="B97" s="18">
        <f>SUM(B95:B96)</f>
        <v>101125</v>
      </c>
      <c r="C97" s="18">
        <f>SUM(C95:C96)</f>
        <v>158965.553052</v>
      </c>
      <c r="D97" s="18">
        <f>SUM(D95:D96)</f>
        <v>287500</v>
      </c>
      <c r="E97" s="130" t="s">
        <v>107</v>
      </c>
      <c r="F97" s="14"/>
      <c r="G97" s="13"/>
      <c r="H97" s="13"/>
      <c r="I97" s="39"/>
    </row>
    <row r="98" spans="1:9" ht="20.25" hidden="1" x14ac:dyDescent="0.3">
      <c r="A98" s="41" t="s">
        <v>47</v>
      </c>
      <c r="B98" s="18">
        <f>B122</f>
        <v>0</v>
      </c>
      <c r="C98" s="18">
        <f>IF(C123&gt;C117,C117,C123)</f>
        <v>77167.744200000001</v>
      </c>
      <c r="D98" s="18">
        <f>IF(D123&gt;D117,D117,D123)</f>
        <v>132071.04000000001</v>
      </c>
      <c r="E98" s="14"/>
      <c r="F98" s="14"/>
      <c r="G98" s="13"/>
      <c r="H98" s="13"/>
      <c r="I98" s="39"/>
    </row>
    <row r="99" spans="1:9" ht="20.25" hidden="1" x14ac:dyDescent="0.3">
      <c r="A99" s="41" t="s">
        <v>479</v>
      </c>
      <c r="B99" s="18">
        <f>B97+B98</f>
        <v>101125</v>
      </c>
      <c r="C99" s="18">
        <f>C98+C95</f>
        <v>156650.52072600002</v>
      </c>
      <c r="D99" s="18">
        <f>D98+D95</f>
        <v>275821.04000000004</v>
      </c>
      <c r="E99" s="151" t="s">
        <v>108</v>
      </c>
      <c r="F99" s="14"/>
      <c r="G99" s="13"/>
      <c r="H99" s="13"/>
      <c r="I99" s="39"/>
    </row>
    <row r="100" spans="1:9" ht="20.25" hidden="1" x14ac:dyDescent="0.3">
      <c r="A100" s="41" t="s">
        <v>39</v>
      </c>
      <c r="B100" s="18">
        <f>B97-E105</f>
        <v>0</v>
      </c>
      <c r="C100" s="18">
        <f>C97-E109</f>
        <v>107535.273052</v>
      </c>
      <c r="D100" s="18">
        <f>D97-E113</f>
        <v>265358</v>
      </c>
      <c r="E100" s="151" t="s">
        <v>109</v>
      </c>
      <c r="F100" s="14"/>
      <c r="G100" s="13"/>
      <c r="H100" s="13"/>
      <c r="I100" s="39"/>
    </row>
    <row r="101" spans="1:9" hidden="1" x14ac:dyDescent="0.2">
      <c r="A101" s="41" t="s">
        <v>132</v>
      </c>
      <c r="B101" s="40">
        <f>B99-E105-F105</f>
        <v>0</v>
      </c>
      <c r="C101" s="40">
        <f>C99-E109-F109</f>
        <v>105220.24072600002</v>
      </c>
      <c r="D101" s="47">
        <f>D99-E113-F113</f>
        <v>253679.04000000004</v>
      </c>
      <c r="E101" s="493" t="s">
        <v>110</v>
      </c>
      <c r="F101" s="503"/>
      <c r="G101" s="503"/>
      <c r="H101" s="503"/>
      <c r="I101" s="39"/>
    </row>
    <row r="102" spans="1:9" ht="21" hidden="1" thickBot="1" x14ac:dyDescent="0.35">
      <c r="A102" s="41"/>
      <c r="B102" s="13"/>
      <c r="C102" s="13"/>
      <c r="D102" s="13"/>
      <c r="E102" s="14"/>
      <c r="F102" s="14"/>
      <c r="G102" s="13"/>
      <c r="H102" s="13"/>
      <c r="I102" s="39"/>
    </row>
    <row r="103" spans="1:9" ht="25.5" hidden="1" x14ac:dyDescent="0.2">
      <c r="A103" s="19" t="s">
        <v>41</v>
      </c>
      <c r="B103" s="20" t="s">
        <v>34</v>
      </c>
      <c r="C103" s="20" t="s">
        <v>64</v>
      </c>
      <c r="D103" s="20" t="s">
        <v>63</v>
      </c>
      <c r="E103" s="20" t="s">
        <v>37</v>
      </c>
      <c r="F103" s="20" t="s">
        <v>48</v>
      </c>
      <c r="G103" s="20" t="s">
        <v>40</v>
      </c>
      <c r="H103" s="20" t="s">
        <v>38</v>
      </c>
      <c r="I103" s="21" t="s">
        <v>5</v>
      </c>
    </row>
    <row r="104" spans="1:9" hidden="1" x14ac:dyDescent="0.2">
      <c r="A104" s="22" t="s">
        <v>10</v>
      </c>
      <c r="B104" s="23" t="s">
        <v>10</v>
      </c>
      <c r="C104" s="60">
        <v>101125</v>
      </c>
      <c r="D104" s="53">
        <v>44201</v>
      </c>
      <c r="E104" s="60">
        <f>C104</f>
        <v>101125</v>
      </c>
      <c r="G104" s="60" t="s">
        <v>798</v>
      </c>
      <c r="H104" s="23" t="s">
        <v>487</v>
      </c>
      <c r="I104" s="24"/>
    </row>
    <row r="105" spans="1:9" hidden="1" x14ac:dyDescent="0.2">
      <c r="A105" s="25" t="s">
        <v>43</v>
      </c>
      <c r="B105" s="26"/>
      <c r="C105" s="64">
        <f>C104</f>
        <v>101125</v>
      </c>
      <c r="D105" s="26"/>
      <c r="E105" s="278">
        <f>E104</f>
        <v>101125</v>
      </c>
      <c r="F105" s="281"/>
      <c r="G105" s="279" t="str">
        <f>G104</f>
        <v>21-025</v>
      </c>
      <c r="H105" s="26" t="s">
        <v>487</v>
      </c>
      <c r="I105" s="27"/>
    </row>
    <row r="106" spans="1:9" hidden="1" x14ac:dyDescent="0.2">
      <c r="A106" s="34"/>
      <c r="B106" s="34"/>
      <c r="C106" s="62"/>
      <c r="D106" s="34"/>
      <c r="E106" s="62"/>
      <c r="F106" s="280"/>
      <c r="G106" s="34"/>
      <c r="H106" s="34"/>
      <c r="I106" s="34"/>
    </row>
    <row r="107" spans="1:9" hidden="1" x14ac:dyDescent="0.2">
      <c r="A107" s="25" t="s">
        <v>44</v>
      </c>
      <c r="B107" s="26" t="s">
        <v>568</v>
      </c>
      <c r="C107" s="156">
        <v>11081.33</v>
      </c>
      <c r="D107" s="58">
        <v>44285</v>
      </c>
      <c r="E107" s="61">
        <v>11081.33</v>
      </c>
      <c r="F107" s="61"/>
      <c r="G107" s="26" t="s">
        <v>801</v>
      </c>
      <c r="H107" s="26" t="s">
        <v>487</v>
      </c>
      <c r="I107" s="84"/>
    </row>
    <row r="108" spans="1:9" hidden="1" x14ac:dyDescent="0.2">
      <c r="A108" s="25"/>
      <c r="B108" s="26"/>
      <c r="C108" s="61">
        <v>40348.949999999997</v>
      </c>
      <c r="D108" s="54"/>
      <c r="E108" s="61">
        <v>40348.949999999997</v>
      </c>
      <c r="F108" s="61">
        <f>IF(E108="",C108,0)</f>
        <v>0</v>
      </c>
      <c r="G108" s="26" t="s">
        <v>842</v>
      </c>
      <c r="H108" s="26" t="s">
        <v>487</v>
      </c>
      <c r="I108" s="27"/>
    </row>
    <row r="109" spans="1:9" hidden="1" x14ac:dyDescent="0.2">
      <c r="A109" s="25" t="s">
        <v>43</v>
      </c>
      <c r="B109" s="26"/>
      <c r="C109" s="63">
        <f>C107+C108</f>
        <v>51430.28</v>
      </c>
      <c r="D109" s="26"/>
      <c r="E109" s="63">
        <f>E107+E108</f>
        <v>51430.28</v>
      </c>
      <c r="F109" s="63">
        <f>SUM(F107:F108)</f>
        <v>0</v>
      </c>
      <c r="G109" s="26"/>
      <c r="H109" s="26"/>
      <c r="I109" s="27"/>
    </row>
    <row r="110" spans="1:9" hidden="1" x14ac:dyDescent="0.2">
      <c r="A110" s="34"/>
      <c r="B110" s="34"/>
      <c r="C110" s="62"/>
      <c r="D110" s="34"/>
      <c r="E110" s="62"/>
      <c r="F110" s="62"/>
      <c r="G110" s="34"/>
      <c r="H110" s="34"/>
      <c r="I110" s="34"/>
    </row>
    <row r="111" spans="1:9" hidden="1" x14ac:dyDescent="0.2">
      <c r="A111" s="25" t="s">
        <v>42</v>
      </c>
      <c r="B111" s="140" t="s">
        <v>10</v>
      </c>
      <c r="C111" s="147">
        <v>5000</v>
      </c>
      <c r="D111" s="141" t="s">
        <v>853</v>
      </c>
      <c r="E111" s="147">
        <v>5000</v>
      </c>
      <c r="F111" s="147">
        <f>C111-E111</f>
        <v>0</v>
      </c>
      <c r="G111" s="140" t="s">
        <v>856</v>
      </c>
      <c r="H111" s="26" t="s">
        <v>846</v>
      </c>
      <c r="I111" s="45"/>
    </row>
    <row r="112" spans="1:9" hidden="1" x14ac:dyDescent="0.2">
      <c r="A112" s="155"/>
      <c r="B112" s="150" t="s">
        <v>10</v>
      </c>
      <c r="C112" s="156">
        <v>17142</v>
      </c>
      <c r="D112" s="56" t="s">
        <v>852</v>
      </c>
      <c r="E112" s="156">
        <v>17142</v>
      </c>
      <c r="F112" s="156"/>
      <c r="G112" s="140" t="s">
        <v>944</v>
      </c>
      <c r="H112" s="150" t="s">
        <v>847</v>
      </c>
      <c r="I112" s="96"/>
    </row>
    <row r="113" spans="1:9" ht="13.5" hidden="1" thickBot="1" x14ac:dyDescent="0.25">
      <c r="A113" s="29" t="s">
        <v>43</v>
      </c>
      <c r="B113" s="30"/>
      <c r="C113" s="59">
        <f>SUM(C111:C112)</f>
        <v>22142</v>
      </c>
      <c r="D113" s="30"/>
      <c r="E113" s="59">
        <f>SUM(E111:E112)</f>
        <v>22142</v>
      </c>
      <c r="F113" s="59">
        <f>SUM(F111:F112)</f>
        <v>0</v>
      </c>
      <c r="G113" s="30"/>
      <c r="H113" s="30"/>
      <c r="I113" s="31"/>
    </row>
    <row r="114" spans="1:9" ht="13.5" hidden="1" thickBot="1" x14ac:dyDescent="0.25"/>
    <row r="115" spans="1:9" ht="21" hidden="1" thickBot="1" x14ac:dyDescent="0.25">
      <c r="A115" s="489" t="s">
        <v>703</v>
      </c>
      <c r="B115" s="490"/>
      <c r="C115" s="490"/>
      <c r="D115" s="490"/>
      <c r="E115" s="490"/>
      <c r="F115" s="490"/>
      <c r="G115" s="490"/>
      <c r="H115" s="490"/>
      <c r="I115" s="491"/>
    </row>
    <row r="116" spans="1:9" ht="20.25" hidden="1" x14ac:dyDescent="0.3">
      <c r="A116" s="41"/>
      <c r="B116" s="13" t="s">
        <v>697</v>
      </c>
      <c r="C116" s="13" t="s">
        <v>698</v>
      </c>
      <c r="D116" s="13" t="s">
        <v>699</v>
      </c>
      <c r="E116" s="14"/>
      <c r="F116" s="14"/>
      <c r="G116" s="13"/>
      <c r="H116" s="13"/>
      <c r="I116" s="39"/>
    </row>
    <row r="117" spans="1:9" ht="20.25" hidden="1" x14ac:dyDescent="0.3">
      <c r="A117" s="41" t="s">
        <v>701</v>
      </c>
      <c r="B117" s="216">
        <v>101125</v>
      </c>
      <c r="C117" s="216">
        <f>1.03*74920.14</f>
        <v>77167.744200000001</v>
      </c>
      <c r="D117" s="216">
        <v>143750</v>
      </c>
      <c r="E117" s="161"/>
      <c r="F117" s="14"/>
      <c r="G117" s="13"/>
      <c r="H117" s="13"/>
      <c r="I117" s="39"/>
    </row>
    <row r="118" spans="1:9" ht="20.25" hidden="1" x14ac:dyDescent="0.3">
      <c r="A118" s="41" t="s">
        <v>36</v>
      </c>
      <c r="B118" s="18">
        <f>IF(B154&gt;101125,101125,B154)</f>
        <v>0</v>
      </c>
      <c r="C118" s="18">
        <f>IF(C154&gt;74920.14,74920.14,C154)</f>
        <v>74920.14</v>
      </c>
      <c r="D118" s="18">
        <f>IF(D154&gt;143750,143750,D154)</f>
        <v>143750</v>
      </c>
      <c r="E118" s="14"/>
      <c r="F118" s="14"/>
      <c r="G118" s="13"/>
      <c r="H118" s="13"/>
      <c r="I118" s="39"/>
    </row>
    <row r="119" spans="1:9" ht="20.25" hidden="1" x14ac:dyDescent="0.3">
      <c r="A119" s="41" t="s">
        <v>702</v>
      </c>
      <c r="B119" s="18">
        <f>SUM(B117:B118)</f>
        <v>101125</v>
      </c>
      <c r="C119" s="18">
        <f>SUM(C117:C118)</f>
        <v>152087.8842</v>
      </c>
      <c r="D119" s="18">
        <f>SUM(D117:D118)</f>
        <v>287500</v>
      </c>
      <c r="E119" s="130" t="s">
        <v>107</v>
      </c>
      <c r="F119" s="14"/>
      <c r="G119" s="13"/>
      <c r="H119" s="13"/>
      <c r="I119" s="39"/>
    </row>
    <row r="120" spans="1:9" ht="20.25" hidden="1" x14ac:dyDescent="0.3">
      <c r="A120" s="41" t="s">
        <v>47</v>
      </c>
      <c r="B120" s="18">
        <f>B155</f>
        <v>0</v>
      </c>
      <c r="C120" s="18">
        <f>IF(C155&gt;74920.14,74920.14,C155)</f>
        <v>74920.14</v>
      </c>
      <c r="D120" s="18">
        <f>IF(D155&gt;143750,143750,D155)</f>
        <v>143750</v>
      </c>
      <c r="E120" s="14"/>
      <c r="F120" s="14"/>
      <c r="G120" s="13"/>
      <c r="H120" s="13"/>
      <c r="I120" s="39"/>
    </row>
    <row r="121" spans="1:9" ht="20.25" hidden="1" x14ac:dyDescent="0.3">
      <c r="A121" s="41" t="s">
        <v>479</v>
      </c>
      <c r="B121" s="18">
        <f>B120+B117</f>
        <v>101125</v>
      </c>
      <c r="C121" s="18">
        <f>C120+C117</f>
        <v>152087.8842</v>
      </c>
      <c r="D121" s="18">
        <f>D120+D117</f>
        <v>287500</v>
      </c>
      <c r="E121" s="151" t="s">
        <v>108</v>
      </c>
      <c r="F121" s="14"/>
      <c r="G121" s="13"/>
      <c r="H121" s="13"/>
      <c r="I121" s="39"/>
    </row>
    <row r="122" spans="1:9" ht="20.25" hidden="1" x14ac:dyDescent="0.3">
      <c r="A122" s="41" t="s">
        <v>39</v>
      </c>
      <c r="B122" s="18">
        <f>B119-E127</f>
        <v>0</v>
      </c>
      <c r="C122" s="18">
        <f>C119-E131</f>
        <v>152087.8842</v>
      </c>
      <c r="D122" s="18">
        <f>D119-E145</f>
        <v>151376.04</v>
      </c>
      <c r="E122" s="151" t="s">
        <v>109</v>
      </c>
      <c r="F122" s="14"/>
      <c r="G122" s="13"/>
      <c r="H122" s="13"/>
      <c r="I122" s="39"/>
    </row>
    <row r="123" spans="1:9" hidden="1" x14ac:dyDescent="0.2">
      <c r="A123" s="41" t="s">
        <v>35</v>
      </c>
      <c r="B123" s="40">
        <f>B121-E127-F127</f>
        <v>0</v>
      </c>
      <c r="C123" s="40">
        <f>C121-E131-F131</f>
        <v>152087.8842</v>
      </c>
      <c r="D123" s="47">
        <f>D121-E145-F145</f>
        <v>132071.04000000001</v>
      </c>
      <c r="E123" s="493" t="s">
        <v>110</v>
      </c>
      <c r="F123" s="503"/>
      <c r="G123" s="503"/>
      <c r="H123" s="503"/>
      <c r="I123" s="39"/>
    </row>
    <row r="124" spans="1:9" ht="21" hidden="1" thickBot="1" x14ac:dyDescent="0.35">
      <c r="A124" s="41"/>
      <c r="B124" s="13"/>
      <c r="C124" s="13"/>
      <c r="D124" s="13"/>
      <c r="E124" s="14"/>
      <c r="F124" s="14"/>
      <c r="G124" s="13"/>
      <c r="H124" s="13"/>
      <c r="I124" s="39"/>
    </row>
    <row r="125" spans="1:9" ht="25.5" hidden="1" x14ac:dyDescent="0.2">
      <c r="A125" s="19" t="s">
        <v>41</v>
      </c>
      <c r="B125" s="20" t="s">
        <v>34</v>
      </c>
      <c r="C125" s="20" t="s">
        <v>64</v>
      </c>
      <c r="D125" s="20" t="s">
        <v>63</v>
      </c>
      <c r="E125" s="20" t="s">
        <v>37</v>
      </c>
      <c r="F125" s="20" t="s">
        <v>48</v>
      </c>
      <c r="G125" s="20" t="s">
        <v>40</v>
      </c>
      <c r="H125" s="20" t="s">
        <v>38</v>
      </c>
      <c r="I125" s="21" t="s">
        <v>5</v>
      </c>
    </row>
    <row r="126" spans="1:9" hidden="1" x14ac:dyDescent="0.2">
      <c r="A126" s="22" t="s">
        <v>10</v>
      </c>
      <c r="B126" s="23" t="s">
        <v>10</v>
      </c>
      <c r="C126" s="60">
        <v>101125</v>
      </c>
      <c r="D126" s="53">
        <v>43832</v>
      </c>
      <c r="E126" s="60">
        <f>C126</f>
        <v>101125</v>
      </c>
      <c r="F126" s="60"/>
      <c r="G126" s="23" t="s">
        <v>708</v>
      </c>
      <c r="H126" s="23" t="s">
        <v>487</v>
      </c>
      <c r="I126" s="24"/>
    </row>
    <row r="127" spans="1:9" hidden="1" x14ac:dyDescent="0.2">
      <c r="A127" s="25" t="s">
        <v>43</v>
      </c>
      <c r="B127" s="26"/>
      <c r="C127" s="64">
        <f>C126</f>
        <v>101125</v>
      </c>
      <c r="D127" s="26"/>
      <c r="E127" s="64">
        <f>E126</f>
        <v>101125</v>
      </c>
      <c r="F127" s="64">
        <f>F126</f>
        <v>0</v>
      </c>
      <c r="G127" s="26"/>
      <c r="H127" s="26"/>
      <c r="I127" s="27"/>
    </row>
    <row r="128" spans="1:9" hidden="1" x14ac:dyDescent="0.2">
      <c r="A128" s="34"/>
      <c r="B128" s="34"/>
      <c r="C128" s="62"/>
      <c r="D128" s="34"/>
      <c r="E128" s="62"/>
      <c r="F128" s="62"/>
      <c r="G128" s="34"/>
      <c r="H128" s="34"/>
      <c r="I128" s="34"/>
    </row>
    <row r="129" spans="1:9" hidden="1" x14ac:dyDescent="0.2">
      <c r="A129" s="25" t="s">
        <v>44</v>
      </c>
      <c r="B129" s="26" t="s">
        <v>568</v>
      </c>
      <c r="C129" s="61"/>
      <c r="D129" s="58"/>
      <c r="E129" s="61"/>
      <c r="F129" s="61">
        <f>C129</f>
        <v>0</v>
      </c>
      <c r="G129" s="26"/>
      <c r="H129" s="26" t="s">
        <v>487</v>
      </c>
      <c r="I129" s="84"/>
    </row>
    <row r="130" spans="1:9" hidden="1" x14ac:dyDescent="0.2">
      <c r="A130" s="25"/>
      <c r="B130" s="26"/>
      <c r="C130" s="61"/>
      <c r="D130" s="54"/>
      <c r="E130" s="61"/>
      <c r="F130" s="61">
        <f>IF(E130="",C130,0)</f>
        <v>0</v>
      </c>
      <c r="G130" s="26"/>
      <c r="H130" s="26"/>
      <c r="I130" s="27"/>
    </row>
    <row r="131" spans="1:9" hidden="1" x14ac:dyDescent="0.2">
      <c r="A131" s="25" t="s">
        <v>43</v>
      </c>
      <c r="B131" s="26"/>
      <c r="C131" s="63">
        <f>C129</f>
        <v>0</v>
      </c>
      <c r="D131" s="26"/>
      <c r="E131" s="63">
        <f>E129</f>
        <v>0</v>
      </c>
      <c r="F131" s="63">
        <f>SUM(F129:F130)</f>
        <v>0</v>
      </c>
      <c r="G131" s="26"/>
      <c r="H131" s="26"/>
      <c r="I131" s="27"/>
    </row>
    <row r="132" spans="1:9" hidden="1" x14ac:dyDescent="0.2">
      <c r="A132" s="34"/>
      <c r="B132" s="34"/>
      <c r="C132" s="62"/>
      <c r="D132" s="34"/>
      <c r="E132" s="62"/>
      <c r="F132" s="62"/>
      <c r="G132" s="34"/>
      <c r="H132" s="34"/>
      <c r="I132" s="34"/>
    </row>
    <row r="133" spans="1:9" hidden="1" x14ac:dyDescent="0.2">
      <c r="A133" s="25" t="s">
        <v>42</v>
      </c>
      <c r="B133" s="140"/>
      <c r="C133" s="147"/>
      <c r="D133" s="141"/>
      <c r="E133" s="147"/>
      <c r="F133" s="61">
        <f>C133-E133</f>
        <v>0</v>
      </c>
      <c r="G133" s="140"/>
      <c r="H133" s="26"/>
      <c r="I133" s="45"/>
    </row>
    <row r="134" spans="1:9" hidden="1" x14ac:dyDescent="0.2">
      <c r="A134" s="155"/>
      <c r="B134" s="150" t="s">
        <v>10</v>
      </c>
      <c r="C134" s="156">
        <v>70000</v>
      </c>
      <c r="D134" s="56" t="s">
        <v>721</v>
      </c>
      <c r="E134" s="86">
        <v>50695</v>
      </c>
      <c r="F134" s="61">
        <f>C134-E134</f>
        <v>19305</v>
      </c>
      <c r="G134" s="140" t="s">
        <v>753</v>
      </c>
      <c r="H134" s="150" t="s">
        <v>718</v>
      </c>
      <c r="I134" s="96"/>
    </row>
    <row r="135" spans="1:9" hidden="1" x14ac:dyDescent="0.2">
      <c r="A135" s="155"/>
      <c r="B135" s="150" t="s">
        <v>10</v>
      </c>
      <c r="C135" s="156">
        <v>7000</v>
      </c>
      <c r="D135" s="56" t="s">
        <v>726</v>
      </c>
      <c r="E135" s="86">
        <v>3481</v>
      </c>
      <c r="F135" s="61">
        <f>C135-E135</f>
        <v>3519</v>
      </c>
      <c r="G135" s="140" t="s">
        <v>778</v>
      </c>
      <c r="H135" s="150" t="s">
        <v>719</v>
      </c>
      <c r="I135" s="96" t="s">
        <v>100</v>
      </c>
    </row>
    <row r="136" spans="1:9" hidden="1" x14ac:dyDescent="0.2">
      <c r="A136" s="155"/>
      <c r="B136" s="150"/>
      <c r="C136" s="156"/>
      <c r="D136" s="56"/>
      <c r="E136" s="86"/>
      <c r="F136" s="61">
        <v>-3519</v>
      </c>
      <c r="G136" s="140"/>
      <c r="H136" s="150"/>
      <c r="I136" s="96"/>
    </row>
    <row r="137" spans="1:9" hidden="1" x14ac:dyDescent="0.2">
      <c r="A137" s="155"/>
      <c r="B137" s="150" t="s">
        <v>532</v>
      </c>
      <c r="C137" s="156">
        <v>79840</v>
      </c>
      <c r="D137" s="56" t="s">
        <v>722</v>
      </c>
      <c r="E137" s="86">
        <v>54099.96</v>
      </c>
      <c r="F137" s="61">
        <f>C137-E137</f>
        <v>25740.04</v>
      </c>
      <c r="G137" s="140" t="s">
        <v>772</v>
      </c>
      <c r="H137" s="150" t="s">
        <v>718</v>
      </c>
      <c r="I137" s="96" t="s">
        <v>100</v>
      </c>
    </row>
    <row r="138" spans="1:9" hidden="1" x14ac:dyDescent="0.2">
      <c r="A138" s="155"/>
      <c r="B138" s="150"/>
      <c r="C138" s="156"/>
      <c r="D138" s="56"/>
      <c r="E138" s="86"/>
      <c r="F138" s="61">
        <v>-25740.04</v>
      </c>
      <c r="G138" s="140"/>
      <c r="H138" s="150" t="s">
        <v>718</v>
      </c>
      <c r="I138" s="96" t="s">
        <v>99</v>
      </c>
    </row>
    <row r="139" spans="1:9" hidden="1" x14ac:dyDescent="0.2">
      <c r="A139" s="155"/>
      <c r="B139" s="150" t="s">
        <v>532</v>
      </c>
      <c r="C139" s="156">
        <v>16940</v>
      </c>
      <c r="D139" s="56" t="s">
        <v>741</v>
      </c>
      <c r="E139" s="156">
        <v>14014</v>
      </c>
      <c r="F139" s="61">
        <f>C139-E139</f>
        <v>2926</v>
      </c>
      <c r="G139" s="150" t="s">
        <v>761</v>
      </c>
      <c r="H139" s="150" t="s">
        <v>735</v>
      </c>
      <c r="I139" s="44"/>
    </row>
    <row r="140" spans="1:9" hidden="1" x14ac:dyDescent="0.2">
      <c r="A140" s="155"/>
      <c r="B140" s="150"/>
      <c r="C140" s="156"/>
      <c r="D140" s="56"/>
      <c r="E140" s="156"/>
      <c r="F140" s="61">
        <v>-2926</v>
      </c>
      <c r="G140" s="150"/>
      <c r="H140" s="150"/>
      <c r="I140" s="44"/>
    </row>
    <row r="141" spans="1:9" hidden="1" x14ac:dyDescent="0.2">
      <c r="A141" s="155"/>
      <c r="B141" s="150" t="s">
        <v>10</v>
      </c>
      <c r="C141" s="156">
        <v>20000</v>
      </c>
      <c r="D141" s="56" t="s">
        <v>747</v>
      </c>
      <c r="E141" s="156">
        <v>13834</v>
      </c>
      <c r="F141" s="61">
        <f>C141-E141</f>
        <v>6166</v>
      </c>
      <c r="G141" s="55" t="s">
        <v>778</v>
      </c>
      <c r="H141" s="150" t="s">
        <v>735</v>
      </c>
      <c r="I141" s="44" t="s">
        <v>100</v>
      </c>
    </row>
    <row r="142" spans="1:9" hidden="1" x14ac:dyDescent="0.2">
      <c r="A142" s="155"/>
      <c r="B142" s="150"/>
      <c r="C142" s="156"/>
      <c r="D142" s="56"/>
      <c r="E142" s="156"/>
      <c r="F142" s="61">
        <v>-6166</v>
      </c>
      <c r="G142" s="150"/>
      <c r="H142" s="150"/>
      <c r="I142" s="44" t="s">
        <v>99</v>
      </c>
    </row>
    <row r="143" spans="1:9" hidden="1" x14ac:dyDescent="0.2">
      <c r="A143" s="155"/>
      <c r="B143" s="150"/>
      <c r="C143" s="156"/>
      <c r="D143" s="56"/>
      <c r="E143" s="156"/>
      <c r="F143" s="61"/>
      <c r="G143" s="150"/>
      <c r="H143" s="150"/>
      <c r="I143" s="44"/>
    </row>
    <row r="144" spans="1:9" hidden="1" x14ac:dyDescent="0.2">
      <c r="A144" s="155"/>
      <c r="B144" s="150"/>
      <c r="C144" s="156"/>
      <c r="D144" s="56"/>
      <c r="E144" s="156"/>
      <c r="F144" s="61"/>
      <c r="G144" s="150"/>
      <c r="H144" s="150"/>
      <c r="I144" s="44"/>
    </row>
    <row r="145" spans="1:9" ht="13.5" hidden="1" thickBot="1" x14ac:dyDescent="0.25">
      <c r="A145" s="29" t="s">
        <v>43</v>
      </c>
      <c r="B145" s="30"/>
      <c r="C145" s="59">
        <f>SUM(C133:C144)</f>
        <v>193780</v>
      </c>
      <c r="D145" s="30"/>
      <c r="E145" s="59">
        <f>SUM(E133:E144)</f>
        <v>136123.96</v>
      </c>
      <c r="F145" s="59">
        <f>SUM(F133:F144)</f>
        <v>19305</v>
      </c>
      <c r="G145" s="30"/>
      <c r="H145" s="30"/>
      <c r="I145" s="31"/>
    </row>
    <row r="146" spans="1:9" ht="13.5" hidden="1" thickBot="1" x14ac:dyDescent="0.25"/>
    <row r="147" spans="1:9" ht="21" hidden="1" thickBot="1" x14ac:dyDescent="0.25">
      <c r="A147" s="489" t="s">
        <v>607</v>
      </c>
      <c r="B147" s="490"/>
      <c r="C147" s="490"/>
      <c r="D147" s="490"/>
      <c r="E147" s="490"/>
      <c r="F147" s="490"/>
      <c r="G147" s="490"/>
      <c r="H147" s="490"/>
      <c r="I147" s="491"/>
    </row>
    <row r="148" spans="1:9" ht="20.25" hidden="1" x14ac:dyDescent="0.3">
      <c r="A148" s="41"/>
      <c r="B148" s="13" t="s">
        <v>600</v>
      </c>
      <c r="C148" s="13" t="s">
        <v>601</v>
      </c>
      <c r="D148" s="13" t="s">
        <v>602</v>
      </c>
      <c r="E148" s="14"/>
      <c r="F148" s="14"/>
      <c r="G148" s="13"/>
      <c r="H148" s="13"/>
      <c r="I148" s="39"/>
    </row>
    <row r="149" spans="1:9" ht="20.25" hidden="1" x14ac:dyDescent="0.3">
      <c r="A149" s="41" t="s">
        <v>606</v>
      </c>
      <c r="B149" s="216">
        <v>101125</v>
      </c>
      <c r="C149" s="216">
        <f>1.03*C178</f>
        <v>74920.14</v>
      </c>
      <c r="D149" s="216">
        <v>143750</v>
      </c>
      <c r="E149" s="161"/>
      <c r="F149" s="14"/>
      <c r="G149" s="13"/>
      <c r="H149" s="13"/>
      <c r="I149" s="39"/>
    </row>
    <row r="150" spans="1:9" ht="20.25" hidden="1" x14ac:dyDescent="0.3">
      <c r="A150" s="41" t="s">
        <v>36</v>
      </c>
      <c r="B150" s="18">
        <f>IF(B183&gt;66125,66125,B183)</f>
        <v>0</v>
      </c>
      <c r="C150" s="18">
        <f>IF(C183&gt;72738,72738,C183)</f>
        <v>72738</v>
      </c>
      <c r="D150" s="18">
        <f>IF(D183&gt;143750,143750,D183)</f>
        <v>92700.53</v>
      </c>
      <c r="E150" s="14"/>
      <c r="F150" s="14"/>
      <c r="G150" s="13"/>
      <c r="H150" s="13"/>
      <c r="I150" s="39"/>
    </row>
    <row r="151" spans="1:9" ht="20.25" hidden="1" x14ac:dyDescent="0.3">
      <c r="A151" s="41" t="s">
        <v>603</v>
      </c>
      <c r="B151" s="18">
        <f>SUM(B149:B150)</f>
        <v>101125</v>
      </c>
      <c r="C151" s="18">
        <f>SUM(C149:C150)</f>
        <v>147658.14000000001</v>
      </c>
      <c r="D151" s="18">
        <f>SUM(D149:D150)</f>
        <v>236450.53</v>
      </c>
      <c r="E151" s="130" t="s">
        <v>107</v>
      </c>
      <c r="F151" s="14"/>
      <c r="G151" s="13"/>
      <c r="H151" s="13"/>
      <c r="I151" s="39"/>
    </row>
    <row r="152" spans="1:9" ht="20.25" hidden="1" x14ac:dyDescent="0.3">
      <c r="A152" s="41" t="s">
        <v>47</v>
      </c>
      <c r="B152" s="18">
        <f>B184</f>
        <v>0</v>
      </c>
      <c r="C152" s="18">
        <f>IF(C184&gt;72738,72738,C184)</f>
        <v>72738</v>
      </c>
      <c r="D152" s="18">
        <f>IF(D184&gt;143750,143750,D184)</f>
        <v>75991.790000000037</v>
      </c>
      <c r="E152" s="14"/>
      <c r="F152" s="14"/>
      <c r="G152" s="13"/>
      <c r="H152" s="13"/>
      <c r="I152" s="39"/>
    </row>
    <row r="153" spans="1:9" ht="20.25" hidden="1" x14ac:dyDescent="0.3">
      <c r="A153" s="41" t="s">
        <v>479</v>
      </c>
      <c r="B153" s="18">
        <f>B152+B149</f>
        <v>101125</v>
      </c>
      <c r="C153" s="18">
        <f>C152+C149</f>
        <v>147658.14000000001</v>
      </c>
      <c r="D153" s="18">
        <f>D152+D149</f>
        <v>219741.79000000004</v>
      </c>
      <c r="E153" s="151" t="s">
        <v>108</v>
      </c>
      <c r="F153" s="14"/>
      <c r="G153" s="13"/>
      <c r="H153" s="13"/>
      <c r="I153" s="39"/>
    </row>
    <row r="154" spans="1:9" ht="20.25" hidden="1" x14ac:dyDescent="0.3">
      <c r="A154" s="41" t="s">
        <v>39</v>
      </c>
      <c r="B154" s="18">
        <f>B151-E159</f>
        <v>0</v>
      </c>
      <c r="C154" s="18">
        <f>C151-E163</f>
        <v>133005.74000000002</v>
      </c>
      <c r="D154" s="18">
        <f>D151-E174</f>
        <v>227681.83</v>
      </c>
      <c r="E154" s="151" t="s">
        <v>109</v>
      </c>
      <c r="F154" s="14"/>
      <c r="G154" s="13"/>
      <c r="H154" s="13"/>
      <c r="I154" s="39"/>
    </row>
    <row r="155" spans="1:9" hidden="1" x14ac:dyDescent="0.2">
      <c r="A155" s="41" t="s">
        <v>35</v>
      </c>
      <c r="B155" s="40">
        <f>B153-E159-F159</f>
        <v>0</v>
      </c>
      <c r="C155" s="40">
        <f>C153-E163-F163</f>
        <v>133005.74000000002</v>
      </c>
      <c r="D155" s="47">
        <f>D153-E174-F174</f>
        <v>210973.09000000003</v>
      </c>
      <c r="E155" s="493" t="s">
        <v>110</v>
      </c>
      <c r="F155" s="503"/>
      <c r="G155" s="503"/>
      <c r="H155" s="503"/>
      <c r="I155" s="39"/>
    </row>
    <row r="156" spans="1:9" ht="21" hidden="1" thickBot="1" x14ac:dyDescent="0.35">
      <c r="A156" s="41"/>
      <c r="B156" s="13"/>
      <c r="C156" s="13"/>
      <c r="D156" s="13"/>
      <c r="E156" s="14"/>
      <c r="F156" s="14"/>
      <c r="G156" s="13"/>
      <c r="H156" s="13"/>
      <c r="I156" s="39"/>
    </row>
    <row r="157" spans="1:9" ht="25.5" hidden="1" x14ac:dyDescent="0.2">
      <c r="A157" s="19" t="s">
        <v>41</v>
      </c>
      <c r="B157" s="20" t="s">
        <v>34</v>
      </c>
      <c r="C157" s="20" t="s">
        <v>64</v>
      </c>
      <c r="D157" s="20" t="s">
        <v>63</v>
      </c>
      <c r="E157" s="20" t="s">
        <v>37</v>
      </c>
      <c r="F157" s="20" t="s">
        <v>48</v>
      </c>
      <c r="G157" s="20" t="s">
        <v>40</v>
      </c>
      <c r="H157" s="20" t="s">
        <v>38</v>
      </c>
      <c r="I157" s="21" t="s">
        <v>5</v>
      </c>
    </row>
    <row r="158" spans="1:9" hidden="1" x14ac:dyDescent="0.2">
      <c r="A158" s="22" t="s">
        <v>10</v>
      </c>
      <c r="B158" s="23" t="s">
        <v>10</v>
      </c>
      <c r="C158" s="60">
        <v>101125</v>
      </c>
      <c r="D158" s="53">
        <v>43467</v>
      </c>
      <c r="E158" s="60">
        <f>C158</f>
        <v>101125</v>
      </c>
      <c r="F158" s="60"/>
      <c r="G158" s="23" t="s">
        <v>623</v>
      </c>
      <c r="H158" s="23" t="s">
        <v>487</v>
      </c>
      <c r="I158" s="24"/>
    </row>
    <row r="159" spans="1:9" hidden="1" x14ac:dyDescent="0.2">
      <c r="A159" s="25" t="s">
        <v>43</v>
      </c>
      <c r="B159" s="26"/>
      <c r="C159" s="64">
        <f>C158</f>
        <v>101125</v>
      </c>
      <c r="D159" s="26"/>
      <c r="E159" s="64">
        <f>E158</f>
        <v>101125</v>
      </c>
      <c r="F159" s="64">
        <f>F158</f>
        <v>0</v>
      </c>
      <c r="G159" s="26"/>
      <c r="H159" s="26"/>
      <c r="I159" s="27"/>
    </row>
    <row r="160" spans="1:9" hidden="1" x14ac:dyDescent="0.2">
      <c r="A160" s="34"/>
      <c r="B160" s="34"/>
      <c r="C160" s="62"/>
      <c r="D160" s="34"/>
      <c r="E160" s="62"/>
      <c r="F160" s="62"/>
      <c r="G160" s="34"/>
      <c r="H160" s="34"/>
      <c r="I160" s="34"/>
    </row>
    <row r="161" spans="1:9" hidden="1" x14ac:dyDescent="0.2">
      <c r="A161" s="25" t="s">
        <v>44</v>
      </c>
      <c r="B161" s="26" t="s">
        <v>568</v>
      </c>
      <c r="C161" s="61">
        <v>10202.07</v>
      </c>
      <c r="D161" s="58">
        <v>43735</v>
      </c>
      <c r="E161" s="61">
        <v>10202.07</v>
      </c>
      <c r="F161" s="61"/>
      <c r="G161" s="26" t="s">
        <v>680</v>
      </c>
      <c r="H161" s="26" t="s">
        <v>487</v>
      </c>
      <c r="I161" s="84"/>
    </row>
    <row r="162" spans="1:9" hidden="1" x14ac:dyDescent="0.2">
      <c r="A162" s="25"/>
      <c r="B162" s="26"/>
      <c r="C162" s="61">
        <v>4450.33</v>
      </c>
      <c r="D162" s="58">
        <v>43921</v>
      </c>
      <c r="E162" s="61">
        <v>4450.33</v>
      </c>
      <c r="F162" s="61">
        <f>IF(E162="",C162,0)</f>
        <v>0</v>
      </c>
      <c r="G162" s="26" t="s">
        <v>739</v>
      </c>
      <c r="H162" s="26" t="s">
        <v>487</v>
      </c>
      <c r="I162" s="27"/>
    </row>
    <row r="163" spans="1:9" hidden="1" x14ac:dyDescent="0.2">
      <c r="A163" s="25" t="s">
        <v>43</v>
      </c>
      <c r="B163" s="26"/>
      <c r="C163" s="63">
        <f>SUM(C161:C162)</f>
        <v>14652.4</v>
      </c>
      <c r="D163" s="26"/>
      <c r="E163" s="63">
        <f>SUM(E161:E162)</f>
        <v>14652.4</v>
      </c>
      <c r="F163" s="63">
        <f>SUM(F161:F162)</f>
        <v>0</v>
      </c>
      <c r="G163" s="26"/>
      <c r="H163" s="26"/>
      <c r="I163" s="27"/>
    </row>
    <row r="164" spans="1:9" hidden="1" x14ac:dyDescent="0.2">
      <c r="A164" s="34"/>
      <c r="B164" s="34"/>
      <c r="C164" s="62"/>
      <c r="D164" s="34"/>
      <c r="E164" s="62"/>
      <c r="F164" s="62"/>
      <c r="G164" s="34"/>
      <c r="H164" s="34"/>
      <c r="I164" s="34"/>
    </row>
    <row r="165" spans="1:9" hidden="1" x14ac:dyDescent="0.2">
      <c r="A165" s="25" t="s">
        <v>42</v>
      </c>
      <c r="B165" s="140"/>
      <c r="C165" s="147"/>
      <c r="D165" s="141"/>
      <c r="E165" s="147"/>
      <c r="F165" s="61">
        <f>C165-E165</f>
        <v>0</v>
      </c>
      <c r="G165" s="140"/>
      <c r="H165" s="26"/>
      <c r="I165" s="45"/>
    </row>
    <row r="166" spans="1:9" hidden="1" x14ac:dyDescent="0.2">
      <c r="A166" s="155"/>
      <c r="B166" s="150" t="s">
        <v>568</v>
      </c>
      <c r="C166" s="156">
        <v>11040</v>
      </c>
      <c r="D166" s="56" t="s">
        <v>665</v>
      </c>
      <c r="E166" s="86">
        <v>8768.7000000000007</v>
      </c>
      <c r="F166" s="61">
        <f>C166-E166</f>
        <v>2271.2999999999993</v>
      </c>
      <c r="G166" s="140" t="s">
        <v>676</v>
      </c>
      <c r="H166" s="150" t="s">
        <v>660</v>
      </c>
      <c r="I166" s="96" t="s">
        <v>100</v>
      </c>
    </row>
    <row r="167" spans="1:9" hidden="1" x14ac:dyDescent="0.2">
      <c r="A167" s="155"/>
      <c r="B167" s="150"/>
      <c r="C167" s="156"/>
      <c r="D167" s="56"/>
      <c r="E167" s="86"/>
      <c r="F167" s="61">
        <v>-2271.3000000000002</v>
      </c>
      <c r="G167" s="140"/>
      <c r="H167" s="150"/>
      <c r="I167" s="96" t="s">
        <v>675</v>
      </c>
    </row>
    <row r="168" spans="1:9" hidden="1" x14ac:dyDescent="0.2">
      <c r="A168" s="155"/>
      <c r="B168" s="150"/>
      <c r="C168" s="156"/>
      <c r="D168" s="56"/>
      <c r="E168" s="86"/>
      <c r="F168" s="61"/>
      <c r="G168" s="140"/>
      <c r="H168" s="150"/>
      <c r="I168" s="96"/>
    </row>
    <row r="169" spans="1:9" hidden="1" x14ac:dyDescent="0.2">
      <c r="A169" s="155"/>
      <c r="B169" s="150"/>
      <c r="C169" s="156"/>
      <c r="D169" s="56"/>
      <c r="E169" s="156"/>
      <c r="F169" s="61"/>
      <c r="G169" s="150"/>
      <c r="H169" s="150"/>
      <c r="I169" s="44"/>
    </row>
    <row r="170" spans="1:9" hidden="1" x14ac:dyDescent="0.2">
      <c r="A170" s="155"/>
      <c r="B170" s="150"/>
      <c r="C170" s="156"/>
      <c r="D170" s="56"/>
      <c r="E170" s="156"/>
      <c r="F170" s="61"/>
      <c r="G170" s="55"/>
      <c r="H170" s="150"/>
      <c r="I170" s="44"/>
    </row>
    <row r="171" spans="1:9" hidden="1" x14ac:dyDescent="0.2">
      <c r="A171" s="155"/>
      <c r="B171" s="150"/>
      <c r="C171" s="156"/>
      <c r="D171" s="56"/>
      <c r="E171" s="156"/>
      <c r="F171" s="61"/>
      <c r="G171" s="150"/>
      <c r="H171" s="150"/>
      <c r="I171" s="83"/>
    </row>
    <row r="172" spans="1:9" hidden="1" x14ac:dyDescent="0.2">
      <c r="A172" s="155"/>
      <c r="B172" s="150"/>
      <c r="C172" s="156"/>
      <c r="D172" s="56"/>
      <c r="E172" s="156"/>
      <c r="F172" s="61"/>
      <c r="G172" s="150"/>
      <c r="H172" s="150"/>
      <c r="I172" s="44"/>
    </row>
    <row r="173" spans="1:9" hidden="1" x14ac:dyDescent="0.2">
      <c r="A173" s="155"/>
      <c r="B173" s="150"/>
      <c r="C173" s="156"/>
      <c r="D173" s="56"/>
      <c r="E173" s="156"/>
      <c r="F173" s="61"/>
      <c r="G173" s="150"/>
      <c r="H173" s="150"/>
      <c r="I173" s="44"/>
    </row>
    <row r="174" spans="1:9" ht="13.5" hidden="1" thickBot="1" x14ac:dyDescent="0.25">
      <c r="A174" s="29" t="s">
        <v>43</v>
      </c>
      <c r="B174" s="30"/>
      <c r="C174" s="59">
        <f>SUM(C165:C173)</f>
        <v>11040</v>
      </c>
      <c r="D174" s="30"/>
      <c r="E174" s="59">
        <f>SUM(E165:E173)</f>
        <v>8768.7000000000007</v>
      </c>
      <c r="F174" s="59">
        <f>SUM(F165:F173)</f>
        <v>0</v>
      </c>
      <c r="G174" s="30"/>
      <c r="H174" s="30"/>
      <c r="I174" s="31"/>
    </row>
    <row r="175" spans="1:9" ht="13.5" hidden="1" thickBot="1" x14ac:dyDescent="0.25"/>
    <row r="176" spans="1:9" ht="21" hidden="1" thickBot="1" x14ac:dyDescent="0.25">
      <c r="A176" s="489" t="s">
        <v>478</v>
      </c>
      <c r="B176" s="490"/>
      <c r="C176" s="490"/>
      <c r="D176" s="490"/>
      <c r="E176" s="490"/>
      <c r="F176" s="490"/>
      <c r="G176" s="490"/>
      <c r="H176" s="490"/>
      <c r="I176" s="491"/>
    </row>
    <row r="177" spans="1:9" ht="20.25" hidden="1" x14ac:dyDescent="0.3">
      <c r="A177" s="41"/>
      <c r="B177" s="13" t="s">
        <v>472</v>
      </c>
      <c r="C177" s="13" t="s">
        <v>473</v>
      </c>
      <c r="D177" s="13" t="s">
        <v>474</v>
      </c>
      <c r="E177" s="14"/>
      <c r="F177" s="14"/>
      <c r="G177" s="13"/>
      <c r="H177" s="13"/>
      <c r="I177" s="39"/>
    </row>
    <row r="178" spans="1:9" ht="20.25" hidden="1" x14ac:dyDescent="0.3">
      <c r="A178" s="41" t="s">
        <v>477</v>
      </c>
      <c r="B178" s="216">
        <v>101125</v>
      </c>
      <c r="C178" s="216">
        <v>72738</v>
      </c>
      <c r="D178" s="216">
        <v>143750</v>
      </c>
      <c r="E178" s="161"/>
      <c r="F178" s="14"/>
      <c r="G178" s="13"/>
      <c r="H178" s="13"/>
      <c r="I178" s="39"/>
    </row>
    <row r="179" spans="1:9" ht="20.25" hidden="1" x14ac:dyDescent="0.3">
      <c r="A179" s="41" t="s">
        <v>36</v>
      </c>
      <c r="B179" s="18">
        <f>IF(B215&gt;66125,66125,B215)</f>
        <v>0</v>
      </c>
      <c r="C179" s="18">
        <f>IF(C212&gt;66125,66125,C212)</f>
        <v>66125</v>
      </c>
      <c r="D179" s="18">
        <f>IF(D212&gt;143750,143750,D212)</f>
        <v>143750</v>
      </c>
      <c r="E179" s="14"/>
      <c r="F179" s="14"/>
      <c r="G179" s="13"/>
      <c r="H179" s="13"/>
      <c r="I179" s="39"/>
    </row>
    <row r="180" spans="1:9" ht="20.25" hidden="1" x14ac:dyDescent="0.3">
      <c r="A180" s="41" t="s">
        <v>475</v>
      </c>
      <c r="B180" s="18">
        <f>SUM(B178:B179)</f>
        <v>101125</v>
      </c>
      <c r="C180" s="18">
        <f>SUM(C178:C179)</f>
        <v>138863</v>
      </c>
      <c r="D180" s="18">
        <f>SUM(D178:D179)</f>
        <v>287500</v>
      </c>
      <c r="E180" s="130" t="s">
        <v>107</v>
      </c>
      <c r="F180" s="14"/>
      <c r="G180" s="13"/>
      <c r="H180" s="13"/>
      <c r="I180" s="39"/>
    </row>
    <row r="181" spans="1:9" ht="20.25" hidden="1" x14ac:dyDescent="0.3">
      <c r="A181" s="41" t="s">
        <v>47</v>
      </c>
      <c r="B181" s="18">
        <f>B213</f>
        <v>0</v>
      </c>
      <c r="C181" s="18">
        <f>IF(C213&gt;66125,66125,C213)</f>
        <v>66125</v>
      </c>
      <c r="D181" s="18">
        <f>IF(D213&gt;143750,143750,D213)</f>
        <v>139822.79</v>
      </c>
      <c r="E181" s="14"/>
      <c r="F181" s="14"/>
      <c r="G181" s="13"/>
      <c r="H181" s="13"/>
      <c r="I181" s="39"/>
    </row>
    <row r="182" spans="1:9" ht="20.25" hidden="1" x14ac:dyDescent="0.3">
      <c r="A182" s="41" t="s">
        <v>479</v>
      </c>
      <c r="B182" s="18">
        <f>B181+B178</f>
        <v>101125</v>
      </c>
      <c r="C182" s="18">
        <f>C181+C178</f>
        <v>138863</v>
      </c>
      <c r="D182" s="18">
        <f>D181+D178</f>
        <v>283572.79000000004</v>
      </c>
      <c r="E182" s="151" t="s">
        <v>108</v>
      </c>
      <c r="F182" s="14"/>
      <c r="G182" s="13"/>
      <c r="H182" s="13"/>
      <c r="I182" s="39"/>
    </row>
    <row r="183" spans="1:9" ht="20.25" hidden="1" x14ac:dyDescent="0.3">
      <c r="A183" s="41" t="s">
        <v>39</v>
      </c>
      <c r="B183" s="18">
        <f>B180-E188</f>
        <v>0</v>
      </c>
      <c r="C183" s="18">
        <f>C180-E192</f>
        <v>108687.08</v>
      </c>
      <c r="D183" s="18">
        <f>D180-E205</f>
        <v>92700.53</v>
      </c>
      <c r="E183" s="151" t="s">
        <v>109</v>
      </c>
      <c r="F183" s="14"/>
      <c r="G183" s="13"/>
      <c r="H183" s="13"/>
      <c r="I183" s="39"/>
    </row>
    <row r="184" spans="1:9" hidden="1" x14ac:dyDescent="0.2">
      <c r="A184" s="41" t="s">
        <v>35</v>
      </c>
      <c r="B184" s="40">
        <f>B182-E188-F188</f>
        <v>0</v>
      </c>
      <c r="C184" s="40">
        <f>C182-E192-F192</f>
        <v>108687.08</v>
      </c>
      <c r="D184" s="47">
        <f>D182-E205-F205</f>
        <v>75991.790000000037</v>
      </c>
      <c r="E184" s="493" t="s">
        <v>110</v>
      </c>
      <c r="F184" s="503"/>
      <c r="G184" s="503"/>
      <c r="H184" s="503"/>
      <c r="I184" s="39"/>
    </row>
    <row r="185" spans="1:9" ht="21" hidden="1" thickBot="1" x14ac:dyDescent="0.35">
      <c r="A185" s="41"/>
      <c r="B185" s="13"/>
      <c r="C185" s="13"/>
      <c r="D185" s="13"/>
      <c r="E185" s="14"/>
      <c r="F185" s="14"/>
      <c r="G185" s="13"/>
      <c r="H185" s="13"/>
      <c r="I185" s="39"/>
    </row>
    <row r="186" spans="1:9" ht="25.5" hidden="1" x14ac:dyDescent="0.2">
      <c r="A186" s="19" t="s">
        <v>41</v>
      </c>
      <c r="B186" s="20" t="s">
        <v>34</v>
      </c>
      <c r="C186" s="20" t="s">
        <v>64</v>
      </c>
      <c r="D186" s="20" t="s">
        <v>63</v>
      </c>
      <c r="E186" s="20" t="s">
        <v>37</v>
      </c>
      <c r="F186" s="20" t="s">
        <v>48</v>
      </c>
      <c r="G186" s="20" t="s">
        <v>40</v>
      </c>
      <c r="H186" s="20" t="s">
        <v>38</v>
      </c>
      <c r="I186" s="21" t="s">
        <v>5</v>
      </c>
    </row>
    <row r="187" spans="1:9" hidden="1" x14ac:dyDescent="0.2">
      <c r="A187" s="22" t="s">
        <v>10</v>
      </c>
      <c r="B187" s="23" t="s">
        <v>10</v>
      </c>
      <c r="C187" s="60">
        <v>101125</v>
      </c>
      <c r="D187" s="53"/>
      <c r="E187" s="60">
        <v>101125</v>
      </c>
      <c r="F187" s="60"/>
      <c r="G187" s="23" t="s">
        <v>490</v>
      </c>
      <c r="H187" s="23" t="s">
        <v>491</v>
      </c>
      <c r="I187" s="24"/>
    </row>
    <row r="188" spans="1:9" hidden="1" x14ac:dyDescent="0.2">
      <c r="A188" s="25" t="s">
        <v>43</v>
      </c>
      <c r="B188" s="26"/>
      <c r="C188" s="64">
        <f>C187</f>
        <v>101125</v>
      </c>
      <c r="D188" s="26"/>
      <c r="E188" s="64">
        <f>E187</f>
        <v>101125</v>
      </c>
      <c r="F188" s="64">
        <f>F187</f>
        <v>0</v>
      </c>
      <c r="G188" s="26"/>
      <c r="H188" s="26"/>
      <c r="I188" s="27"/>
    </row>
    <row r="189" spans="1:9" hidden="1" x14ac:dyDescent="0.2">
      <c r="A189" s="34"/>
      <c r="B189" s="34"/>
      <c r="C189" s="62"/>
      <c r="D189" s="34"/>
      <c r="E189" s="62"/>
      <c r="F189" s="62"/>
      <c r="G189" s="34"/>
      <c r="H189" s="34"/>
      <c r="I189" s="34"/>
    </row>
    <row r="190" spans="1:9" hidden="1" x14ac:dyDescent="0.2">
      <c r="A190" s="25" t="s">
        <v>44</v>
      </c>
      <c r="B190" s="26" t="s">
        <v>568</v>
      </c>
      <c r="C190" s="61">
        <v>6600.3</v>
      </c>
      <c r="D190" s="58">
        <v>43374</v>
      </c>
      <c r="E190" s="61">
        <v>6600.3</v>
      </c>
      <c r="F190" s="61"/>
      <c r="G190" s="26" t="s">
        <v>630</v>
      </c>
      <c r="H190" s="26" t="s">
        <v>487</v>
      </c>
      <c r="I190" s="84"/>
    </row>
    <row r="191" spans="1:9" hidden="1" x14ac:dyDescent="0.2">
      <c r="A191" s="25"/>
      <c r="B191" s="26"/>
      <c r="C191" s="61">
        <v>23575.62</v>
      </c>
      <c r="D191" s="54"/>
      <c r="E191" s="61">
        <f>C191</f>
        <v>23575.62</v>
      </c>
      <c r="F191" s="61">
        <f>IF(E191="",C191,0)</f>
        <v>0</v>
      </c>
      <c r="G191" s="26" t="s">
        <v>639</v>
      </c>
      <c r="H191" s="26"/>
      <c r="I191" s="27"/>
    </row>
    <row r="192" spans="1:9" hidden="1" x14ac:dyDescent="0.2">
      <c r="A192" s="25" t="s">
        <v>43</v>
      </c>
      <c r="B192" s="26"/>
      <c r="C192" s="63">
        <f>C190</f>
        <v>6600.3</v>
      </c>
      <c r="D192" s="26"/>
      <c r="E192" s="63">
        <f>E190+E191</f>
        <v>30175.919999999998</v>
      </c>
      <c r="F192" s="63">
        <f>SUM(F190:F191)</f>
        <v>0</v>
      </c>
      <c r="G192" s="26"/>
      <c r="H192" s="26"/>
      <c r="I192" s="27"/>
    </row>
    <row r="193" spans="1:9" hidden="1" x14ac:dyDescent="0.2">
      <c r="A193" s="34"/>
      <c r="B193" s="34"/>
      <c r="C193" s="62"/>
      <c r="D193" s="34"/>
      <c r="E193" s="62"/>
      <c r="F193" s="62"/>
      <c r="G193" s="34"/>
      <c r="H193" s="34"/>
      <c r="I193" s="34"/>
    </row>
    <row r="194" spans="1:9" hidden="1" x14ac:dyDescent="0.2">
      <c r="A194" s="25" t="s">
        <v>42</v>
      </c>
      <c r="B194" s="140"/>
      <c r="C194" s="147"/>
      <c r="D194" s="141"/>
      <c r="E194" s="147"/>
      <c r="F194" s="61">
        <f>C194-E194</f>
        <v>0</v>
      </c>
      <c r="G194" s="140"/>
      <c r="H194" s="26"/>
      <c r="I194" s="45"/>
    </row>
    <row r="195" spans="1:9" hidden="1" x14ac:dyDescent="0.2">
      <c r="A195" s="155"/>
      <c r="B195" s="150" t="s">
        <v>10</v>
      </c>
      <c r="C195" s="156">
        <v>70000</v>
      </c>
      <c r="D195" s="56" t="s">
        <v>509</v>
      </c>
      <c r="E195" s="86">
        <v>57218.47</v>
      </c>
      <c r="F195" s="61">
        <f>C195-E195</f>
        <v>12781.529999999999</v>
      </c>
      <c r="G195" s="140" t="s">
        <v>556</v>
      </c>
      <c r="H195" s="150" t="s">
        <v>507</v>
      </c>
      <c r="I195" s="96" t="s">
        <v>188</v>
      </c>
    </row>
    <row r="196" spans="1:9" hidden="1" x14ac:dyDescent="0.2">
      <c r="A196" s="155"/>
      <c r="B196" s="150"/>
      <c r="C196" s="156"/>
      <c r="D196" s="56"/>
      <c r="E196" s="86">
        <v>10385</v>
      </c>
      <c r="F196" s="61">
        <v>2396.5300000000002</v>
      </c>
      <c r="G196" s="140" t="s">
        <v>592</v>
      </c>
      <c r="H196" s="150" t="s">
        <v>507</v>
      </c>
      <c r="I196" s="96" t="s">
        <v>100</v>
      </c>
    </row>
    <row r="197" spans="1:9" hidden="1" x14ac:dyDescent="0.2">
      <c r="A197" s="155"/>
      <c r="B197" s="150"/>
      <c r="C197" s="156"/>
      <c r="D197" s="56"/>
      <c r="E197" s="86"/>
      <c r="F197" s="61">
        <v>-2396.5300000000002</v>
      </c>
      <c r="G197" s="140"/>
      <c r="H197" s="150" t="s">
        <v>507</v>
      </c>
      <c r="I197" s="96" t="s">
        <v>99</v>
      </c>
    </row>
    <row r="198" spans="1:9" hidden="1" x14ac:dyDescent="0.2">
      <c r="A198" s="155"/>
      <c r="B198" s="150" t="s">
        <v>18</v>
      </c>
      <c r="C198" s="156">
        <v>78100</v>
      </c>
      <c r="D198" s="56" t="s">
        <v>517</v>
      </c>
      <c r="E198" s="156">
        <v>78100</v>
      </c>
      <c r="F198" s="61">
        <f>C198-E198</f>
        <v>0</v>
      </c>
      <c r="G198" s="150" t="s">
        <v>574</v>
      </c>
      <c r="H198" s="150" t="s">
        <v>507</v>
      </c>
      <c r="I198" s="44" t="s">
        <v>100</v>
      </c>
    </row>
    <row r="199" spans="1:9" hidden="1" x14ac:dyDescent="0.2">
      <c r="A199" s="155"/>
      <c r="B199" s="150" t="s">
        <v>10</v>
      </c>
      <c r="C199" s="156">
        <v>2000</v>
      </c>
      <c r="D199" s="56" t="s">
        <v>523</v>
      </c>
      <c r="E199" s="156">
        <v>2000</v>
      </c>
      <c r="F199" s="61">
        <v>0</v>
      </c>
      <c r="G199" s="55" t="s">
        <v>553</v>
      </c>
      <c r="H199" s="150" t="s">
        <v>518</v>
      </c>
      <c r="I199" s="44"/>
    </row>
    <row r="200" spans="1:9" hidden="1" x14ac:dyDescent="0.2">
      <c r="A200" s="155"/>
      <c r="B200" s="150" t="s">
        <v>10</v>
      </c>
      <c r="C200" s="156">
        <v>24000</v>
      </c>
      <c r="D200" s="56" t="s">
        <v>564</v>
      </c>
      <c r="E200" s="156">
        <v>5648</v>
      </c>
      <c r="F200" s="61">
        <f>C200-E200</f>
        <v>18352</v>
      </c>
      <c r="G200" s="150" t="s">
        <v>650</v>
      </c>
      <c r="H200" s="150" t="s">
        <v>558</v>
      </c>
      <c r="I200" s="44" t="s">
        <v>641</v>
      </c>
    </row>
    <row r="201" spans="1:9" hidden="1" x14ac:dyDescent="0.2">
      <c r="A201" s="155"/>
      <c r="B201" s="150"/>
      <c r="C201" s="156"/>
      <c r="D201" s="56"/>
      <c r="E201" s="156"/>
      <c r="F201" s="61">
        <v>-18352</v>
      </c>
      <c r="G201" s="150"/>
      <c r="H201" s="150"/>
      <c r="I201" s="44" t="s">
        <v>99</v>
      </c>
    </row>
    <row r="202" spans="1:9" hidden="1" x14ac:dyDescent="0.2">
      <c r="A202" s="155"/>
      <c r="B202" s="150" t="s">
        <v>10</v>
      </c>
      <c r="C202" s="156">
        <v>30000</v>
      </c>
      <c r="D202" s="56" t="s">
        <v>591</v>
      </c>
      <c r="E202" s="156">
        <v>5648</v>
      </c>
      <c r="F202" s="61">
        <f>C202-E202</f>
        <v>24352</v>
      </c>
      <c r="G202" s="150" t="s">
        <v>649</v>
      </c>
      <c r="H202" s="150" t="s">
        <v>590</v>
      </c>
      <c r="I202" s="44" t="s">
        <v>99</v>
      </c>
    </row>
    <row r="203" spans="1:9" hidden="1" x14ac:dyDescent="0.2">
      <c r="A203" s="155"/>
      <c r="B203" s="150"/>
      <c r="C203" s="156"/>
      <c r="D203" s="56"/>
      <c r="E203" s="156"/>
      <c r="F203" s="61">
        <v>-24352</v>
      </c>
      <c r="G203" s="150"/>
      <c r="H203" s="150"/>
      <c r="I203" s="44" t="s">
        <v>100</v>
      </c>
    </row>
    <row r="204" spans="1:9" hidden="1" x14ac:dyDescent="0.2">
      <c r="A204" s="155"/>
      <c r="B204" s="150" t="s">
        <v>589</v>
      </c>
      <c r="C204" s="156">
        <v>35800</v>
      </c>
      <c r="D204" s="56" t="s">
        <v>597</v>
      </c>
      <c r="E204" s="156">
        <v>35800</v>
      </c>
      <c r="F204" s="61">
        <v>0</v>
      </c>
      <c r="G204" s="150" t="s">
        <v>631</v>
      </c>
      <c r="H204" s="150" t="s">
        <v>590</v>
      </c>
      <c r="I204" s="44" t="s">
        <v>100</v>
      </c>
    </row>
    <row r="205" spans="1:9" ht="13.5" hidden="1" thickBot="1" x14ac:dyDescent="0.25">
      <c r="A205" s="29" t="s">
        <v>43</v>
      </c>
      <c r="B205" s="30"/>
      <c r="C205" s="59">
        <f>SUM(C194:C204)</f>
        <v>239900</v>
      </c>
      <c r="D205" s="30"/>
      <c r="E205" s="59">
        <f>SUM(E194:E204)</f>
        <v>194799.47</v>
      </c>
      <c r="F205" s="59">
        <f>SUM(F194:F204)</f>
        <v>12781.529999999999</v>
      </c>
      <c r="G205" s="30"/>
      <c r="H205" s="30"/>
      <c r="I205" s="31"/>
    </row>
    <row r="206" spans="1:9" hidden="1" x14ac:dyDescent="0.2"/>
    <row r="207" spans="1:9" ht="13.5" hidden="1" thickBot="1" x14ac:dyDescent="0.25"/>
    <row r="208" spans="1:9" ht="21" hidden="1" thickBot="1" x14ac:dyDescent="0.25">
      <c r="A208" s="489" t="s">
        <v>329</v>
      </c>
      <c r="B208" s="490"/>
      <c r="C208" s="490"/>
      <c r="D208" s="490"/>
      <c r="E208" s="490"/>
      <c r="F208" s="490"/>
      <c r="G208" s="490"/>
      <c r="H208" s="490"/>
      <c r="I208" s="491"/>
    </row>
    <row r="209" spans="1:9" ht="20.25" hidden="1" x14ac:dyDescent="0.3">
      <c r="A209" s="41"/>
      <c r="B209" s="13" t="s">
        <v>322</v>
      </c>
      <c r="C209" s="13" t="s">
        <v>323</v>
      </c>
      <c r="D209" s="13" t="s">
        <v>324</v>
      </c>
      <c r="E209" s="14"/>
      <c r="F209" s="14"/>
      <c r="G209" s="13"/>
      <c r="H209" s="13"/>
      <c r="I209" s="39"/>
    </row>
    <row r="210" spans="1:9" ht="20.25" hidden="1" x14ac:dyDescent="0.3">
      <c r="A210" s="41" t="s">
        <v>328</v>
      </c>
      <c r="B210" s="18">
        <v>66125</v>
      </c>
      <c r="C210" s="18">
        <v>66125</v>
      </c>
      <c r="D210" s="18">
        <v>143750</v>
      </c>
      <c r="E210" s="161"/>
      <c r="F210" s="14"/>
      <c r="G210" s="13"/>
      <c r="H210" s="13"/>
      <c r="I210" s="39"/>
    </row>
    <row r="211" spans="1:9" ht="20.25" hidden="1" x14ac:dyDescent="0.3">
      <c r="A211" s="41" t="s">
        <v>36</v>
      </c>
      <c r="B211" s="18">
        <f>IF(B248&gt;66125,66125,B248)</f>
        <v>0</v>
      </c>
      <c r="C211" s="18">
        <f>IF(C248&gt;66125,66125,C248)</f>
        <v>66125</v>
      </c>
      <c r="D211" s="18">
        <f>IF(D248&gt;143750,143750,D248)</f>
        <v>143750</v>
      </c>
      <c r="E211" s="14"/>
      <c r="F211" s="14"/>
      <c r="G211" s="13"/>
      <c r="H211" s="13"/>
      <c r="I211" s="39"/>
    </row>
    <row r="212" spans="1:9" ht="20.25" hidden="1" x14ac:dyDescent="0.3">
      <c r="A212" s="41" t="s">
        <v>325</v>
      </c>
      <c r="B212" s="18">
        <f>SUM(B210:B211)</f>
        <v>66125</v>
      </c>
      <c r="C212" s="18">
        <f>SUM(C210:C211)</f>
        <v>132250</v>
      </c>
      <c r="D212" s="18">
        <f>SUM(D210:D211)</f>
        <v>287500</v>
      </c>
      <c r="E212" s="130" t="s">
        <v>107</v>
      </c>
      <c r="F212" s="14"/>
      <c r="G212" s="13"/>
      <c r="H212" s="13"/>
      <c r="I212" s="39"/>
    </row>
    <row r="213" spans="1:9" ht="20.25" hidden="1" x14ac:dyDescent="0.3">
      <c r="A213" s="41" t="s">
        <v>47</v>
      </c>
      <c r="B213" s="18">
        <f>B249</f>
        <v>0</v>
      </c>
      <c r="C213" s="18">
        <f>IF(C249&gt;66125,66125,C249)</f>
        <v>66125</v>
      </c>
      <c r="D213" s="18">
        <f>IF(D249&gt;143750,143750,D249)</f>
        <v>139822.79</v>
      </c>
      <c r="E213" s="14"/>
      <c r="F213" s="14"/>
      <c r="G213" s="13"/>
      <c r="H213" s="13"/>
      <c r="I213" s="39"/>
    </row>
    <row r="214" spans="1:9" ht="20.25" hidden="1" x14ac:dyDescent="0.3">
      <c r="A214" s="41" t="s">
        <v>45</v>
      </c>
      <c r="B214" s="18">
        <f>B213+B210</f>
        <v>66125</v>
      </c>
      <c r="C214" s="18">
        <f>C213+C210</f>
        <v>132250</v>
      </c>
      <c r="D214" s="18">
        <f>D213+D210</f>
        <v>283572.79000000004</v>
      </c>
      <c r="E214" s="151" t="s">
        <v>108</v>
      </c>
      <c r="F214" s="14"/>
      <c r="G214" s="13"/>
      <c r="H214" s="13"/>
      <c r="I214" s="39"/>
    </row>
    <row r="215" spans="1:9" ht="20.25" hidden="1" x14ac:dyDescent="0.3">
      <c r="A215" s="41" t="s">
        <v>39</v>
      </c>
      <c r="B215" s="18">
        <f>B212-E220</f>
        <v>0</v>
      </c>
      <c r="C215" s="18">
        <f>C212-E224</f>
        <v>122108.45</v>
      </c>
      <c r="D215" s="18">
        <f>D212-E239</f>
        <v>188790</v>
      </c>
      <c r="E215" s="151" t="s">
        <v>109</v>
      </c>
      <c r="F215" s="14"/>
      <c r="G215" s="13"/>
      <c r="H215" s="13"/>
      <c r="I215" s="39"/>
    </row>
    <row r="216" spans="1:9" hidden="1" x14ac:dyDescent="0.2">
      <c r="A216" s="41" t="s">
        <v>35</v>
      </c>
      <c r="B216" s="40">
        <f>B214-E220-F220</f>
        <v>0</v>
      </c>
      <c r="C216" s="40">
        <f>C214-E224-F224</f>
        <v>122108.45</v>
      </c>
      <c r="D216" s="47">
        <f>D214-E239-F239</f>
        <v>144737.79000000004</v>
      </c>
      <c r="E216" s="493" t="s">
        <v>110</v>
      </c>
      <c r="F216" s="503"/>
      <c r="G216" s="503"/>
      <c r="H216" s="503"/>
      <c r="I216" s="39"/>
    </row>
    <row r="217" spans="1:9" ht="9" hidden="1" customHeight="1" thickBot="1" x14ac:dyDescent="0.35">
      <c r="A217" s="41"/>
      <c r="B217" s="13"/>
      <c r="C217" s="13"/>
      <c r="D217" s="13"/>
      <c r="E217" s="14"/>
      <c r="F217" s="14"/>
      <c r="G217" s="13"/>
      <c r="H217" s="13"/>
      <c r="I217" s="39"/>
    </row>
    <row r="218" spans="1:9" ht="25.5" hidden="1" x14ac:dyDescent="0.2">
      <c r="A218" s="19" t="s">
        <v>41</v>
      </c>
      <c r="B218" s="20" t="s">
        <v>34</v>
      </c>
      <c r="C218" s="20" t="s">
        <v>64</v>
      </c>
      <c r="D218" s="20" t="s">
        <v>63</v>
      </c>
      <c r="E218" s="20" t="s">
        <v>37</v>
      </c>
      <c r="F218" s="20" t="s">
        <v>48</v>
      </c>
      <c r="G218" s="20" t="s">
        <v>40</v>
      </c>
      <c r="H218" s="20" t="s">
        <v>38</v>
      </c>
      <c r="I218" s="21" t="s">
        <v>5</v>
      </c>
    </row>
    <row r="219" spans="1:9" hidden="1" x14ac:dyDescent="0.2">
      <c r="A219" s="22" t="s">
        <v>10</v>
      </c>
      <c r="B219" s="23" t="s">
        <v>10</v>
      </c>
      <c r="C219" s="60">
        <v>66125</v>
      </c>
      <c r="D219" s="53">
        <v>42738</v>
      </c>
      <c r="E219" s="60">
        <v>66125</v>
      </c>
      <c r="F219" s="60"/>
      <c r="G219" s="23" t="s">
        <v>354</v>
      </c>
      <c r="H219" s="23" t="s">
        <v>355</v>
      </c>
      <c r="I219" s="24"/>
    </row>
    <row r="220" spans="1:9" hidden="1" x14ac:dyDescent="0.2">
      <c r="A220" s="25" t="s">
        <v>43</v>
      </c>
      <c r="B220" s="26"/>
      <c r="C220" s="64">
        <f>C219</f>
        <v>66125</v>
      </c>
      <c r="D220" s="26"/>
      <c r="E220" s="64">
        <f>E219</f>
        <v>66125</v>
      </c>
      <c r="F220" s="64">
        <f>F219</f>
        <v>0</v>
      </c>
      <c r="G220" s="26"/>
      <c r="H220" s="26"/>
      <c r="I220" s="27"/>
    </row>
    <row r="221" spans="1:9" hidden="1" x14ac:dyDescent="0.2">
      <c r="A221" s="34"/>
      <c r="B221" s="34"/>
      <c r="C221" s="62"/>
      <c r="D221" s="34"/>
      <c r="E221" s="62"/>
      <c r="F221" s="62"/>
      <c r="G221" s="34"/>
      <c r="H221" s="34"/>
      <c r="I221" s="34"/>
    </row>
    <row r="222" spans="1:9" hidden="1" x14ac:dyDescent="0.2">
      <c r="A222" s="25" t="s">
        <v>44</v>
      </c>
      <c r="B222" s="26" t="s">
        <v>18</v>
      </c>
      <c r="C222" s="61"/>
      <c r="D222" s="58"/>
      <c r="E222" s="61">
        <v>10141.549999999999</v>
      </c>
      <c r="F222" s="61"/>
      <c r="G222" s="26" t="s">
        <v>496</v>
      </c>
      <c r="H222" s="26" t="s">
        <v>497</v>
      </c>
      <c r="I222" s="84"/>
    </row>
    <row r="223" spans="1:9" hidden="1" x14ac:dyDescent="0.2">
      <c r="A223" s="25"/>
      <c r="B223" s="26"/>
      <c r="C223" s="61"/>
      <c r="D223" s="54"/>
      <c r="E223" s="61"/>
      <c r="F223" s="61">
        <f>IF(E223="",C223,0)</f>
        <v>0</v>
      </c>
      <c r="G223" s="26"/>
      <c r="H223" s="26"/>
      <c r="I223" s="27"/>
    </row>
    <row r="224" spans="1:9" hidden="1" x14ac:dyDescent="0.2">
      <c r="A224" s="25" t="s">
        <v>43</v>
      </c>
      <c r="B224" s="26"/>
      <c r="C224" s="63">
        <f>C222</f>
        <v>0</v>
      </c>
      <c r="D224" s="26"/>
      <c r="E224" s="63">
        <f>E222</f>
        <v>10141.549999999999</v>
      </c>
      <c r="F224" s="63">
        <f>SUM(F222:F223)</f>
        <v>0</v>
      </c>
      <c r="G224" s="26"/>
      <c r="H224" s="26"/>
      <c r="I224" s="27"/>
    </row>
    <row r="225" spans="1:9" hidden="1" x14ac:dyDescent="0.2">
      <c r="A225" s="34"/>
      <c r="B225" s="34"/>
      <c r="C225" s="62"/>
      <c r="D225" s="34"/>
      <c r="E225" s="62"/>
      <c r="F225" s="62"/>
      <c r="G225" s="34"/>
      <c r="H225" s="34"/>
      <c r="I225" s="34"/>
    </row>
    <row r="226" spans="1:9" hidden="1" x14ac:dyDescent="0.2">
      <c r="A226" s="25" t="s">
        <v>42</v>
      </c>
      <c r="B226" s="140"/>
      <c r="C226" s="147"/>
      <c r="D226" s="141"/>
      <c r="E226" s="147"/>
      <c r="F226" s="61">
        <f>C226-E226</f>
        <v>0</v>
      </c>
      <c r="G226" s="140"/>
      <c r="H226" s="26"/>
      <c r="I226" s="45"/>
    </row>
    <row r="227" spans="1:9" hidden="1" x14ac:dyDescent="0.2">
      <c r="A227" s="155"/>
      <c r="B227" s="150" t="s">
        <v>18</v>
      </c>
      <c r="C227" s="156">
        <v>31144</v>
      </c>
      <c r="D227" s="56" t="s">
        <v>390</v>
      </c>
      <c r="E227" s="86">
        <v>16990</v>
      </c>
      <c r="F227" s="61">
        <f>C227-E227</f>
        <v>14154</v>
      </c>
      <c r="G227" s="494" t="s">
        <v>458</v>
      </c>
      <c r="H227" s="150" t="s">
        <v>388</v>
      </c>
      <c r="I227" s="96" t="s">
        <v>100</v>
      </c>
    </row>
    <row r="228" spans="1:9" hidden="1" x14ac:dyDescent="0.2">
      <c r="A228" s="155"/>
      <c r="B228" s="150"/>
      <c r="C228" s="156"/>
      <c r="D228" s="56"/>
      <c r="E228" s="86"/>
      <c r="F228" s="61">
        <v>-14154</v>
      </c>
      <c r="G228" s="495"/>
      <c r="H228" s="150"/>
      <c r="I228" s="96" t="s">
        <v>99</v>
      </c>
    </row>
    <row r="229" spans="1:9" hidden="1" x14ac:dyDescent="0.2">
      <c r="A229" s="155"/>
      <c r="B229" s="150" t="s">
        <v>10</v>
      </c>
      <c r="C229" s="156">
        <v>30000</v>
      </c>
      <c r="D229" s="56" t="s">
        <v>394</v>
      </c>
      <c r="E229" s="156">
        <v>17906</v>
      </c>
      <c r="F229" s="61" t="s">
        <v>443</v>
      </c>
      <c r="G229" s="150" t="s">
        <v>424</v>
      </c>
      <c r="H229" s="150" t="s">
        <v>391</v>
      </c>
      <c r="I229" s="44" t="s">
        <v>189</v>
      </c>
    </row>
    <row r="230" spans="1:9" hidden="1" x14ac:dyDescent="0.2">
      <c r="A230" s="155"/>
      <c r="B230" s="150"/>
      <c r="C230" s="156"/>
      <c r="D230" s="56"/>
      <c r="E230" s="156">
        <v>5242</v>
      </c>
      <c r="F230" s="61">
        <v>0</v>
      </c>
      <c r="G230" s="55" t="s">
        <v>446</v>
      </c>
      <c r="H230" s="150" t="s">
        <v>391</v>
      </c>
      <c r="I230" s="44" t="s">
        <v>189</v>
      </c>
    </row>
    <row r="231" spans="1:9" hidden="1" x14ac:dyDescent="0.2">
      <c r="A231" s="155"/>
      <c r="B231" s="150"/>
      <c r="C231" s="156"/>
      <c r="D231" s="56"/>
      <c r="E231" s="156">
        <v>4435</v>
      </c>
      <c r="F231" s="61">
        <f>C229-E229-E230-E231</f>
        <v>2417</v>
      </c>
      <c r="G231" s="55" t="s">
        <v>485</v>
      </c>
      <c r="H231" s="150" t="s">
        <v>391</v>
      </c>
      <c r="I231" s="44" t="s">
        <v>99</v>
      </c>
    </row>
    <row r="232" spans="1:9" hidden="1" x14ac:dyDescent="0.2">
      <c r="A232" s="155"/>
      <c r="B232" s="150"/>
      <c r="C232" s="156"/>
      <c r="D232" s="56"/>
      <c r="E232" s="156"/>
      <c r="F232" s="61">
        <v>-2417</v>
      </c>
      <c r="G232" s="55"/>
      <c r="H232" s="150"/>
      <c r="I232" s="44"/>
    </row>
    <row r="233" spans="1:9" hidden="1" x14ac:dyDescent="0.2">
      <c r="A233" s="155"/>
      <c r="B233" s="150" t="s">
        <v>18</v>
      </c>
      <c r="C233" s="156">
        <v>30696</v>
      </c>
      <c r="D233" s="56" t="s">
        <v>406</v>
      </c>
      <c r="E233" s="156">
        <v>30696</v>
      </c>
      <c r="F233" s="61">
        <f>C233-E233</f>
        <v>0</v>
      </c>
      <c r="G233" s="150" t="s">
        <v>459</v>
      </c>
      <c r="H233" s="150" t="s">
        <v>391</v>
      </c>
      <c r="I233" s="83"/>
    </row>
    <row r="234" spans="1:9" hidden="1" x14ac:dyDescent="0.2">
      <c r="A234" s="155"/>
      <c r="B234" s="494" t="s">
        <v>10</v>
      </c>
      <c r="C234" s="502">
        <v>30000</v>
      </c>
      <c r="D234" s="498" t="s">
        <v>409</v>
      </c>
      <c r="E234" s="156">
        <v>5550</v>
      </c>
      <c r="F234" s="61">
        <f>C234-E234</f>
        <v>24450</v>
      </c>
      <c r="G234" s="150" t="s">
        <v>457</v>
      </c>
      <c r="H234" s="494" t="s">
        <v>112</v>
      </c>
      <c r="I234" s="44" t="s">
        <v>189</v>
      </c>
    </row>
    <row r="235" spans="1:9" hidden="1" x14ac:dyDescent="0.2">
      <c r="A235" s="155"/>
      <c r="B235" s="507"/>
      <c r="C235" s="508"/>
      <c r="D235" s="507"/>
      <c r="E235" s="502">
        <v>2870</v>
      </c>
      <c r="F235" s="61">
        <f>24450-2870</f>
        <v>21580</v>
      </c>
      <c r="G235" s="522" t="s">
        <v>521</v>
      </c>
      <c r="H235" s="507"/>
      <c r="I235" s="44" t="s">
        <v>100</v>
      </c>
    </row>
    <row r="236" spans="1:9" hidden="1" x14ac:dyDescent="0.2">
      <c r="A236" s="155"/>
      <c r="B236" s="495"/>
      <c r="C236" s="497"/>
      <c r="D236" s="495"/>
      <c r="E236" s="497"/>
      <c r="F236" s="61">
        <v>-21580</v>
      </c>
      <c r="G236" s="495"/>
      <c r="H236" s="495"/>
      <c r="I236" s="44" t="s">
        <v>99</v>
      </c>
    </row>
    <row r="237" spans="1:9" hidden="1" x14ac:dyDescent="0.2">
      <c r="A237" s="155"/>
      <c r="B237" s="150" t="s">
        <v>18</v>
      </c>
      <c r="C237" s="156">
        <v>30696</v>
      </c>
      <c r="D237" s="56" t="s">
        <v>409</v>
      </c>
      <c r="E237" s="156">
        <v>15021</v>
      </c>
      <c r="F237" s="61">
        <f>C237-E237</f>
        <v>15675</v>
      </c>
      <c r="G237" s="164" t="s">
        <v>504</v>
      </c>
      <c r="H237" s="150" t="s">
        <v>112</v>
      </c>
      <c r="I237" s="44"/>
    </row>
    <row r="238" spans="1:9" hidden="1" x14ac:dyDescent="0.2">
      <c r="A238" s="155"/>
      <c r="B238" s="150"/>
      <c r="C238" s="156"/>
      <c r="D238" s="56"/>
      <c r="E238" s="156"/>
      <c r="F238" s="156"/>
      <c r="G238" s="150"/>
      <c r="H238" s="150"/>
      <c r="I238" s="44"/>
    </row>
    <row r="239" spans="1:9" ht="13.5" hidden="1" thickBot="1" x14ac:dyDescent="0.25">
      <c r="A239" s="29" t="s">
        <v>43</v>
      </c>
      <c r="B239" s="30"/>
      <c r="C239" s="59">
        <f>SUM(C226:C238)</f>
        <v>152536</v>
      </c>
      <c r="D239" s="30"/>
      <c r="E239" s="59">
        <f>SUM(E226:E237)</f>
        <v>98710</v>
      </c>
      <c r="F239" s="59">
        <f>SUM(F226:F238)</f>
        <v>40125</v>
      </c>
      <c r="G239" s="30"/>
      <c r="H239" s="30"/>
      <c r="I239" s="31"/>
    </row>
    <row r="240" spans="1:9" ht="13.5" hidden="1" thickBot="1" x14ac:dyDescent="0.25"/>
    <row r="241" spans="1:9" ht="21" hidden="1" thickBot="1" x14ac:dyDescent="0.25">
      <c r="A241" s="489" t="s">
        <v>215</v>
      </c>
      <c r="B241" s="490"/>
      <c r="C241" s="490"/>
      <c r="D241" s="490"/>
      <c r="E241" s="490"/>
      <c r="F241" s="490"/>
      <c r="G241" s="490"/>
      <c r="H241" s="490"/>
      <c r="I241" s="491"/>
    </row>
    <row r="242" spans="1:9" ht="20.25" hidden="1" x14ac:dyDescent="0.3">
      <c r="A242" s="41"/>
      <c r="B242" s="13" t="s">
        <v>208</v>
      </c>
      <c r="C242" s="13" t="s">
        <v>209</v>
      </c>
      <c r="D242" s="13" t="s">
        <v>210</v>
      </c>
      <c r="E242" s="14"/>
      <c r="F242" s="14"/>
      <c r="G242" s="13"/>
      <c r="H242" s="13"/>
      <c r="I242" s="39"/>
    </row>
    <row r="243" spans="1:9" ht="20.25" hidden="1" x14ac:dyDescent="0.3">
      <c r="A243" s="41" t="s">
        <v>214</v>
      </c>
      <c r="B243" s="18">
        <v>66125</v>
      </c>
      <c r="C243" s="18">
        <v>66125</v>
      </c>
      <c r="D243" s="18">
        <v>143750</v>
      </c>
      <c r="E243" s="161"/>
      <c r="F243" s="14"/>
      <c r="G243" s="13"/>
      <c r="H243" s="13"/>
      <c r="I243" s="39"/>
    </row>
    <row r="244" spans="1:9" ht="20.25" hidden="1" x14ac:dyDescent="0.3">
      <c r="A244" s="41" t="s">
        <v>36</v>
      </c>
      <c r="B244" s="18">
        <f>IF(B279&gt;66125,66125,B279)</f>
        <v>0</v>
      </c>
      <c r="C244" s="18">
        <f>IF(C279&gt;66125,66125,C279)</f>
        <v>66125</v>
      </c>
      <c r="D244" s="18">
        <f>IF(D279&gt;143750,143750,D279)</f>
        <v>35321.48000000001</v>
      </c>
      <c r="E244" s="14"/>
      <c r="F244" s="14"/>
      <c r="G244" s="13"/>
      <c r="H244" s="13"/>
      <c r="I244" s="39"/>
    </row>
    <row r="245" spans="1:9" ht="20.25" hidden="1" x14ac:dyDescent="0.3">
      <c r="A245" s="41" t="s">
        <v>211</v>
      </c>
      <c r="B245" s="18">
        <f>SUM(B243:B244)</f>
        <v>66125</v>
      </c>
      <c r="C245" s="18">
        <f>SUM(C243:C244)</f>
        <v>132250</v>
      </c>
      <c r="D245" s="18">
        <f>SUM(D243:D244)</f>
        <v>179071.48</v>
      </c>
      <c r="E245" s="130" t="s">
        <v>107</v>
      </c>
      <c r="F245" s="14"/>
      <c r="G245" s="13"/>
      <c r="H245" s="13"/>
      <c r="I245" s="39"/>
    </row>
    <row r="246" spans="1:9" ht="20.25" hidden="1" x14ac:dyDescent="0.3">
      <c r="A246" s="41" t="s">
        <v>47</v>
      </c>
      <c r="B246" s="18">
        <f>B280</f>
        <v>0</v>
      </c>
      <c r="C246" s="18">
        <f>IF(C280&gt;66125,66125,C280)</f>
        <v>66125</v>
      </c>
      <c r="D246" s="18">
        <f>IF(D280&gt;143750,143750,D280)</f>
        <v>32902.94000000001</v>
      </c>
      <c r="E246" s="14"/>
      <c r="F246" s="14"/>
      <c r="G246" s="13"/>
      <c r="H246" s="13"/>
      <c r="I246" s="39"/>
    </row>
    <row r="247" spans="1:9" ht="20.25" hidden="1" x14ac:dyDescent="0.3">
      <c r="A247" s="41" t="s">
        <v>45</v>
      </c>
      <c r="B247" s="18">
        <f>B246+B243</f>
        <v>66125</v>
      </c>
      <c r="C247" s="18">
        <f>C246+C243</f>
        <v>132250</v>
      </c>
      <c r="D247" s="18">
        <f>D246+D243</f>
        <v>176652.94</v>
      </c>
      <c r="E247" s="151" t="s">
        <v>108</v>
      </c>
      <c r="F247" s="14"/>
      <c r="G247" s="13"/>
      <c r="H247" s="13"/>
      <c r="I247" s="39"/>
    </row>
    <row r="248" spans="1:9" ht="20.25" hidden="1" x14ac:dyDescent="0.3">
      <c r="A248" s="41" t="s">
        <v>39</v>
      </c>
      <c r="B248" s="18">
        <f>B245-E253</f>
        <v>0</v>
      </c>
      <c r="C248" s="18">
        <f>C245-E258</f>
        <v>132250</v>
      </c>
      <c r="D248" s="18">
        <f>D245-E269</f>
        <v>144659.87</v>
      </c>
      <c r="E248" s="151" t="s">
        <v>109</v>
      </c>
      <c r="F248" s="14"/>
      <c r="G248" s="13"/>
      <c r="H248" s="13"/>
      <c r="I248" s="39"/>
    </row>
    <row r="249" spans="1:9" hidden="1" x14ac:dyDescent="0.2">
      <c r="A249" s="41" t="s">
        <v>35</v>
      </c>
      <c r="B249" s="40">
        <f>B247-E253-F253</f>
        <v>0</v>
      </c>
      <c r="C249" s="40">
        <f>C247-E258-F258</f>
        <v>126236.86</v>
      </c>
      <c r="D249" s="47">
        <f>D247-E269-F269</f>
        <v>139822.79</v>
      </c>
      <c r="E249" s="493" t="s">
        <v>110</v>
      </c>
      <c r="F249" s="503"/>
      <c r="G249" s="503"/>
      <c r="H249" s="503"/>
      <c r="I249" s="39"/>
    </row>
    <row r="250" spans="1:9" ht="21" hidden="1" thickBot="1" x14ac:dyDescent="0.35">
      <c r="A250" s="41"/>
      <c r="B250" s="13"/>
      <c r="C250" s="13"/>
      <c r="D250" s="13"/>
      <c r="E250" s="14"/>
      <c r="F250" s="14"/>
      <c r="G250" s="13"/>
      <c r="H250" s="13"/>
      <c r="I250" s="39"/>
    </row>
    <row r="251" spans="1:9" ht="25.5" hidden="1" x14ac:dyDescent="0.2">
      <c r="A251" s="19" t="s">
        <v>41</v>
      </c>
      <c r="B251" s="20" t="s">
        <v>34</v>
      </c>
      <c r="C251" s="20" t="s">
        <v>64</v>
      </c>
      <c r="D251" s="20" t="s">
        <v>63</v>
      </c>
      <c r="E251" s="20" t="s">
        <v>37</v>
      </c>
      <c r="F251" s="20" t="s">
        <v>48</v>
      </c>
      <c r="G251" s="20" t="s">
        <v>40</v>
      </c>
      <c r="H251" s="20" t="s">
        <v>38</v>
      </c>
      <c r="I251" s="21" t="s">
        <v>5</v>
      </c>
    </row>
    <row r="252" spans="1:9" hidden="1" x14ac:dyDescent="0.2">
      <c r="A252" s="22" t="s">
        <v>10</v>
      </c>
      <c r="B252" s="23" t="s">
        <v>10</v>
      </c>
      <c r="C252" s="60">
        <v>66125</v>
      </c>
      <c r="D252" s="53">
        <v>42373</v>
      </c>
      <c r="E252" s="60">
        <v>66125</v>
      </c>
      <c r="F252" s="60"/>
      <c r="G252" s="23" t="s">
        <v>227</v>
      </c>
      <c r="H252" s="23" t="s">
        <v>228</v>
      </c>
      <c r="I252" s="24"/>
    </row>
    <row r="253" spans="1:9" hidden="1" x14ac:dyDescent="0.2">
      <c r="A253" s="25" t="s">
        <v>43</v>
      </c>
      <c r="B253" s="26"/>
      <c r="C253" s="64">
        <f>C252</f>
        <v>66125</v>
      </c>
      <c r="D253" s="26"/>
      <c r="E253" s="64">
        <f>E252</f>
        <v>66125</v>
      </c>
      <c r="F253" s="64">
        <f>F252</f>
        <v>0</v>
      </c>
      <c r="G253" s="26"/>
      <c r="H253" s="26"/>
      <c r="I253" s="27"/>
    </row>
    <row r="254" spans="1:9" hidden="1" x14ac:dyDescent="0.2">
      <c r="A254" s="34"/>
      <c r="B254" s="34"/>
      <c r="C254" s="62"/>
      <c r="D254" s="34"/>
      <c r="E254" s="62"/>
      <c r="F254" s="62"/>
      <c r="G254" s="34"/>
      <c r="H254" s="34"/>
      <c r="I254" s="34"/>
    </row>
    <row r="255" spans="1:9" hidden="1" x14ac:dyDescent="0.2">
      <c r="A255" s="25" t="s">
        <v>44</v>
      </c>
      <c r="B255" s="26" t="s">
        <v>18</v>
      </c>
      <c r="C255" s="61">
        <v>6013.14</v>
      </c>
      <c r="D255" s="58">
        <v>42818</v>
      </c>
      <c r="E255" s="61"/>
      <c r="F255" s="61">
        <v>6013.14</v>
      </c>
      <c r="G255" s="26" t="s">
        <v>400</v>
      </c>
      <c r="H255" s="26" t="s">
        <v>395</v>
      </c>
      <c r="I255" s="84"/>
    </row>
    <row r="256" spans="1:9" hidden="1" x14ac:dyDescent="0.2">
      <c r="A256" s="25"/>
      <c r="B256" s="26"/>
      <c r="C256" s="61"/>
      <c r="D256" s="58"/>
      <c r="E256" s="61"/>
      <c r="F256" s="61"/>
      <c r="G256" s="26"/>
      <c r="H256" s="26"/>
      <c r="I256" s="27"/>
    </row>
    <row r="257" spans="1:9" hidden="1" x14ac:dyDescent="0.2">
      <c r="A257" s="25"/>
      <c r="B257" s="26"/>
      <c r="C257" s="61"/>
      <c r="D257" s="54"/>
      <c r="E257" s="61"/>
      <c r="F257" s="61">
        <f>IF(E257="",C257,0)</f>
        <v>0</v>
      </c>
      <c r="G257" s="26"/>
      <c r="H257" s="26"/>
      <c r="I257" s="27"/>
    </row>
    <row r="258" spans="1:9" hidden="1" x14ac:dyDescent="0.2">
      <c r="A258" s="25" t="s">
        <v>43</v>
      </c>
      <c r="B258" s="26"/>
      <c r="C258" s="63">
        <f>C255</f>
        <v>6013.14</v>
      </c>
      <c r="D258" s="26"/>
      <c r="E258" s="63">
        <f>E255</f>
        <v>0</v>
      </c>
      <c r="F258" s="63">
        <f>SUM(F255:F257)</f>
        <v>6013.14</v>
      </c>
      <c r="G258" s="26"/>
      <c r="H258" s="26"/>
      <c r="I258" s="27"/>
    </row>
    <row r="259" spans="1:9" hidden="1" x14ac:dyDescent="0.2">
      <c r="A259" s="34"/>
      <c r="B259" s="34"/>
      <c r="C259" s="62"/>
      <c r="D259" s="34"/>
      <c r="E259" s="62"/>
      <c r="F259" s="62"/>
      <c r="G259" s="34"/>
      <c r="H259" s="34"/>
      <c r="I259" s="34"/>
    </row>
    <row r="260" spans="1:9" hidden="1" x14ac:dyDescent="0.2">
      <c r="A260" s="25" t="s">
        <v>42</v>
      </c>
      <c r="B260" s="140"/>
      <c r="C260" s="147"/>
      <c r="D260" s="141"/>
      <c r="E260" s="147"/>
      <c r="F260" s="61">
        <f>C260-E260</f>
        <v>0</v>
      </c>
      <c r="G260" s="140"/>
      <c r="H260" s="26"/>
      <c r="I260" s="45"/>
    </row>
    <row r="261" spans="1:9" hidden="1" x14ac:dyDescent="0.2">
      <c r="A261" s="155"/>
      <c r="B261" s="150" t="s">
        <v>10</v>
      </c>
      <c r="C261" s="156">
        <v>8000</v>
      </c>
      <c r="D261" s="56" t="s">
        <v>282</v>
      </c>
      <c r="E261" s="86">
        <v>8000</v>
      </c>
      <c r="F261" s="61">
        <f>C261-E261</f>
        <v>0</v>
      </c>
      <c r="G261" s="150" t="s">
        <v>348</v>
      </c>
      <c r="H261" s="150" t="s">
        <v>226</v>
      </c>
      <c r="I261" s="96"/>
    </row>
    <row r="262" spans="1:9" hidden="1" x14ac:dyDescent="0.2">
      <c r="A262" s="523"/>
      <c r="B262" s="494" t="s">
        <v>10</v>
      </c>
      <c r="C262" s="502">
        <v>20000</v>
      </c>
      <c r="D262" s="498" t="s">
        <v>252</v>
      </c>
      <c r="E262" s="502">
        <v>12720</v>
      </c>
      <c r="F262" s="147">
        <f>C262-E262</f>
        <v>7280</v>
      </c>
      <c r="G262" s="494" t="s">
        <v>349</v>
      </c>
      <c r="H262" s="494" t="s">
        <v>246</v>
      </c>
      <c r="I262" s="44" t="s">
        <v>92</v>
      </c>
    </row>
    <row r="263" spans="1:9" hidden="1" x14ac:dyDescent="0.2">
      <c r="A263" s="524"/>
      <c r="B263" s="495"/>
      <c r="C263" s="497"/>
      <c r="D263" s="495"/>
      <c r="E263" s="497"/>
      <c r="F263" s="198">
        <v>-7280</v>
      </c>
      <c r="G263" s="495"/>
      <c r="H263" s="495"/>
      <c r="I263" s="44" t="s">
        <v>438</v>
      </c>
    </row>
    <row r="264" spans="1:9" hidden="1" x14ac:dyDescent="0.2">
      <c r="A264" s="504"/>
      <c r="B264" s="520" t="s">
        <v>10</v>
      </c>
      <c r="C264" s="502">
        <v>12000</v>
      </c>
      <c r="D264" s="498" t="s">
        <v>277</v>
      </c>
      <c r="E264" s="502">
        <v>7257</v>
      </c>
      <c r="F264" s="61">
        <f>C264-E264</f>
        <v>4743</v>
      </c>
      <c r="G264" s="494" t="s">
        <v>419</v>
      </c>
      <c r="H264" s="494" t="s">
        <v>284</v>
      </c>
      <c r="I264" s="149" t="s">
        <v>92</v>
      </c>
    </row>
    <row r="265" spans="1:9" hidden="1" x14ac:dyDescent="0.2">
      <c r="A265" s="506"/>
      <c r="B265" s="521"/>
      <c r="C265" s="497"/>
      <c r="D265" s="495"/>
      <c r="E265" s="497"/>
      <c r="F265" s="61">
        <v>-4743</v>
      </c>
      <c r="G265" s="495"/>
      <c r="H265" s="495"/>
      <c r="I265" s="149" t="s">
        <v>99</v>
      </c>
    </row>
    <row r="266" spans="1:9" hidden="1" x14ac:dyDescent="0.2">
      <c r="A266" s="155"/>
      <c r="B266" s="150" t="s">
        <v>18</v>
      </c>
      <c r="C266" s="156">
        <v>8000</v>
      </c>
      <c r="D266" s="56" t="s">
        <v>230</v>
      </c>
      <c r="E266" s="156">
        <v>5581.46</v>
      </c>
      <c r="F266" s="61">
        <f>C266-E266</f>
        <v>2418.54</v>
      </c>
      <c r="G266" s="150" t="s">
        <v>283</v>
      </c>
      <c r="H266" s="150" t="s">
        <v>226</v>
      </c>
      <c r="I266" s="44" t="s">
        <v>93</v>
      </c>
    </row>
    <row r="267" spans="1:9" hidden="1" x14ac:dyDescent="0.2">
      <c r="A267" s="155"/>
      <c r="B267" s="150"/>
      <c r="C267" s="156"/>
      <c r="D267" s="56"/>
      <c r="E267" s="156">
        <v>853.15</v>
      </c>
      <c r="F267" s="61">
        <f>C266-E266-E267</f>
        <v>1565.3899999999999</v>
      </c>
      <c r="G267" s="150" t="s">
        <v>352</v>
      </c>
      <c r="H267" s="150"/>
      <c r="I267" s="44" t="s">
        <v>92</v>
      </c>
    </row>
    <row r="268" spans="1:9" hidden="1" x14ac:dyDescent="0.2">
      <c r="A268" s="155"/>
      <c r="B268" s="150"/>
      <c r="C268" s="156"/>
      <c r="D268" s="56"/>
      <c r="E268" s="156"/>
      <c r="F268" s="156">
        <v>-1565.39</v>
      </c>
      <c r="G268" s="150"/>
      <c r="H268" s="150"/>
      <c r="I268" s="44" t="s">
        <v>99</v>
      </c>
    </row>
    <row r="269" spans="1:9" ht="13.5" hidden="1" thickBot="1" x14ac:dyDescent="0.25">
      <c r="A269" s="29" t="s">
        <v>43</v>
      </c>
      <c r="B269" s="30"/>
      <c r="C269" s="59">
        <f>SUM(C260:C268)</f>
        <v>48000</v>
      </c>
      <c r="D269" s="30"/>
      <c r="E269" s="59">
        <f>SUM(E260:E268)</f>
        <v>34411.61</v>
      </c>
      <c r="F269" s="59">
        <f>SUM(F260:F268)</f>
        <v>2418.54</v>
      </c>
      <c r="G269" s="30"/>
      <c r="H269" s="30"/>
      <c r="I269" s="31"/>
    </row>
    <row r="270" spans="1:9" hidden="1" x14ac:dyDescent="0.2"/>
    <row r="271" spans="1:9" ht="13.5" hidden="1" thickBot="1" x14ac:dyDescent="0.25"/>
    <row r="272" spans="1:9" ht="21" hidden="1" thickBot="1" x14ac:dyDescent="0.25">
      <c r="A272" s="489" t="s">
        <v>125</v>
      </c>
      <c r="B272" s="490"/>
      <c r="C272" s="490"/>
      <c r="D272" s="490"/>
      <c r="E272" s="490"/>
      <c r="F272" s="490"/>
      <c r="G272" s="490"/>
      <c r="H272" s="490"/>
      <c r="I272" s="491"/>
    </row>
    <row r="273" spans="1:9" ht="20.25" hidden="1" x14ac:dyDescent="0.3">
      <c r="A273" s="41"/>
      <c r="B273" s="13" t="s">
        <v>118</v>
      </c>
      <c r="C273" s="13" t="s">
        <v>119</v>
      </c>
      <c r="D273" s="13" t="s">
        <v>120</v>
      </c>
      <c r="E273" s="14"/>
      <c r="F273" s="14"/>
      <c r="G273" s="13"/>
      <c r="H273" s="13"/>
      <c r="I273" s="39"/>
    </row>
    <row r="274" spans="1:9" ht="20.25" hidden="1" x14ac:dyDescent="0.3">
      <c r="A274" s="41" t="s">
        <v>124</v>
      </c>
      <c r="B274" s="18">
        <v>66125</v>
      </c>
      <c r="C274" s="18">
        <v>66125</v>
      </c>
      <c r="D274" s="18">
        <v>143750</v>
      </c>
      <c r="E274" s="161" t="s">
        <v>191</v>
      </c>
      <c r="F274" s="14"/>
      <c r="G274" s="13"/>
      <c r="H274" s="13"/>
      <c r="I274" s="39"/>
    </row>
    <row r="275" spans="1:9" ht="20.25" hidden="1" x14ac:dyDescent="0.3">
      <c r="A275" s="41" t="s">
        <v>36</v>
      </c>
      <c r="B275" s="18">
        <v>0</v>
      </c>
      <c r="C275" s="18">
        <v>66125</v>
      </c>
      <c r="D275" s="18">
        <v>1122.6400000000001</v>
      </c>
      <c r="E275" s="14"/>
      <c r="F275" s="14"/>
      <c r="G275" s="13"/>
      <c r="H275" s="13"/>
      <c r="I275" s="39"/>
    </row>
    <row r="276" spans="1:9" ht="20.25" hidden="1" x14ac:dyDescent="0.3">
      <c r="A276" s="41" t="s">
        <v>121</v>
      </c>
      <c r="B276" s="18">
        <f>SUM(B274:B275)</f>
        <v>66125</v>
      </c>
      <c r="C276" s="18">
        <f>SUM(C274:C275)</f>
        <v>132250</v>
      </c>
      <c r="D276" s="18">
        <f>SUM(D274:D275)</f>
        <v>144872.64000000001</v>
      </c>
      <c r="E276" s="130" t="s">
        <v>107</v>
      </c>
      <c r="F276" s="14"/>
      <c r="G276" s="13"/>
      <c r="H276" s="13"/>
      <c r="I276" s="39"/>
    </row>
    <row r="277" spans="1:9" ht="20.25" hidden="1" x14ac:dyDescent="0.3">
      <c r="A277" s="41" t="s">
        <v>47</v>
      </c>
      <c r="B277" s="18">
        <v>0</v>
      </c>
      <c r="C277" s="18">
        <v>66125</v>
      </c>
      <c r="D277" s="18">
        <v>1122.6400000000001</v>
      </c>
      <c r="E277" s="14"/>
      <c r="F277" s="14"/>
      <c r="G277" s="13"/>
      <c r="H277" s="13"/>
      <c r="I277" s="39"/>
    </row>
    <row r="278" spans="1:9" ht="20.25" hidden="1" x14ac:dyDescent="0.3">
      <c r="A278" s="41" t="s">
        <v>45</v>
      </c>
      <c r="B278" s="18">
        <f>B277+B274</f>
        <v>66125</v>
      </c>
      <c r="C278" s="18">
        <f>C277+C274</f>
        <v>132250</v>
      </c>
      <c r="D278" s="18">
        <f>D277+D274</f>
        <v>144872.64000000001</v>
      </c>
      <c r="E278" s="151" t="s">
        <v>108</v>
      </c>
      <c r="F278" s="14"/>
      <c r="G278" s="13"/>
      <c r="H278" s="13"/>
      <c r="I278" s="39"/>
    </row>
    <row r="279" spans="1:9" ht="20.25" hidden="1" x14ac:dyDescent="0.3">
      <c r="A279" s="41" t="s">
        <v>39</v>
      </c>
      <c r="B279" s="18">
        <f>B276-E284</f>
        <v>0</v>
      </c>
      <c r="C279" s="18">
        <f>C276-E289</f>
        <v>125045.7</v>
      </c>
      <c r="D279" s="18">
        <f>D276-E300</f>
        <v>35321.48000000001</v>
      </c>
      <c r="E279" s="151" t="s">
        <v>109</v>
      </c>
      <c r="F279" s="14"/>
      <c r="G279" s="13"/>
      <c r="H279" s="13"/>
      <c r="I279" s="39"/>
    </row>
    <row r="280" spans="1:9" hidden="1" x14ac:dyDescent="0.2">
      <c r="A280" s="41" t="s">
        <v>35</v>
      </c>
      <c r="B280" s="40">
        <f>B278-E284-F284</f>
        <v>0</v>
      </c>
      <c r="C280" s="40">
        <f>C278-E289-F289</f>
        <v>125045.7</v>
      </c>
      <c r="D280" s="47">
        <f>D278-E300-F300</f>
        <v>32902.94000000001</v>
      </c>
      <c r="E280" s="493" t="s">
        <v>110</v>
      </c>
      <c r="F280" s="503"/>
      <c r="G280" s="503"/>
      <c r="H280" s="503"/>
      <c r="I280" s="39"/>
    </row>
    <row r="281" spans="1:9" ht="21" hidden="1" thickBot="1" x14ac:dyDescent="0.35">
      <c r="A281" s="41"/>
      <c r="B281" s="13"/>
      <c r="C281" s="13"/>
      <c r="D281" s="13"/>
      <c r="E281" s="14"/>
      <c r="F281" s="14"/>
      <c r="G281" s="13"/>
      <c r="H281" s="13"/>
      <c r="I281" s="39"/>
    </row>
    <row r="282" spans="1:9" ht="25.5" hidden="1" x14ac:dyDescent="0.2">
      <c r="A282" s="19" t="s">
        <v>41</v>
      </c>
      <c r="B282" s="20" t="s">
        <v>34</v>
      </c>
      <c r="C282" s="20" t="s">
        <v>64</v>
      </c>
      <c r="D282" s="20" t="s">
        <v>63</v>
      </c>
      <c r="E282" s="20" t="s">
        <v>37</v>
      </c>
      <c r="F282" s="20" t="s">
        <v>48</v>
      </c>
      <c r="G282" s="20" t="s">
        <v>40</v>
      </c>
      <c r="H282" s="20" t="s">
        <v>38</v>
      </c>
      <c r="I282" s="21" t="s">
        <v>5</v>
      </c>
    </row>
    <row r="283" spans="1:9" hidden="1" x14ac:dyDescent="0.2">
      <c r="A283" s="22" t="s">
        <v>10</v>
      </c>
      <c r="B283" s="23" t="s">
        <v>10</v>
      </c>
      <c r="C283" s="60">
        <v>66125</v>
      </c>
      <c r="D283" s="53">
        <v>42006</v>
      </c>
      <c r="E283" s="60">
        <v>66125</v>
      </c>
      <c r="F283" s="60">
        <f>IF(E283="",C283,0)</f>
        <v>0</v>
      </c>
      <c r="G283" s="23" t="s">
        <v>175</v>
      </c>
      <c r="H283" s="23" t="s">
        <v>136</v>
      </c>
      <c r="I283" s="24"/>
    </row>
    <row r="284" spans="1:9" hidden="1" x14ac:dyDescent="0.2">
      <c r="A284" s="25" t="s">
        <v>43</v>
      </c>
      <c r="B284" s="26"/>
      <c r="C284" s="64">
        <f>C283</f>
        <v>66125</v>
      </c>
      <c r="D284" s="26"/>
      <c r="E284" s="64">
        <f>E283</f>
        <v>66125</v>
      </c>
      <c r="F284" s="64">
        <f>F283</f>
        <v>0</v>
      </c>
      <c r="G284" s="26"/>
      <c r="H284" s="26"/>
      <c r="I284" s="27"/>
    </row>
    <row r="285" spans="1:9" hidden="1" x14ac:dyDescent="0.2">
      <c r="A285" s="34"/>
      <c r="B285" s="34"/>
      <c r="C285" s="62"/>
      <c r="D285" s="34"/>
      <c r="E285" s="62"/>
      <c r="F285" s="62"/>
      <c r="G285" s="34"/>
      <c r="H285" s="34"/>
      <c r="I285" s="34"/>
    </row>
    <row r="286" spans="1:9" hidden="1" x14ac:dyDescent="0.2">
      <c r="A286" s="25" t="s">
        <v>44</v>
      </c>
      <c r="B286" s="26" t="s">
        <v>18</v>
      </c>
      <c r="C286" s="61">
        <v>7204.3</v>
      </c>
      <c r="D286" s="58">
        <v>42425</v>
      </c>
      <c r="E286" s="61">
        <v>7204.3</v>
      </c>
      <c r="F286" s="61"/>
      <c r="G286" s="26"/>
      <c r="H286" s="26" t="s">
        <v>257</v>
      </c>
      <c r="I286" s="84"/>
    </row>
    <row r="287" spans="1:9" hidden="1" x14ac:dyDescent="0.2">
      <c r="A287" s="25"/>
      <c r="B287" s="26"/>
      <c r="C287" s="61"/>
      <c r="D287" s="58"/>
      <c r="E287" s="61"/>
      <c r="F287" s="61"/>
      <c r="G287" s="26"/>
      <c r="H287" s="26"/>
      <c r="I287" s="27"/>
    </row>
    <row r="288" spans="1:9" hidden="1" x14ac:dyDescent="0.2">
      <c r="A288" s="25"/>
      <c r="B288" s="26"/>
      <c r="C288" s="61"/>
      <c r="D288" s="54"/>
      <c r="E288" s="61"/>
      <c r="F288" s="61">
        <f>IF(E288="",C288,0)</f>
        <v>0</v>
      </c>
      <c r="G288" s="26"/>
      <c r="H288" s="26"/>
      <c r="I288" s="27"/>
    </row>
    <row r="289" spans="1:14" hidden="1" x14ac:dyDescent="0.2">
      <c r="A289" s="25" t="s">
        <v>43</v>
      </c>
      <c r="B289" s="26"/>
      <c r="C289" s="63">
        <f>C286</f>
        <v>7204.3</v>
      </c>
      <c r="D289" s="26"/>
      <c r="E289" s="63">
        <f>E286</f>
        <v>7204.3</v>
      </c>
      <c r="F289" s="63">
        <f>SUM(F286:F288)</f>
        <v>0</v>
      </c>
      <c r="G289" s="26"/>
      <c r="H289" s="26"/>
      <c r="I289" s="27"/>
    </row>
    <row r="290" spans="1:14" hidden="1" x14ac:dyDescent="0.2">
      <c r="A290" s="34"/>
      <c r="B290" s="34"/>
      <c r="C290" s="62"/>
      <c r="D290" s="34"/>
      <c r="E290" s="62"/>
      <c r="F290" s="62"/>
      <c r="G290" s="34"/>
      <c r="H290" s="34"/>
      <c r="I290" s="34"/>
    </row>
    <row r="291" spans="1:14" hidden="1" x14ac:dyDescent="0.2">
      <c r="A291" s="25" t="s">
        <v>42</v>
      </c>
      <c r="B291" s="140"/>
      <c r="C291" s="147"/>
      <c r="D291" s="141"/>
      <c r="E291" s="147"/>
      <c r="F291" s="61">
        <f>C291-E291</f>
        <v>0</v>
      </c>
      <c r="G291" s="140"/>
      <c r="H291" s="26"/>
      <c r="I291" s="45"/>
    </row>
    <row r="292" spans="1:14" hidden="1" x14ac:dyDescent="0.2">
      <c r="A292" s="155"/>
      <c r="B292" s="150" t="s">
        <v>10</v>
      </c>
      <c r="C292" s="156">
        <v>15220</v>
      </c>
      <c r="D292" s="56" t="s">
        <v>149</v>
      </c>
      <c r="E292" s="86">
        <v>15220</v>
      </c>
      <c r="F292" s="61">
        <f>C292-E292</f>
        <v>0</v>
      </c>
      <c r="G292" s="150" t="s">
        <v>166</v>
      </c>
      <c r="H292" s="150" t="s">
        <v>116</v>
      </c>
      <c r="I292" s="96"/>
    </row>
    <row r="293" spans="1:14" hidden="1" x14ac:dyDescent="0.2">
      <c r="A293" s="155"/>
      <c r="B293" s="150" t="s">
        <v>10</v>
      </c>
      <c r="C293" s="156">
        <v>8000</v>
      </c>
      <c r="D293" s="56" t="s">
        <v>148</v>
      </c>
      <c r="E293" s="156">
        <v>8000</v>
      </c>
      <c r="F293" s="61">
        <f>C293-E293</f>
        <v>0</v>
      </c>
      <c r="G293" s="150" t="s">
        <v>183</v>
      </c>
      <c r="H293" s="150" t="s">
        <v>106</v>
      </c>
      <c r="I293" s="44"/>
    </row>
    <row r="294" spans="1:14" hidden="1" x14ac:dyDescent="0.2">
      <c r="A294" s="155"/>
      <c r="B294" s="150" t="s">
        <v>10</v>
      </c>
      <c r="C294" s="156">
        <v>9840</v>
      </c>
      <c r="D294" s="56" t="s">
        <v>155</v>
      </c>
      <c r="E294" s="156">
        <v>9840</v>
      </c>
      <c r="F294" s="61">
        <f>C294-E294</f>
        <v>0</v>
      </c>
      <c r="G294" s="150" t="s">
        <v>181</v>
      </c>
      <c r="H294" s="150" t="s">
        <v>156</v>
      </c>
      <c r="I294" s="83"/>
    </row>
    <row r="295" spans="1:14" hidden="1" x14ac:dyDescent="0.2">
      <c r="A295" s="155"/>
      <c r="B295" s="494" t="s">
        <v>18</v>
      </c>
      <c r="C295" s="502">
        <v>23928</v>
      </c>
      <c r="D295" s="498" t="s">
        <v>182</v>
      </c>
      <c r="E295" s="502">
        <v>23731.16</v>
      </c>
      <c r="F295" s="61">
        <f>C295-E295</f>
        <v>196.84000000000015</v>
      </c>
      <c r="G295" s="494" t="s">
        <v>260</v>
      </c>
      <c r="H295" s="494" t="s">
        <v>178</v>
      </c>
      <c r="I295" s="44" t="s">
        <v>100</v>
      </c>
    </row>
    <row r="296" spans="1:14" hidden="1" x14ac:dyDescent="0.2">
      <c r="A296" s="155"/>
      <c r="B296" s="495"/>
      <c r="C296" s="497"/>
      <c r="D296" s="495"/>
      <c r="E296" s="497"/>
      <c r="F296" s="61">
        <v>-196.84</v>
      </c>
      <c r="G296" s="495"/>
      <c r="H296" s="495"/>
      <c r="I296" s="44" t="s">
        <v>84</v>
      </c>
    </row>
    <row r="297" spans="1:14" hidden="1" x14ac:dyDescent="0.2">
      <c r="A297" s="155"/>
      <c r="B297" s="150" t="s">
        <v>10</v>
      </c>
      <c r="C297" s="156">
        <v>39000</v>
      </c>
      <c r="D297" s="56" t="s">
        <v>194</v>
      </c>
      <c r="E297" s="156">
        <v>39000</v>
      </c>
      <c r="F297" s="61">
        <f>C297-E297</f>
        <v>0</v>
      </c>
      <c r="G297" s="150" t="s">
        <v>205</v>
      </c>
      <c r="H297" s="150" t="s">
        <v>178</v>
      </c>
      <c r="I297" s="44"/>
    </row>
    <row r="298" spans="1:14" hidden="1" x14ac:dyDescent="0.2">
      <c r="A298" s="155"/>
      <c r="B298" s="150" t="s">
        <v>18</v>
      </c>
      <c r="C298" s="156">
        <v>13760</v>
      </c>
      <c r="D298" s="56" t="s">
        <v>229</v>
      </c>
      <c r="E298" s="156">
        <v>13760</v>
      </c>
      <c r="F298" s="156">
        <f>C298-E298</f>
        <v>0</v>
      </c>
      <c r="G298" s="150" t="s">
        <v>233</v>
      </c>
      <c r="H298" s="150" t="s">
        <v>105</v>
      </c>
      <c r="I298" s="44"/>
    </row>
    <row r="299" spans="1:14" hidden="1" x14ac:dyDescent="0.2">
      <c r="A299" s="155"/>
      <c r="B299" s="150" t="s">
        <v>18</v>
      </c>
      <c r="C299" s="156">
        <v>8000</v>
      </c>
      <c r="D299" s="56" t="s">
        <v>230</v>
      </c>
      <c r="E299" s="156">
        <v>5581.46</v>
      </c>
      <c r="F299" s="156">
        <f>8000-E299</f>
        <v>2418.54</v>
      </c>
      <c r="G299" s="150" t="s">
        <v>280</v>
      </c>
      <c r="H299" s="150" t="s">
        <v>225</v>
      </c>
      <c r="I299" s="44" t="s">
        <v>91</v>
      </c>
    </row>
    <row r="300" spans="1:14" ht="13.5" hidden="1" thickBot="1" x14ac:dyDescent="0.25">
      <c r="A300" s="29" t="s">
        <v>43</v>
      </c>
      <c r="B300" s="30"/>
      <c r="C300" s="59">
        <f>SUM(C291:C299)</f>
        <v>117748</v>
      </c>
      <c r="D300" s="30"/>
      <c r="E300" s="59">
        <f>SUM(E291:E298)</f>
        <v>109551.16</v>
      </c>
      <c r="F300" s="59">
        <f>SUM(F291:F299)</f>
        <v>2418.54</v>
      </c>
      <c r="G300" s="30"/>
      <c r="H300" s="30"/>
      <c r="I300" s="31"/>
    </row>
    <row r="302" spans="1:14" ht="18.75" customHeight="1" x14ac:dyDescent="0.3">
      <c r="A302" s="11"/>
      <c r="B302" s="11"/>
      <c r="C302" s="11"/>
      <c r="D302" s="11"/>
      <c r="E302" s="11"/>
      <c r="F302" s="11"/>
      <c r="G302" s="11"/>
      <c r="H302" s="11"/>
      <c r="I302" s="11"/>
      <c r="K302" s="9"/>
      <c r="L302" s="9"/>
      <c r="M302" s="9"/>
      <c r="N302" s="9"/>
    </row>
  </sheetData>
  <mergeCells count="46">
    <mergeCell ref="A2:I2"/>
    <mergeCell ref="H295:H296"/>
    <mergeCell ref="H262:H263"/>
    <mergeCell ref="E262:E263"/>
    <mergeCell ref="D262:D263"/>
    <mergeCell ref="C264:C265"/>
    <mergeCell ref="G264:G265"/>
    <mergeCell ref="C262:C263"/>
    <mergeCell ref="H264:H265"/>
    <mergeCell ref="A272:I272"/>
    <mergeCell ref="B295:B296"/>
    <mergeCell ref="G295:G296"/>
    <mergeCell ref="E295:E296"/>
    <mergeCell ref="D295:D296"/>
    <mergeCell ref="C295:C296"/>
    <mergeCell ref="E280:H280"/>
    <mergeCell ref="A262:A263"/>
    <mergeCell ref="E264:E265"/>
    <mergeCell ref="B262:B263"/>
    <mergeCell ref="G262:G263"/>
    <mergeCell ref="D264:D265"/>
    <mergeCell ref="A264:A265"/>
    <mergeCell ref="B264:B265"/>
    <mergeCell ref="E249:H249"/>
    <mergeCell ref="B234:B236"/>
    <mergeCell ref="C234:C236"/>
    <mergeCell ref="D234:D236"/>
    <mergeCell ref="E235:E236"/>
    <mergeCell ref="G235:G236"/>
    <mergeCell ref="H234:H236"/>
    <mergeCell ref="E216:H216"/>
    <mergeCell ref="G227:G228"/>
    <mergeCell ref="A176:I176"/>
    <mergeCell ref="E184:H184"/>
    <mergeCell ref="A241:I241"/>
    <mergeCell ref="A115:I115"/>
    <mergeCell ref="E123:H123"/>
    <mergeCell ref="A147:I147"/>
    <mergeCell ref="E155:H155"/>
    <mergeCell ref="A208:I208"/>
    <mergeCell ref="A35:I35"/>
    <mergeCell ref="A68:I68"/>
    <mergeCell ref="E76:H76"/>
    <mergeCell ref="A93:I93"/>
    <mergeCell ref="E101:H101"/>
    <mergeCell ref="G86:G87"/>
  </mergeCells>
  <phoneticPr fontId="7" type="noConversion"/>
  <pageMargins left="0.69" right="0.28999999999999998" top="0.48" bottom="0.44" header="0.5" footer="0.5"/>
  <pageSetup scale="68" orientation="landscape" r:id="rId1"/>
  <headerFooter alignWithMargins="0">
    <oddFooter>&amp;CCurrent as of &amp;D</oddFooter>
  </headerFooter>
  <rowBreaks count="4" manualBreakCount="4">
    <brk id="174" max="16383" man="1"/>
    <brk id="206" max="16383" man="1"/>
    <brk id="239" max="16383" man="1"/>
    <brk id="270"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0"/>
  <sheetViews>
    <sheetView showGridLines="0" zoomScaleNormal="100" zoomScaleSheetLayoutView="75" workbookViewId="0">
      <selection activeCell="I7" sqref="I7"/>
    </sheetView>
  </sheetViews>
  <sheetFormatPr defaultRowHeight="12.75" x14ac:dyDescent="0.2"/>
  <cols>
    <col min="1" max="1" width="22.28515625" bestFit="1" customWidth="1"/>
    <col min="2" max="2" width="10.85546875" bestFit="1" customWidth="1"/>
    <col min="3" max="3" width="17" customWidth="1"/>
    <col min="4" max="4" width="12.85546875" customWidth="1"/>
    <col min="5" max="5" width="17.7109375" bestFit="1" customWidth="1"/>
    <col min="6" max="6" width="15.85546875" customWidth="1"/>
    <col min="7" max="7" width="14.28515625" customWidth="1"/>
    <col min="8" max="8" width="11" customWidth="1"/>
    <col min="9" max="9" width="32.28515625" customWidth="1"/>
    <col min="10" max="10" width="23" customWidth="1"/>
  </cols>
  <sheetData>
    <row r="1" spans="1:9" ht="13.5" thickBot="1" x14ac:dyDescent="0.25"/>
    <row r="2" spans="1:9" ht="21" thickBot="1" x14ac:dyDescent="0.25">
      <c r="A2" s="489" t="s">
        <v>1146</v>
      </c>
      <c r="B2" s="490"/>
      <c r="C2" s="490"/>
      <c r="D2" s="490"/>
      <c r="E2" s="490"/>
      <c r="F2" s="490"/>
      <c r="G2" s="490"/>
      <c r="H2" s="490"/>
      <c r="I2" s="491"/>
    </row>
    <row r="3" spans="1:9" ht="20.25" x14ac:dyDescent="0.3">
      <c r="A3" s="41"/>
      <c r="B3" s="13" t="s">
        <v>1140</v>
      </c>
      <c r="C3" s="13" t="s">
        <v>1141</v>
      </c>
      <c r="D3" s="13" t="s">
        <v>1142</v>
      </c>
      <c r="E3" s="13" t="s">
        <v>1143</v>
      </c>
      <c r="F3" s="14"/>
      <c r="G3" s="13"/>
      <c r="H3" s="13"/>
      <c r="I3" s="39"/>
    </row>
    <row r="4" spans="1:9" x14ac:dyDescent="0.2">
      <c r="A4" s="41" t="s">
        <v>992</v>
      </c>
      <c r="B4" s="18">
        <f>B32+(B32*0.03)</f>
        <v>46787.75</v>
      </c>
      <c r="C4" s="18">
        <v>42713</v>
      </c>
      <c r="D4" s="18">
        <f>D32+(D32*0.03)</f>
        <v>40865.25</v>
      </c>
      <c r="E4" s="18">
        <v>2500</v>
      </c>
      <c r="F4" s="151" t="s">
        <v>972</v>
      </c>
      <c r="G4" s="13"/>
      <c r="H4" s="13"/>
      <c r="I4" s="161" t="s">
        <v>973</v>
      </c>
    </row>
    <row r="5" spans="1:9" ht="20.25" x14ac:dyDescent="0.3">
      <c r="A5" s="41" t="s">
        <v>36</v>
      </c>
      <c r="B5" s="18">
        <f>IF(B38&gt;B4,B4,B38)</f>
        <v>0</v>
      </c>
      <c r="C5" s="18">
        <f>IF(C37&gt;C4,C4,C37)</f>
        <v>42713</v>
      </c>
      <c r="D5" s="18">
        <f>IF(D37&gt;D4,D4,D37)</f>
        <v>16350</v>
      </c>
      <c r="E5" s="18">
        <v>0</v>
      </c>
      <c r="F5" s="14"/>
      <c r="G5" s="13"/>
      <c r="H5" s="13"/>
      <c r="I5" s="39"/>
    </row>
    <row r="6" spans="1:9" x14ac:dyDescent="0.2">
      <c r="A6" s="41" t="s">
        <v>993</v>
      </c>
      <c r="B6" s="18">
        <f>SUM(B4:B5)</f>
        <v>46787.75</v>
      </c>
      <c r="C6" s="18">
        <f>SUM(C4:C5)</f>
        <v>85426</v>
      </c>
      <c r="D6" s="18">
        <f>SUM(D4:D5)</f>
        <v>57215.25</v>
      </c>
      <c r="E6" s="18">
        <f>SUM(E4:E5)</f>
        <v>2500</v>
      </c>
      <c r="F6" s="130" t="s">
        <v>107</v>
      </c>
      <c r="G6" s="13"/>
      <c r="H6" s="13"/>
      <c r="I6" s="39"/>
    </row>
    <row r="7" spans="1:9" ht="20.25" x14ac:dyDescent="0.3">
      <c r="A7" s="41" t="s">
        <v>47</v>
      </c>
      <c r="B7" s="18">
        <f>B38</f>
        <v>0</v>
      </c>
      <c r="C7" s="18">
        <f>IF(C38&gt;C4,C4,C38)</f>
        <v>42713</v>
      </c>
      <c r="D7" s="18">
        <f>IF(OR(D38&gt;=D4,D38&lt;D4),D38,D4)</f>
        <v>16350</v>
      </c>
      <c r="E7" s="18">
        <v>0</v>
      </c>
      <c r="F7" s="14"/>
      <c r="G7" s="13"/>
      <c r="H7" s="13"/>
      <c r="I7" s="39"/>
    </row>
    <row r="8" spans="1:9" x14ac:dyDescent="0.2">
      <c r="A8" s="41" t="s">
        <v>479</v>
      </c>
      <c r="B8" s="18">
        <f>B7+B4</f>
        <v>46787.75</v>
      </c>
      <c r="C8" s="18">
        <f>C4+C7</f>
        <v>85426</v>
      </c>
      <c r="D8" s="18">
        <f>D7+D4</f>
        <v>57215.25</v>
      </c>
      <c r="E8" s="18">
        <f>E7+E4</f>
        <v>2500</v>
      </c>
      <c r="F8" s="151" t="s">
        <v>108</v>
      </c>
      <c r="G8" s="13"/>
      <c r="H8" s="13"/>
      <c r="I8" s="39"/>
    </row>
    <row r="9" spans="1:9" x14ac:dyDescent="0.2">
      <c r="A9" s="41" t="s">
        <v>39</v>
      </c>
      <c r="B9" s="18">
        <f>B6-E14</f>
        <v>0</v>
      </c>
      <c r="C9" s="18">
        <f>C6-E19</f>
        <v>85426</v>
      </c>
      <c r="D9" s="18">
        <f>D6-E24-F24</f>
        <v>57215.25</v>
      </c>
      <c r="E9" s="18">
        <f>E6-E28</f>
        <v>2500</v>
      </c>
      <c r="F9" s="151" t="s">
        <v>109</v>
      </c>
      <c r="G9" s="13"/>
      <c r="H9" s="13"/>
      <c r="I9" s="39"/>
    </row>
    <row r="10" spans="1:9" x14ac:dyDescent="0.2">
      <c r="A10" s="41" t="s">
        <v>132</v>
      </c>
      <c r="B10" s="40">
        <f>B8-E14-F14</f>
        <v>0</v>
      </c>
      <c r="C10" s="40">
        <f>C8-E19-F19</f>
        <v>85426</v>
      </c>
      <c r="D10" s="47">
        <f>D8-E24-F24</f>
        <v>57215.25</v>
      </c>
      <c r="E10" s="47">
        <f>E8-E28-F28</f>
        <v>2500</v>
      </c>
      <c r="F10" s="151" t="s">
        <v>110</v>
      </c>
      <c r="G10" s="145"/>
      <c r="H10" s="145"/>
      <c r="I10" s="145"/>
    </row>
    <row r="11" spans="1:9" ht="21" thickBot="1" x14ac:dyDescent="0.35">
      <c r="A11" s="41"/>
      <c r="B11" s="13"/>
      <c r="C11" s="13"/>
      <c r="D11" s="13"/>
      <c r="E11" s="14"/>
      <c r="F11" s="14"/>
      <c r="G11" s="13"/>
      <c r="H11" s="13"/>
      <c r="I11" s="39"/>
    </row>
    <row r="12" spans="1:9" ht="51" x14ac:dyDescent="0.2">
      <c r="A12" s="19" t="s">
        <v>41</v>
      </c>
      <c r="B12" s="20" t="s">
        <v>34</v>
      </c>
      <c r="C12" s="20" t="s">
        <v>64</v>
      </c>
      <c r="D12" s="20" t="s">
        <v>63</v>
      </c>
      <c r="E12" s="20" t="s">
        <v>37</v>
      </c>
      <c r="F12" s="20" t="s">
        <v>48</v>
      </c>
      <c r="G12" s="20" t="s">
        <v>40</v>
      </c>
      <c r="H12" s="20" t="s">
        <v>38</v>
      </c>
      <c r="I12" s="21" t="s">
        <v>5</v>
      </c>
    </row>
    <row r="13" spans="1:9" x14ac:dyDescent="0.2">
      <c r="A13" s="22" t="s">
        <v>10</v>
      </c>
      <c r="B13" s="23" t="s">
        <v>10</v>
      </c>
      <c r="C13" s="60">
        <v>46787.75</v>
      </c>
      <c r="D13" s="53">
        <v>45299</v>
      </c>
      <c r="E13" s="60">
        <v>46787.75</v>
      </c>
      <c r="F13" s="60"/>
      <c r="G13" s="52" t="s">
        <v>1158</v>
      </c>
      <c r="H13" s="23" t="s">
        <v>974</v>
      </c>
      <c r="I13" s="24"/>
    </row>
    <row r="14" spans="1:9" x14ac:dyDescent="0.2">
      <c r="A14" s="25" t="s">
        <v>43</v>
      </c>
      <c r="B14" s="26"/>
      <c r="C14" s="64">
        <f>C13</f>
        <v>46787.75</v>
      </c>
      <c r="D14" s="58"/>
      <c r="E14" s="64">
        <f>E13</f>
        <v>46787.75</v>
      </c>
      <c r="F14" s="64">
        <f>F13</f>
        <v>0</v>
      </c>
      <c r="G14" s="26"/>
      <c r="H14" s="26"/>
      <c r="I14" s="27"/>
    </row>
    <row r="15" spans="1:9" x14ac:dyDescent="0.2">
      <c r="A15" s="34"/>
      <c r="B15" s="34"/>
      <c r="C15" s="62"/>
      <c r="D15" s="128"/>
      <c r="E15" s="62"/>
      <c r="F15" s="62"/>
      <c r="G15" s="34"/>
      <c r="H15" s="34"/>
      <c r="I15" s="34"/>
    </row>
    <row r="16" spans="1:9" x14ac:dyDescent="0.2">
      <c r="A16" s="25" t="s">
        <v>44</v>
      </c>
      <c r="B16" s="228"/>
      <c r="C16" s="156"/>
      <c r="D16" s="56"/>
      <c r="E16" s="156"/>
      <c r="F16" s="156"/>
      <c r="G16" s="26"/>
      <c r="H16" s="26"/>
      <c r="I16" s="89"/>
    </row>
    <row r="17" spans="1:9" x14ac:dyDescent="0.2">
      <c r="A17" s="25"/>
      <c r="B17" s="340"/>
      <c r="C17" s="61"/>
      <c r="D17" s="341"/>
      <c r="E17" s="61"/>
      <c r="F17" s="156"/>
      <c r="G17" s="26"/>
      <c r="H17" s="26"/>
      <c r="I17" s="89"/>
    </row>
    <row r="18" spans="1:9" x14ac:dyDescent="0.2">
      <c r="A18" s="25"/>
      <c r="B18" s="340"/>
      <c r="C18" s="61"/>
      <c r="D18" s="341"/>
      <c r="E18" s="291"/>
      <c r="F18" s="156"/>
      <c r="G18" s="26"/>
      <c r="H18" s="26"/>
      <c r="I18" s="89"/>
    </row>
    <row r="19" spans="1:9" x14ac:dyDescent="0.2">
      <c r="A19" s="25" t="s">
        <v>43</v>
      </c>
      <c r="B19" s="26"/>
      <c r="C19" s="342">
        <f>C16+C17</f>
        <v>0</v>
      </c>
      <c r="D19" s="58"/>
      <c r="E19" s="63">
        <f>E16+E17</f>
        <v>0</v>
      </c>
      <c r="F19" s="63">
        <f>F16</f>
        <v>0</v>
      </c>
      <c r="G19" s="26"/>
      <c r="H19" s="26"/>
      <c r="I19" s="27"/>
    </row>
    <row r="20" spans="1:9" x14ac:dyDescent="0.2">
      <c r="A20" s="34"/>
      <c r="B20" s="34"/>
      <c r="C20" s="62"/>
      <c r="D20" s="128"/>
      <c r="E20" s="62"/>
      <c r="F20" s="62"/>
      <c r="G20" s="34"/>
      <c r="H20" s="34"/>
      <c r="I20" s="34"/>
    </row>
    <row r="21" spans="1:9" x14ac:dyDescent="0.2">
      <c r="A21" s="155" t="s">
        <v>42</v>
      </c>
      <c r="B21" s="154"/>
      <c r="C21" s="156"/>
      <c r="D21" s="56"/>
      <c r="E21" s="156"/>
      <c r="F21" s="156"/>
      <c r="G21" s="150"/>
      <c r="H21" s="150"/>
      <c r="I21" s="44"/>
    </row>
    <row r="22" spans="1:9" x14ac:dyDescent="0.2">
      <c r="A22" s="155"/>
      <c r="B22" s="154"/>
      <c r="C22" s="156"/>
      <c r="D22" s="56"/>
      <c r="E22" s="156"/>
      <c r="F22" s="156"/>
      <c r="G22" s="150"/>
      <c r="H22" s="150"/>
      <c r="I22" s="44"/>
    </row>
    <row r="23" spans="1:9" x14ac:dyDescent="0.2">
      <c r="A23" s="155"/>
      <c r="B23" s="154"/>
      <c r="C23" s="156"/>
      <c r="D23" s="56"/>
      <c r="E23" s="156"/>
      <c r="F23" s="156"/>
      <c r="G23" s="150"/>
      <c r="H23" s="150"/>
      <c r="I23" s="44"/>
    </row>
    <row r="24" spans="1:9" x14ac:dyDescent="0.2">
      <c r="A24" s="155" t="s">
        <v>43</v>
      </c>
      <c r="B24" s="154"/>
      <c r="C24" s="330">
        <f>SUM(C21:C23)</f>
        <v>0</v>
      </c>
      <c r="D24" s="56"/>
      <c r="E24" s="330">
        <f>SUM(E21:E23)</f>
        <v>0</v>
      </c>
      <c r="F24" s="330">
        <f>SUM(F21:F23)</f>
        <v>0</v>
      </c>
      <c r="G24" s="150"/>
      <c r="H24" s="150"/>
      <c r="I24" s="44"/>
    </row>
    <row r="25" spans="1:9" x14ac:dyDescent="0.2">
      <c r="A25" s="334"/>
      <c r="B25" s="338"/>
      <c r="C25" s="335"/>
      <c r="D25" s="320"/>
      <c r="E25" s="335"/>
      <c r="F25" s="335"/>
      <c r="G25" s="318"/>
      <c r="H25" s="318"/>
      <c r="I25" s="339"/>
    </row>
    <row r="26" spans="1:9" x14ac:dyDescent="0.2">
      <c r="A26" s="155" t="s">
        <v>975</v>
      </c>
      <c r="B26" s="154"/>
      <c r="C26" s="156"/>
      <c r="D26" s="56"/>
      <c r="E26" s="156"/>
      <c r="F26" s="156"/>
      <c r="G26" s="150"/>
      <c r="H26" s="150"/>
      <c r="I26" s="44"/>
    </row>
    <row r="27" spans="1:9" x14ac:dyDescent="0.2">
      <c r="A27" s="155"/>
      <c r="B27" s="150"/>
      <c r="C27" s="156"/>
      <c r="D27" s="56"/>
      <c r="E27" s="156"/>
      <c r="F27" s="61"/>
      <c r="G27" s="150"/>
      <c r="H27" s="150"/>
      <c r="I27" s="44"/>
    </row>
    <row r="28" spans="1:9" ht="13.5" thickBot="1" x14ac:dyDescent="0.25">
      <c r="A28" s="29" t="s">
        <v>43</v>
      </c>
      <c r="B28" s="30"/>
      <c r="C28" s="59">
        <f>SUM(C26:C27)</f>
        <v>0</v>
      </c>
      <c r="D28" s="129"/>
      <c r="E28" s="59">
        <f>SUM(E25:E27)</f>
        <v>0</v>
      </c>
      <c r="F28" s="59">
        <f>SUM(F26:F27)</f>
        <v>0</v>
      </c>
      <c r="G28" s="30"/>
      <c r="H28" s="30"/>
      <c r="I28" s="31"/>
    </row>
    <row r="29" spans="1:9" ht="13.5" thickBot="1" x14ac:dyDescent="0.25"/>
    <row r="30" spans="1:9" ht="21" thickBot="1" x14ac:dyDescent="0.25">
      <c r="A30" s="489" t="s">
        <v>977</v>
      </c>
      <c r="B30" s="490"/>
      <c r="C30" s="490"/>
      <c r="D30" s="490"/>
      <c r="E30" s="490"/>
      <c r="F30" s="490"/>
      <c r="G30" s="490"/>
      <c r="H30" s="490"/>
      <c r="I30" s="491"/>
    </row>
    <row r="31" spans="1:9" ht="20.25" x14ac:dyDescent="0.3">
      <c r="A31" s="41"/>
      <c r="B31" s="13" t="s">
        <v>964</v>
      </c>
      <c r="C31" s="13" t="s">
        <v>965</v>
      </c>
      <c r="D31" s="13" t="s">
        <v>966</v>
      </c>
      <c r="E31" s="13" t="s">
        <v>967</v>
      </c>
      <c r="F31" s="14"/>
      <c r="G31" s="13"/>
      <c r="H31" s="13"/>
      <c r="I31" s="39"/>
    </row>
    <row r="32" spans="1:9" x14ac:dyDescent="0.2">
      <c r="A32" s="41" t="s">
        <v>971</v>
      </c>
      <c r="B32" s="18">
        <v>45425</v>
      </c>
      <c r="C32" s="18">
        <v>42713</v>
      </c>
      <c r="D32" s="18">
        <v>39675</v>
      </c>
      <c r="E32" s="18">
        <v>2500</v>
      </c>
      <c r="F32" s="151" t="s">
        <v>972</v>
      </c>
      <c r="G32" s="13"/>
      <c r="H32" s="13"/>
      <c r="I32" s="161" t="s">
        <v>973</v>
      </c>
    </row>
    <row r="33" spans="1:9" ht="20.25" x14ac:dyDescent="0.3">
      <c r="A33" s="41" t="s">
        <v>36</v>
      </c>
      <c r="B33" s="18">
        <f>IF(B66&gt;B32,B32,B66)</f>
        <v>0</v>
      </c>
      <c r="C33" s="18">
        <f>IF(C65&gt;C32,C32,C65)</f>
        <v>42713</v>
      </c>
      <c r="D33" s="18">
        <f>IF(D65&gt;2,D32,D65)</f>
        <v>39675</v>
      </c>
      <c r="E33" s="18">
        <v>0</v>
      </c>
      <c r="F33" s="14"/>
      <c r="G33" s="13"/>
      <c r="H33" s="13"/>
      <c r="I33" s="39"/>
    </row>
    <row r="34" spans="1:9" x14ac:dyDescent="0.2">
      <c r="A34" s="41" t="s">
        <v>969</v>
      </c>
      <c r="B34" s="18">
        <f>SUM(B32:B33)</f>
        <v>45425</v>
      </c>
      <c r="C34" s="18">
        <f>SUM(C32:C33)</f>
        <v>85426</v>
      </c>
      <c r="D34" s="18">
        <f>SUM(D32:D33)</f>
        <v>79350</v>
      </c>
      <c r="E34" s="18">
        <f>SUM(E32:E33)</f>
        <v>2500</v>
      </c>
      <c r="F34" s="130" t="s">
        <v>107</v>
      </c>
      <c r="G34" s="13"/>
      <c r="H34" s="13"/>
      <c r="I34" s="39"/>
    </row>
    <row r="35" spans="1:9" ht="20.25" x14ac:dyDescent="0.3">
      <c r="A35" s="41" t="s">
        <v>47</v>
      </c>
      <c r="B35" s="18">
        <f>B66</f>
        <v>0</v>
      </c>
      <c r="C35" s="18">
        <f>IF(C66&gt;C32,C32,C66)</f>
        <v>42713</v>
      </c>
      <c r="D35" s="18">
        <f>IF(D66&lt;=D32,D66,D32)</f>
        <v>39675</v>
      </c>
      <c r="E35" s="18">
        <v>0</v>
      </c>
      <c r="F35" s="14"/>
      <c r="G35" s="13"/>
      <c r="H35" s="13"/>
      <c r="I35" s="39"/>
    </row>
    <row r="36" spans="1:9" x14ac:dyDescent="0.2">
      <c r="A36" s="41" t="s">
        <v>479</v>
      </c>
      <c r="B36" s="18">
        <f>B35+B32</f>
        <v>45425</v>
      </c>
      <c r="C36" s="18">
        <f>C32+C35</f>
        <v>85426</v>
      </c>
      <c r="D36" s="18">
        <f>D35+D32</f>
        <v>79350</v>
      </c>
      <c r="E36" s="18">
        <f>E35+E32</f>
        <v>2500</v>
      </c>
      <c r="F36" s="151" t="s">
        <v>108</v>
      </c>
      <c r="G36" s="13"/>
      <c r="H36" s="13"/>
      <c r="I36" s="39"/>
    </row>
    <row r="37" spans="1:9" x14ac:dyDescent="0.2">
      <c r="A37" s="41" t="s">
        <v>39</v>
      </c>
      <c r="B37" s="18">
        <f>B34-E42</f>
        <v>0</v>
      </c>
      <c r="C37" s="18">
        <f>C34-E47</f>
        <v>83179.990000000005</v>
      </c>
      <c r="D37" s="18">
        <f>D34-E52-F52</f>
        <v>16350</v>
      </c>
      <c r="E37" s="18">
        <f>E34-E56</f>
        <v>2500</v>
      </c>
      <c r="F37" s="151" t="s">
        <v>109</v>
      </c>
      <c r="G37" s="13"/>
      <c r="H37" s="13"/>
      <c r="I37" s="39"/>
    </row>
    <row r="38" spans="1:9" x14ac:dyDescent="0.2">
      <c r="A38" s="41" t="s">
        <v>132</v>
      </c>
      <c r="B38" s="40">
        <f>B36-E42-F42</f>
        <v>0</v>
      </c>
      <c r="C38" s="40">
        <f>C36-E47-F47</f>
        <v>83179.990000000005</v>
      </c>
      <c r="D38" s="47">
        <f>D36-E52-F52</f>
        <v>16350</v>
      </c>
      <c r="E38" s="47">
        <f>E36-E56-F56</f>
        <v>2500</v>
      </c>
      <c r="F38" s="151" t="s">
        <v>110</v>
      </c>
      <c r="G38" s="145"/>
      <c r="H38" s="145"/>
      <c r="I38" s="145"/>
    </row>
    <row r="39" spans="1:9" ht="21" thickBot="1" x14ac:dyDescent="0.35">
      <c r="A39" s="41"/>
      <c r="B39" s="13"/>
      <c r="C39" s="13"/>
      <c r="D39" s="13"/>
      <c r="E39" s="14"/>
      <c r="F39" s="14"/>
      <c r="G39" s="13"/>
      <c r="H39" s="13"/>
      <c r="I39" s="39"/>
    </row>
    <row r="40" spans="1:9" ht="51" x14ac:dyDescent="0.2">
      <c r="A40" s="19" t="s">
        <v>41</v>
      </c>
      <c r="B40" s="20" t="s">
        <v>34</v>
      </c>
      <c r="C40" s="20" t="s">
        <v>64</v>
      </c>
      <c r="D40" s="20" t="s">
        <v>63</v>
      </c>
      <c r="E40" s="20" t="s">
        <v>37</v>
      </c>
      <c r="F40" s="20" t="s">
        <v>48</v>
      </c>
      <c r="G40" s="20" t="s">
        <v>40</v>
      </c>
      <c r="H40" s="20" t="s">
        <v>38</v>
      </c>
      <c r="I40" s="21" t="s">
        <v>5</v>
      </c>
    </row>
    <row r="41" spans="1:9" x14ac:dyDescent="0.2">
      <c r="A41" s="22" t="s">
        <v>10</v>
      </c>
      <c r="B41" s="23" t="s">
        <v>10</v>
      </c>
      <c r="C41" s="60">
        <v>45425</v>
      </c>
      <c r="D41" s="53">
        <v>45000</v>
      </c>
      <c r="E41" s="60">
        <v>45425</v>
      </c>
      <c r="F41" s="60">
        <v>0</v>
      </c>
      <c r="G41" s="52" t="s">
        <v>1010</v>
      </c>
      <c r="H41" s="23" t="s">
        <v>974</v>
      </c>
      <c r="I41" s="24"/>
    </row>
    <row r="42" spans="1:9" x14ac:dyDescent="0.2">
      <c r="A42" s="25" t="s">
        <v>43</v>
      </c>
      <c r="B42" s="26"/>
      <c r="C42" s="64">
        <f>C41</f>
        <v>45425</v>
      </c>
      <c r="D42" s="58"/>
      <c r="E42" s="64">
        <f>E41</f>
        <v>45425</v>
      </c>
      <c r="F42" s="64">
        <f>F41</f>
        <v>0</v>
      </c>
      <c r="G42" s="26"/>
      <c r="H42" s="26"/>
      <c r="I42" s="27"/>
    </row>
    <row r="43" spans="1:9" x14ac:dyDescent="0.2">
      <c r="A43" s="34"/>
      <c r="B43" s="34"/>
      <c r="C43" s="62"/>
      <c r="D43" s="128"/>
      <c r="E43" s="62"/>
      <c r="F43" s="62"/>
      <c r="G43" s="34"/>
      <c r="H43" s="34"/>
      <c r="I43" s="34"/>
    </row>
    <row r="44" spans="1:9" x14ac:dyDescent="0.2">
      <c r="A44" s="25" t="s">
        <v>44</v>
      </c>
      <c r="B44" s="228" t="s">
        <v>568</v>
      </c>
      <c r="C44" s="156">
        <v>2246.0100000000002</v>
      </c>
      <c r="D44" s="56">
        <v>45015</v>
      </c>
      <c r="E44" s="156">
        <v>2246.0100000000002</v>
      </c>
      <c r="F44" s="156"/>
      <c r="G44" s="26" t="s">
        <v>1114</v>
      </c>
      <c r="H44" s="26" t="s">
        <v>974</v>
      </c>
      <c r="I44" s="89"/>
    </row>
    <row r="45" spans="1:9" x14ac:dyDescent="0.2">
      <c r="A45" s="25"/>
      <c r="B45" s="340" t="s">
        <v>568</v>
      </c>
      <c r="C45" s="61"/>
      <c r="D45" s="341"/>
      <c r="E45" s="61"/>
      <c r="F45" s="156"/>
      <c r="G45" s="26"/>
      <c r="H45" s="26"/>
      <c r="I45" s="89"/>
    </row>
    <row r="46" spans="1:9" x14ac:dyDescent="0.2">
      <c r="A46" s="25"/>
      <c r="B46" s="340"/>
      <c r="C46" s="61"/>
      <c r="D46" s="341"/>
      <c r="E46" s="291"/>
      <c r="F46" s="156"/>
      <c r="G46" s="26"/>
      <c r="H46" s="26"/>
      <c r="I46" s="89"/>
    </row>
    <row r="47" spans="1:9" x14ac:dyDescent="0.2">
      <c r="A47" s="25" t="s">
        <v>43</v>
      </c>
      <c r="B47" s="26"/>
      <c r="C47" s="342">
        <f>C44+C45</f>
        <v>2246.0100000000002</v>
      </c>
      <c r="D47" s="58"/>
      <c r="E47" s="63">
        <f>E44+E45</f>
        <v>2246.0100000000002</v>
      </c>
      <c r="F47" s="63">
        <f>F44</f>
        <v>0</v>
      </c>
      <c r="G47" s="26"/>
      <c r="H47" s="26"/>
      <c r="I47" s="27"/>
    </row>
    <row r="48" spans="1:9" x14ac:dyDescent="0.2">
      <c r="A48" s="34"/>
      <c r="B48" s="34"/>
      <c r="C48" s="62"/>
      <c r="D48" s="128"/>
      <c r="E48" s="62"/>
      <c r="F48" s="62"/>
      <c r="G48" s="34"/>
      <c r="H48" s="34"/>
      <c r="I48" s="34"/>
    </row>
    <row r="49" spans="1:9" x14ac:dyDescent="0.2">
      <c r="A49" s="155" t="s">
        <v>42</v>
      </c>
      <c r="B49" s="154"/>
      <c r="C49" s="156"/>
      <c r="D49" s="56"/>
      <c r="E49" s="156"/>
      <c r="F49" s="156"/>
      <c r="G49" s="150"/>
      <c r="H49" s="150"/>
      <c r="I49" s="44"/>
    </row>
    <row r="50" spans="1:9" x14ac:dyDescent="0.2">
      <c r="A50" s="155"/>
      <c r="B50" s="154" t="s">
        <v>10</v>
      </c>
      <c r="C50" s="156">
        <v>35000</v>
      </c>
      <c r="D50" s="56" t="s">
        <v>1086</v>
      </c>
      <c r="E50" s="156"/>
      <c r="F50" s="156">
        <v>35000</v>
      </c>
      <c r="G50" s="150"/>
      <c r="H50" s="150" t="s">
        <v>1077</v>
      </c>
      <c r="I50" s="44"/>
    </row>
    <row r="51" spans="1:9" x14ac:dyDescent="0.2">
      <c r="A51" s="155"/>
      <c r="B51" s="154" t="s">
        <v>532</v>
      </c>
      <c r="C51" s="156">
        <v>28000</v>
      </c>
      <c r="D51" s="56" t="s">
        <v>1087</v>
      </c>
      <c r="E51" s="156"/>
      <c r="F51" s="156">
        <v>28000</v>
      </c>
      <c r="G51" s="150"/>
      <c r="H51" s="150" t="s">
        <v>1077</v>
      </c>
      <c r="I51" s="44"/>
    </row>
    <row r="52" spans="1:9" x14ac:dyDescent="0.2">
      <c r="A52" s="155" t="s">
        <v>43</v>
      </c>
      <c r="B52" s="154"/>
      <c r="C52" s="330">
        <f>SUM(C49:C51)</f>
        <v>63000</v>
      </c>
      <c r="D52" s="56"/>
      <c r="E52" s="330">
        <f>SUM(E49:E51)</f>
        <v>0</v>
      </c>
      <c r="F52" s="330">
        <f>SUM(F49:F51)</f>
        <v>63000</v>
      </c>
      <c r="G52" s="150"/>
      <c r="H52" s="150"/>
      <c r="I52" s="44"/>
    </row>
    <row r="53" spans="1:9" x14ac:dyDescent="0.2">
      <c r="A53" s="334"/>
      <c r="B53" s="338"/>
      <c r="C53" s="335"/>
      <c r="D53" s="320"/>
      <c r="E53" s="335"/>
      <c r="F53" s="335"/>
      <c r="G53" s="318"/>
      <c r="H53" s="318"/>
      <c r="I53" s="339"/>
    </row>
    <row r="54" spans="1:9" x14ac:dyDescent="0.2">
      <c r="A54" s="155" t="s">
        <v>975</v>
      </c>
      <c r="B54" s="154"/>
      <c r="C54" s="156"/>
      <c r="D54" s="56"/>
      <c r="E54" s="156"/>
      <c r="F54" s="156"/>
      <c r="G54" s="150"/>
      <c r="H54" s="150"/>
      <c r="I54" s="44"/>
    </row>
    <row r="55" spans="1:9" x14ac:dyDescent="0.2">
      <c r="A55" s="155"/>
      <c r="B55" s="150"/>
      <c r="C55" s="156"/>
      <c r="D55" s="56"/>
      <c r="E55" s="156"/>
      <c r="F55" s="61"/>
      <c r="G55" s="150"/>
      <c r="H55" s="150"/>
      <c r="I55" s="44"/>
    </row>
    <row r="56" spans="1:9" ht="13.5" thickBot="1" x14ac:dyDescent="0.25">
      <c r="A56" s="29" t="s">
        <v>43</v>
      </c>
      <c r="B56" s="30"/>
      <c r="C56" s="59">
        <f>SUM(C54:C55)</f>
        <v>0</v>
      </c>
      <c r="D56" s="129"/>
      <c r="E56" s="59">
        <f>SUM(E53:E55)</f>
        <v>0</v>
      </c>
      <c r="F56" s="59">
        <f>SUM(F54:F55)</f>
        <v>0</v>
      </c>
      <c r="G56" s="30"/>
      <c r="H56" s="30"/>
      <c r="I56" s="31"/>
    </row>
    <row r="57" spans="1:9" ht="13.5" hidden="1" thickBot="1" x14ac:dyDescent="0.25"/>
    <row r="58" spans="1:9" ht="21" hidden="1" thickBot="1" x14ac:dyDescent="0.25">
      <c r="A58" s="489" t="s">
        <v>868</v>
      </c>
      <c r="B58" s="490"/>
      <c r="C58" s="490"/>
      <c r="D58" s="490"/>
      <c r="E58" s="490"/>
      <c r="F58" s="490"/>
      <c r="G58" s="490"/>
      <c r="H58" s="490"/>
      <c r="I58" s="491"/>
    </row>
    <row r="59" spans="1:9" ht="20.25" hidden="1" x14ac:dyDescent="0.3">
      <c r="A59" s="41"/>
      <c r="B59" s="13" t="s">
        <v>859</v>
      </c>
      <c r="C59" s="13" t="s">
        <v>860</v>
      </c>
      <c r="D59" s="13" t="s">
        <v>861</v>
      </c>
      <c r="E59" s="14"/>
      <c r="F59" s="14"/>
      <c r="G59" s="13"/>
      <c r="H59" s="13"/>
      <c r="I59" s="39"/>
    </row>
    <row r="60" spans="1:9" ht="20.25" hidden="1" x14ac:dyDescent="0.3">
      <c r="A60" s="41" t="s">
        <v>864</v>
      </c>
      <c r="B60" s="18">
        <v>39500</v>
      </c>
      <c r="C60" s="18">
        <f>C83+(0.03*C83)</f>
        <v>42713.059339499996</v>
      </c>
      <c r="D60" s="18">
        <v>34500</v>
      </c>
      <c r="E60" s="14"/>
      <c r="F60" s="14"/>
      <c r="G60" s="13"/>
      <c r="H60" s="13"/>
      <c r="I60" s="39"/>
    </row>
    <row r="61" spans="1:9" ht="20.25" hidden="1" x14ac:dyDescent="0.3">
      <c r="A61" s="41" t="s">
        <v>36</v>
      </c>
      <c r="B61" s="18">
        <f>IF(B88&gt;B60,B60,B88)</f>
        <v>0</v>
      </c>
      <c r="C61" s="18">
        <f>IF(C88&gt;C60,C60,C88)</f>
        <v>42713.059339499996</v>
      </c>
      <c r="D61" s="18">
        <f>IF(D88&gt;D60,D60,D88)</f>
        <v>34500</v>
      </c>
      <c r="E61" s="14"/>
      <c r="F61" s="14"/>
      <c r="G61" s="13"/>
      <c r="H61" s="13"/>
      <c r="I61" s="39"/>
    </row>
    <row r="62" spans="1:9" ht="20.25" hidden="1" x14ac:dyDescent="0.3">
      <c r="A62" s="41" t="s">
        <v>862</v>
      </c>
      <c r="B62" s="18">
        <f>SUM(B60:B61)</f>
        <v>39500</v>
      </c>
      <c r="C62" s="18">
        <f>SUM(C60:C61)</f>
        <v>85426.118678999992</v>
      </c>
      <c r="D62" s="18">
        <f>SUM(D60:D61)</f>
        <v>69000</v>
      </c>
      <c r="E62" s="130" t="s">
        <v>107</v>
      </c>
      <c r="F62" s="14"/>
      <c r="G62" s="13"/>
      <c r="H62" s="13"/>
      <c r="I62" s="39"/>
    </row>
    <row r="63" spans="1:9" ht="20.25" hidden="1" x14ac:dyDescent="0.3">
      <c r="A63" s="41" t="s">
        <v>47</v>
      </c>
      <c r="B63" s="18">
        <f>B88</f>
        <v>0</v>
      </c>
      <c r="C63" s="18">
        <f>IF(C89&gt;C60,C60,C89)</f>
        <v>42713.059339499996</v>
      </c>
      <c r="D63" s="18">
        <f>IF(D89&gt;D83,D83,D89)</f>
        <v>34500</v>
      </c>
      <c r="E63" s="14"/>
      <c r="F63" s="14"/>
      <c r="G63" s="13"/>
      <c r="H63" s="13"/>
      <c r="I63" s="39"/>
    </row>
    <row r="64" spans="1:9" ht="20.25" hidden="1" x14ac:dyDescent="0.3">
      <c r="A64" s="41" t="s">
        <v>479</v>
      </c>
      <c r="B64" s="18">
        <f>B63+B60</f>
        <v>39500</v>
      </c>
      <c r="C64" s="18">
        <f>C60+C63</f>
        <v>85426.118678999992</v>
      </c>
      <c r="D64" s="18">
        <f>D63+D60</f>
        <v>69000</v>
      </c>
      <c r="E64" s="151" t="s">
        <v>108</v>
      </c>
      <c r="F64" s="14"/>
      <c r="G64" s="13"/>
      <c r="H64" s="13"/>
      <c r="I64" s="39"/>
    </row>
    <row r="65" spans="1:9" ht="20.25" hidden="1" x14ac:dyDescent="0.3">
      <c r="A65" s="41" t="s">
        <v>39</v>
      </c>
      <c r="B65" s="18">
        <f>B62-E70</f>
        <v>0</v>
      </c>
      <c r="C65" s="18">
        <f>C62-E75</f>
        <v>81418.088678999993</v>
      </c>
      <c r="D65" s="18">
        <f>D62-E79</f>
        <v>63000</v>
      </c>
      <c r="E65" s="151" t="s">
        <v>109</v>
      </c>
      <c r="F65" s="14"/>
      <c r="G65" s="13"/>
      <c r="H65" s="13"/>
      <c r="I65" s="39"/>
    </row>
    <row r="66" spans="1:9" hidden="1" x14ac:dyDescent="0.2">
      <c r="A66" s="41" t="s">
        <v>132</v>
      </c>
      <c r="B66" s="40">
        <f>B64-E70-F70</f>
        <v>0</v>
      </c>
      <c r="C66" s="40">
        <f>C64-E75-F75</f>
        <v>81418.088678999993</v>
      </c>
      <c r="D66" s="47">
        <f>D64-E79-F79</f>
        <v>63000</v>
      </c>
      <c r="E66" s="493" t="s">
        <v>110</v>
      </c>
      <c r="F66" s="503"/>
      <c r="G66" s="503"/>
      <c r="H66" s="503"/>
      <c r="I66" s="39"/>
    </row>
    <row r="67" spans="1:9" ht="21" hidden="1" thickBot="1" x14ac:dyDescent="0.35">
      <c r="A67" s="41"/>
      <c r="B67" s="13"/>
      <c r="C67" s="13"/>
      <c r="D67" s="13"/>
      <c r="E67" s="14"/>
      <c r="F67" s="14"/>
      <c r="G67" s="13"/>
      <c r="H67" s="13"/>
      <c r="I67" s="39"/>
    </row>
    <row r="68" spans="1:9" ht="51" hidden="1" x14ac:dyDescent="0.2">
      <c r="A68" s="19" t="s">
        <v>41</v>
      </c>
      <c r="B68" s="20" t="s">
        <v>34</v>
      </c>
      <c r="C68" s="20" t="s">
        <v>64</v>
      </c>
      <c r="D68" s="20" t="s">
        <v>63</v>
      </c>
      <c r="E68" s="20" t="s">
        <v>37</v>
      </c>
      <c r="F68" s="20" t="s">
        <v>48</v>
      </c>
      <c r="G68" s="20" t="s">
        <v>40</v>
      </c>
      <c r="H68" s="20" t="s">
        <v>38</v>
      </c>
      <c r="I68" s="21" t="s">
        <v>5</v>
      </c>
    </row>
    <row r="69" spans="1:9" hidden="1" x14ac:dyDescent="0.2">
      <c r="A69" s="22" t="s">
        <v>10</v>
      </c>
      <c r="B69" s="23" t="s">
        <v>10</v>
      </c>
      <c r="C69" s="60">
        <v>39500</v>
      </c>
      <c r="D69" s="53">
        <v>44586</v>
      </c>
      <c r="E69" s="60">
        <v>39500</v>
      </c>
      <c r="F69" s="60"/>
      <c r="G69" s="52" t="s">
        <v>881</v>
      </c>
      <c r="H69" s="23" t="s">
        <v>487</v>
      </c>
      <c r="I69" s="24"/>
    </row>
    <row r="70" spans="1:9" hidden="1" x14ac:dyDescent="0.2">
      <c r="A70" s="25" t="s">
        <v>43</v>
      </c>
      <c r="B70" s="26"/>
      <c r="C70" s="64">
        <f>C69</f>
        <v>39500</v>
      </c>
      <c r="D70" s="58"/>
      <c r="E70" s="64">
        <f>E69</f>
        <v>39500</v>
      </c>
      <c r="F70" s="64">
        <f>F69</f>
        <v>0</v>
      </c>
      <c r="G70" s="26"/>
      <c r="H70" s="26"/>
      <c r="I70" s="27"/>
    </row>
    <row r="71" spans="1:9" hidden="1" x14ac:dyDescent="0.2">
      <c r="A71" s="34"/>
      <c r="B71" s="34"/>
      <c r="C71" s="62"/>
      <c r="D71" s="128"/>
      <c r="E71" s="62"/>
      <c r="F71" s="62"/>
      <c r="G71" s="34"/>
      <c r="H71" s="34"/>
      <c r="I71" s="34"/>
    </row>
    <row r="72" spans="1:9" hidden="1" x14ac:dyDescent="0.2">
      <c r="A72" s="25" t="s">
        <v>44</v>
      </c>
      <c r="B72" s="228" t="s">
        <v>568</v>
      </c>
      <c r="C72" s="156">
        <v>1409.2</v>
      </c>
      <c r="D72" s="56" t="s">
        <v>915</v>
      </c>
      <c r="E72" s="156">
        <v>1409.2</v>
      </c>
      <c r="F72" s="156"/>
      <c r="G72" s="26" t="s">
        <v>915</v>
      </c>
      <c r="H72" s="26" t="s">
        <v>487</v>
      </c>
      <c r="I72" s="89"/>
    </row>
    <row r="73" spans="1:9" hidden="1" x14ac:dyDescent="0.2">
      <c r="A73" s="25"/>
      <c r="B73" s="228" t="s">
        <v>568</v>
      </c>
      <c r="C73" s="156">
        <v>2598.83</v>
      </c>
      <c r="D73" s="56" t="s">
        <v>936</v>
      </c>
      <c r="E73" s="61">
        <v>2598.83</v>
      </c>
      <c r="F73" s="156"/>
      <c r="G73" s="26" t="s">
        <v>936</v>
      </c>
      <c r="H73" s="26" t="s">
        <v>487</v>
      </c>
      <c r="I73" s="89"/>
    </row>
    <row r="74" spans="1:9" hidden="1" x14ac:dyDescent="0.2">
      <c r="A74" s="25"/>
      <c r="B74" s="228"/>
      <c r="C74" s="291"/>
      <c r="D74" s="56"/>
      <c r="E74" s="291"/>
      <c r="F74" s="156"/>
      <c r="G74" s="26"/>
      <c r="H74" s="26" t="s">
        <v>487</v>
      </c>
      <c r="I74" s="89"/>
    </row>
    <row r="75" spans="1:9" hidden="1" x14ac:dyDescent="0.2">
      <c r="A75" s="25" t="s">
        <v>43</v>
      </c>
      <c r="B75" s="26"/>
      <c r="C75" s="63">
        <f>C72+C73</f>
        <v>4008.0299999999997</v>
      </c>
      <c r="D75" s="58"/>
      <c r="E75" s="63">
        <f>E72+E73</f>
        <v>4008.0299999999997</v>
      </c>
      <c r="F75" s="63">
        <f>F72</f>
        <v>0</v>
      </c>
      <c r="G75" s="26"/>
      <c r="H75" s="26"/>
      <c r="I75" s="27"/>
    </row>
    <row r="76" spans="1:9" hidden="1" x14ac:dyDescent="0.2">
      <c r="A76" s="34"/>
      <c r="B76" s="34"/>
      <c r="C76" s="62"/>
      <c r="D76" s="128"/>
      <c r="E76" s="62"/>
      <c r="F76" s="62"/>
      <c r="G76" s="34"/>
      <c r="H76" s="34"/>
      <c r="I76" s="34"/>
    </row>
    <row r="77" spans="1:9" hidden="1" x14ac:dyDescent="0.2">
      <c r="A77" s="155" t="s">
        <v>42</v>
      </c>
      <c r="B77" s="154" t="s">
        <v>10</v>
      </c>
      <c r="C77" s="156">
        <v>6000</v>
      </c>
      <c r="D77" s="56" t="s">
        <v>960</v>
      </c>
      <c r="E77" s="156">
        <v>6000</v>
      </c>
      <c r="F77" s="156">
        <f>C77-E77</f>
        <v>0</v>
      </c>
      <c r="G77" s="150" t="s">
        <v>1098</v>
      </c>
      <c r="H77" s="150" t="s">
        <v>957</v>
      </c>
      <c r="I77" s="44"/>
    </row>
    <row r="78" spans="1:9" hidden="1" x14ac:dyDescent="0.2">
      <c r="A78" s="155"/>
      <c r="B78" s="150"/>
      <c r="C78" s="156"/>
      <c r="D78" s="56"/>
      <c r="E78" s="156"/>
      <c r="F78" s="61"/>
      <c r="G78" s="150"/>
      <c r="H78" s="150"/>
      <c r="I78" s="44"/>
    </row>
    <row r="79" spans="1:9" ht="13.5" hidden="1" thickBot="1" x14ac:dyDescent="0.25">
      <c r="A79" s="29" t="s">
        <v>43</v>
      </c>
      <c r="B79" s="30"/>
      <c r="C79" s="59">
        <f>SUM(C77:C78)</f>
        <v>6000</v>
      </c>
      <c r="D79" s="129"/>
      <c r="E79" s="59">
        <f>SUM(E77:E78)</f>
        <v>6000</v>
      </c>
      <c r="F79" s="59">
        <f>SUM(F77:F78)</f>
        <v>0</v>
      </c>
      <c r="G79" s="30"/>
      <c r="H79" s="30"/>
      <c r="I79" s="31"/>
    </row>
    <row r="80" spans="1:9" ht="13.5" hidden="1" thickBot="1" x14ac:dyDescent="0.25"/>
    <row r="81" spans="1:9" ht="21" hidden="1" thickBot="1" x14ac:dyDescent="0.25">
      <c r="A81" s="489" t="s">
        <v>787</v>
      </c>
      <c r="B81" s="490"/>
      <c r="C81" s="490"/>
      <c r="D81" s="490"/>
      <c r="E81" s="490"/>
      <c r="F81" s="490"/>
      <c r="G81" s="490"/>
      <c r="H81" s="490"/>
      <c r="I81" s="491"/>
    </row>
    <row r="82" spans="1:9" ht="20.25" hidden="1" x14ac:dyDescent="0.3">
      <c r="A82" s="41"/>
      <c r="B82" s="13" t="s">
        <v>780</v>
      </c>
      <c r="C82" s="13" t="s">
        <v>781</v>
      </c>
      <c r="D82" s="13" t="s">
        <v>782</v>
      </c>
      <c r="E82" s="14"/>
      <c r="F82" s="14"/>
      <c r="G82" s="13"/>
      <c r="H82" s="13"/>
      <c r="I82" s="39"/>
    </row>
    <row r="83" spans="1:9" ht="20.25" hidden="1" x14ac:dyDescent="0.3">
      <c r="A83" s="41" t="s">
        <v>784</v>
      </c>
      <c r="B83" s="18">
        <v>39500</v>
      </c>
      <c r="C83" s="18">
        <f>C106+(0.03*C106)</f>
        <v>41468.989649999996</v>
      </c>
      <c r="D83" s="18">
        <v>34500</v>
      </c>
      <c r="E83" s="14"/>
      <c r="F83" s="14"/>
      <c r="G83" s="13"/>
      <c r="H83" s="13"/>
      <c r="I83" s="39"/>
    </row>
    <row r="84" spans="1:9" ht="20.25" hidden="1" x14ac:dyDescent="0.3">
      <c r="A84" s="41" t="s">
        <v>36</v>
      </c>
      <c r="B84" s="18">
        <f>IF(B111&gt;B83,B83,B111)</f>
        <v>0</v>
      </c>
      <c r="C84" s="18">
        <f>IF(C111&gt;C83,C83,C111)</f>
        <v>41468.989649999996</v>
      </c>
      <c r="D84" s="18">
        <f>IF(D111&gt;D83,D83,D111)</f>
        <v>11281.740000000005</v>
      </c>
      <c r="E84" s="14"/>
      <c r="F84" s="14"/>
      <c r="G84" s="13"/>
      <c r="H84" s="13"/>
      <c r="I84" s="39"/>
    </row>
    <row r="85" spans="1:9" ht="20.25" hidden="1" x14ac:dyDescent="0.3">
      <c r="A85" s="41" t="s">
        <v>785</v>
      </c>
      <c r="B85" s="18">
        <f>SUM(B83:B84)</f>
        <v>39500</v>
      </c>
      <c r="C85" s="18">
        <f>SUM(C83:C84)</f>
        <v>82937.979299999992</v>
      </c>
      <c r="D85" s="18">
        <f>SUM(D83:D84)</f>
        <v>45781.740000000005</v>
      </c>
      <c r="E85" s="130" t="s">
        <v>107</v>
      </c>
      <c r="F85" s="14"/>
      <c r="G85" s="13"/>
      <c r="H85" s="13"/>
      <c r="I85" s="39"/>
    </row>
    <row r="86" spans="1:9" ht="20.25" hidden="1" x14ac:dyDescent="0.3">
      <c r="A86" s="41" t="s">
        <v>47</v>
      </c>
      <c r="B86" s="18">
        <f>B111</f>
        <v>0</v>
      </c>
      <c r="C86" s="18">
        <f>IF(C112&gt;C106,C106,C112)</f>
        <v>40261.154999999999</v>
      </c>
      <c r="D86" s="18">
        <f>IF(D112&gt;D106,D106,D112)</f>
        <v>11281.740000000005</v>
      </c>
      <c r="E86" s="14"/>
      <c r="F86" s="14"/>
      <c r="G86" s="13"/>
      <c r="H86" s="13"/>
      <c r="I86" s="39"/>
    </row>
    <row r="87" spans="1:9" ht="20.25" hidden="1" x14ac:dyDescent="0.3">
      <c r="A87" s="41" t="s">
        <v>479</v>
      </c>
      <c r="B87" s="18">
        <f>B86+B83</f>
        <v>39500</v>
      </c>
      <c r="C87" s="18">
        <f>C83+C86</f>
        <v>81730.144650000002</v>
      </c>
      <c r="D87" s="18">
        <f>D86+D83</f>
        <v>45781.740000000005</v>
      </c>
      <c r="E87" s="151" t="s">
        <v>108</v>
      </c>
      <c r="F87" s="14"/>
      <c r="G87" s="13"/>
      <c r="H87" s="13"/>
      <c r="I87" s="39"/>
    </row>
    <row r="88" spans="1:9" ht="20.25" hidden="1" x14ac:dyDescent="0.3">
      <c r="A88" s="41" t="s">
        <v>39</v>
      </c>
      <c r="B88" s="18">
        <f>B85-E93</f>
        <v>0</v>
      </c>
      <c r="C88" s="18">
        <f>C85-E98</f>
        <v>70015.169299999994</v>
      </c>
      <c r="D88" s="18">
        <f>D85-E102</f>
        <v>41495.740000000005</v>
      </c>
      <c r="E88" s="151" t="s">
        <v>109</v>
      </c>
      <c r="F88" s="14"/>
      <c r="G88" s="13"/>
      <c r="H88" s="13"/>
      <c r="I88" s="39"/>
    </row>
    <row r="89" spans="1:9" hidden="1" x14ac:dyDescent="0.2">
      <c r="A89" s="41" t="s">
        <v>132</v>
      </c>
      <c r="B89" s="40">
        <f>B87-E93-F93</f>
        <v>0</v>
      </c>
      <c r="C89" s="40">
        <f>C87-E98-F98</f>
        <v>68807.334650000004</v>
      </c>
      <c r="D89" s="47">
        <f>D87-E102-F102</f>
        <v>41495.740000000005</v>
      </c>
      <c r="E89" s="493" t="s">
        <v>110</v>
      </c>
      <c r="F89" s="503"/>
      <c r="G89" s="503"/>
      <c r="H89" s="503"/>
      <c r="I89" s="39"/>
    </row>
    <row r="90" spans="1:9" ht="21" hidden="1" thickBot="1" x14ac:dyDescent="0.35">
      <c r="A90" s="41"/>
      <c r="B90" s="13"/>
      <c r="C90" s="13"/>
      <c r="D90" s="13"/>
      <c r="E90" s="14"/>
      <c r="F90" s="14"/>
      <c r="G90" s="13"/>
      <c r="H90" s="13"/>
      <c r="I90" s="39"/>
    </row>
    <row r="91" spans="1:9" ht="51" hidden="1" x14ac:dyDescent="0.2">
      <c r="A91" s="19" t="s">
        <v>41</v>
      </c>
      <c r="B91" s="20" t="s">
        <v>34</v>
      </c>
      <c r="C91" s="20" t="s">
        <v>64</v>
      </c>
      <c r="D91" s="20" t="s">
        <v>63</v>
      </c>
      <c r="E91" s="20" t="s">
        <v>37</v>
      </c>
      <c r="F91" s="20" t="s">
        <v>48</v>
      </c>
      <c r="G91" s="20" t="s">
        <v>40</v>
      </c>
      <c r="H91" s="20" t="s">
        <v>38</v>
      </c>
      <c r="I91" s="21" t="s">
        <v>5</v>
      </c>
    </row>
    <row r="92" spans="1:9" hidden="1" x14ac:dyDescent="0.2">
      <c r="A92" s="22" t="s">
        <v>10</v>
      </c>
      <c r="B92" s="23" t="s">
        <v>10</v>
      </c>
      <c r="C92" s="60">
        <v>39500</v>
      </c>
      <c r="D92" s="53">
        <v>44201</v>
      </c>
      <c r="E92" s="60">
        <v>39500</v>
      </c>
      <c r="F92" s="60">
        <v>0</v>
      </c>
      <c r="G92" s="52" t="s">
        <v>798</v>
      </c>
      <c r="H92" s="23" t="s">
        <v>487</v>
      </c>
      <c r="I92" s="24"/>
    </row>
    <row r="93" spans="1:9" hidden="1" x14ac:dyDescent="0.2">
      <c r="A93" s="25" t="s">
        <v>43</v>
      </c>
      <c r="B93" s="26"/>
      <c r="C93" s="64">
        <f>C92</f>
        <v>39500</v>
      </c>
      <c r="D93" s="58"/>
      <c r="E93" s="64">
        <f>E92</f>
        <v>39500</v>
      </c>
      <c r="F93" s="64">
        <f>F92</f>
        <v>0</v>
      </c>
      <c r="G93" s="26"/>
      <c r="H93" s="26"/>
      <c r="I93" s="27"/>
    </row>
    <row r="94" spans="1:9" hidden="1" x14ac:dyDescent="0.2">
      <c r="A94" s="34"/>
      <c r="B94" s="34"/>
      <c r="C94" s="62"/>
      <c r="D94" s="128"/>
      <c r="E94" s="62"/>
      <c r="F94" s="62"/>
      <c r="G94" s="34"/>
      <c r="H94" s="34"/>
      <c r="I94" s="34"/>
    </row>
    <row r="95" spans="1:9" hidden="1" x14ac:dyDescent="0.2">
      <c r="A95" s="25" t="s">
        <v>44</v>
      </c>
      <c r="B95" s="228" t="s">
        <v>568</v>
      </c>
      <c r="C95" s="156"/>
      <c r="D95" s="56"/>
      <c r="E95" s="156"/>
      <c r="F95" s="156"/>
      <c r="G95" s="26"/>
      <c r="H95" s="26"/>
      <c r="I95" s="89"/>
    </row>
    <row r="96" spans="1:9" hidden="1" x14ac:dyDescent="0.2">
      <c r="A96" s="25"/>
      <c r="B96" s="228" t="s">
        <v>568</v>
      </c>
      <c r="C96" s="156">
        <v>9470.66</v>
      </c>
      <c r="D96" s="56">
        <v>44285</v>
      </c>
      <c r="E96" s="61">
        <f>C96</f>
        <v>9470.66</v>
      </c>
      <c r="F96" s="156">
        <v>0</v>
      </c>
      <c r="G96" s="26" t="s">
        <v>801</v>
      </c>
      <c r="H96" s="26" t="s">
        <v>487</v>
      </c>
      <c r="I96" s="89"/>
    </row>
    <row r="97" spans="1:9" hidden="1" x14ac:dyDescent="0.2">
      <c r="A97" s="25"/>
      <c r="B97" s="228"/>
      <c r="C97" s="291">
        <v>3452.15</v>
      </c>
      <c r="D97" s="56"/>
      <c r="E97" s="291">
        <v>3452.15</v>
      </c>
      <c r="F97" s="156"/>
      <c r="G97" s="26" t="s">
        <v>842</v>
      </c>
      <c r="H97" s="26" t="s">
        <v>487</v>
      </c>
      <c r="I97" s="89"/>
    </row>
    <row r="98" spans="1:9" hidden="1" x14ac:dyDescent="0.2">
      <c r="A98" s="25" t="s">
        <v>43</v>
      </c>
      <c r="B98" s="26"/>
      <c r="C98" s="63">
        <f>C96+C97</f>
        <v>12922.81</v>
      </c>
      <c r="D98" s="58"/>
      <c r="E98" s="63">
        <f>SUM(E96+E97)</f>
        <v>12922.81</v>
      </c>
      <c r="F98" s="63">
        <f>F96</f>
        <v>0</v>
      </c>
      <c r="G98" s="26"/>
      <c r="H98" s="26"/>
      <c r="I98" s="27"/>
    </row>
    <row r="99" spans="1:9" hidden="1" x14ac:dyDescent="0.2">
      <c r="A99" s="34"/>
      <c r="B99" s="34"/>
      <c r="C99" s="62"/>
      <c r="D99" s="128"/>
      <c r="E99" s="62"/>
      <c r="F99" s="62"/>
      <c r="G99" s="34"/>
      <c r="H99" s="34"/>
      <c r="I99" s="34"/>
    </row>
    <row r="100" spans="1:9" hidden="1" x14ac:dyDescent="0.2">
      <c r="A100" s="155" t="s">
        <v>42</v>
      </c>
      <c r="B100" s="154" t="s">
        <v>10</v>
      </c>
      <c r="C100" s="156">
        <v>4286</v>
      </c>
      <c r="D100" s="56" t="s">
        <v>852</v>
      </c>
      <c r="E100" s="156">
        <v>4286</v>
      </c>
      <c r="F100" s="156"/>
      <c r="G100" s="150" t="s">
        <v>944</v>
      </c>
      <c r="H100" s="150" t="s">
        <v>847</v>
      </c>
      <c r="I100" s="44"/>
    </row>
    <row r="101" spans="1:9" hidden="1" x14ac:dyDescent="0.2">
      <c r="A101" s="155"/>
      <c r="B101" s="150"/>
      <c r="C101" s="156"/>
      <c r="D101" s="56"/>
      <c r="E101" s="156"/>
      <c r="F101" s="61"/>
      <c r="G101" s="150"/>
      <c r="H101" s="150"/>
      <c r="I101" s="44"/>
    </row>
    <row r="102" spans="1:9" ht="13.5" hidden="1" thickBot="1" x14ac:dyDescent="0.25">
      <c r="A102" s="29" t="s">
        <v>43</v>
      </c>
      <c r="B102" s="30"/>
      <c r="C102" s="59">
        <f>SUM(C100:C101)</f>
        <v>4286</v>
      </c>
      <c r="D102" s="129"/>
      <c r="E102" s="59">
        <f>SUM(E100:E101)</f>
        <v>4286</v>
      </c>
      <c r="F102" s="59">
        <f>SUM(F100:F101)</f>
        <v>0</v>
      </c>
      <c r="G102" s="30"/>
      <c r="H102" s="30"/>
      <c r="I102" s="31"/>
    </row>
    <row r="103" spans="1:9" ht="13.5" hidden="1" thickBot="1" x14ac:dyDescent="0.25"/>
    <row r="104" spans="1:9" ht="21" hidden="1" thickBot="1" x14ac:dyDescent="0.25">
      <c r="A104" s="489" t="s">
        <v>704</v>
      </c>
      <c r="B104" s="490"/>
      <c r="C104" s="490"/>
      <c r="D104" s="490"/>
      <c r="E104" s="490"/>
      <c r="F104" s="490"/>
      <c r="G104" s="490"/>
      <c r="H104" s="490"/>
      <c r="I104" s="491"/>
    </row>
    <row r="105" spans="1:9" ht="20.25" hidden="1" x14ac:dyDescent="0.3">
      <c r="A105" s="41"/>
      <c r="B105" s="13" t="s">
        <v>697</v>
      </c>
      <c r="C105" s="13" t="s">
        <v>698</v>
      </c>
      <c r="D105" s="13" t="s">
        <v>699</v>
      </c>
      <c r="E105" s="14"/>
      <c r="F105" s="14"/>
      <c r="G105" s="13"/>
      <c r="H105" s="13"/>
      <c r="I105" s="39"/>
    </row>
    <row r="106" spans="1:9" ht="20.25" hidden="1" x14ac:dyDescent="0.3">
      <c r="A106" s="41" t="s">
        <v>701</v>
      </c>
      <c r="B106" s="18">
        <v>39500</v>
      </c>
      <c r="C106" s="18">
        <f>1.03*39088.5</f>
        <v>40261.154999999999</v>
      </c>
      <c r="D106" s="18">
        <v>34500</v>
      </c>
      <c r="E106" s="14"/>
      <c r="F106" s="14"/>
      <c r="G106" s="13"/>
      <c r="H106" s="13"/>
      <c r="I106" s="39"/>
    </row>
    <row r="107" spans="1:9" ht="20.25" hidden="1" x14ac:dyDescent="0.3">
      <c r="A107" s="41" t="s">
        <v>36</v>
      </c>
      <c r="B107" s="18">
        <f>IF(B138&gt;39500,39500,B138)</f>
        <v>0</v>
      </c>
      <c r="C107" s="18">
        <f>IF(C138&gt;39088.5,39088.5,C138)</f>
        <v>39088.5</v>
      </c>
      <c r="D107" s="18">
        <f>IF(D138&gt;34500,34500,D138)</f>
        <v>10256.740000000005</v>
      </c>
      <c r="E107" s="14"/>
      <c r="F107" s="14"/>
      <c r="G107" s="13"/>
      <c r="H107" s="13"/>
      <c r="I107" s="39"/>
    </row>
    <row r="108" spans="1:9" ht="20.25" hidden="1" x14ac:dyDescent="0.3">
      <c r="A108" s="41" t="s">
        <v>702</v>
      </c>
      <c r="B108" s="18">
        <f>SUM(B106:B107)</f>
        <v>39500</v>
      </c>
      <c r="C108" s="18">
        <f>SUM(C106:C107)</f>
        <v>79349.654999999999</v>
      </c>
      <c r="D108" s="18">
        <f>SUM(D106:D107)</f>
        <v>44756.740000000005</v>
      </c>
      <c r="E108" s="130" t="s">
        <v>107</v>
      </c>
      <c r="F108" s="14"/>
      <c r="G108" s="13"/>
      <c r="H108" s="13"/>
      <c r="I108" s="39"/>
    </row>
    <row r="109" spans="1:9" ht="20.25" hidden="1" x14ac:dyDescent="0.3">
      <c r="A109" s="41" t="s">
        <v>47</v>
      </c>
      <c r="B109" s="18">
        <f>B138</f>
        <v>0</v>
      </c>
      <c r="C109" s="18">
        <f>IF(C139&gt;39088.5,39088.5,C139)</f>
        <v>39088.5</v>
      </c>
      <c r="D109" s="18">
        <f>IF(D139&gt;34500,34500,D139)</f>
        <v>10256.740000000005</v>
      </c>
      <c r="E109" s="14"/>
      <c r="F109" s="14"/>
      <c r="G109" s="13"/>
      <c r="H109" s="13"/>
      <c r="I109" s="39"/>
    </row>
    <row r="110" spans="1:9" ht="20.25" hidden="1" x14ac:dyDescent="0.3">
      <c r="A110" s="41" t="s">
        <v>45</v>
      </c>
      <c r="B110" s="18">
        <f>B109+B106</f>
        <v>39500</v>
      </c>
      <c r="C110" s="18">
        <f>C109+C106</f>
        <v>79349.654999999999</v>
      </c>
      <c r="D110" s="18">
        <f>D109+D106</f>
        <v>44756.740000000005</v>
      </c>
      <c r="E110" s="151" t="s">
        <v>108</v>
      </c>
      <c r="F110" s="14"/>
      <c r="G110" s="13"/>
      <c r="H110" s="13"/>
      <c r="I110" s="39"/>
    </row>
    <row r="111" spans="1:9" ht="20.25" hidden="1" x14ac:dyDescent="0.3">
      <c r="A111" s="41" t="s">
        <v>39</v>
      </c>
      <c r="B111" s="18">
        <f>B108-E116</f>
        <v>0</v>
      </c>
      <c r="C111" s="18">
        <f>C108-E120</f>
        <v>79349.654999999999</v>
      </c>
      <c r="D111" s="18">
        <f>D108-E129</f>
        <v>11281.740000000005</v>
      </c>
      <c r="E111" s="151" t="s">
        <v>109</v>
      </c>
      <c r="F111" s="14"/>
      <c r="G111" s="13"/>
      <c r="H111" s="13"/>
      <c r="I111" s="39"/>
    </row>
    <row r="112" spans="1:9" hidden="1" x14ac:dyDescent="0.2">
      <c r="A112" s="41" t="s">
        <v>35</v>
      </c>
      <c r="B112" s="40">
        <f>B110-E116-F116</f>
        <v>0</v>
      </c>
      <c r="C112" s="40">
        <f>C110-E120-F120</f>
        <v>79349.654999999999</v>
      </c>
      <c r="D112" s="47">
        <f>D110-E129-F129</f>
        <v>11281.740000000005</v>
      </c>
      <c r="E112" s="493" t="s">
        <v>110</v>
      </c>
      <c r="F112" s="503"/>
      <c r="G112" s="503"/>
      <c r="H112" s="503"/>
      <c r="I112" s="39"/>
    </row>
    <row r="113" spans="1:9" ht="21" hidden="1" thickBot="1" x14ac:dyDescent="0.35">
      <c r="A113" s="41"/>
      <c r="B113" s="13"/>
      <c r="C113" s="13"/>
      <c r="D113" s="13"/>
      <c r="E113" s="14"/>
      <c r="F113" s="14"/>
      <c r="G113" s="13"/>
      <c r="H113" s="13"/>
      <c r="I113" s="39"/>
    </row>
    <row r="114" spans="1:9" ht="51" hidden="1" x14ac:dyDescent="0.2">
      <c r="A114" s="19" t="s">
        <v>41</v>
      </c>
      <c r="B114" s="20" t="s">
        <v>34</v>
      </c>
      <c r="C114" s="20" t="s">
        <v>64</v>
      </c>
      <c r="D114" s="20" t="s">
        <v>63</v>
      </c>
      <c r="E114" s="20" t="s">
        <v>37</v>
      </c>
      <c r="F114" s="20" t="s">
        <v>48</v>
      </c>
      <c r="G114" s="20" t="s">
        <v>40</v>
      </c>
      <c r="H114" s="20" t="s">
        <v>38</v>
      </c>
      <c r="I114" s="21" t="s">
        <v>5</v>
      </c>
    </row>
    <row r="115" spans="1:9" hidden="1" x14ac:dyDescent="0.2">
      <c r="A115" s="22" t="s">
        <v>10</v>
      </c>
      <c r="B115" s="23" t="s">
        <v>10</v>
      </c>
      <c r="C115" s="60">
        <v>39500</v>
      </c>
      <c r="D115" s="53">
        <v>43832</v>
      </c>
      <c r="E115" s="60">
        <v>39500</v>
      </c>
      <c r="F115" s="60"/>
      <c r="G115" s="52" t="s">
        <v>708</v>
      </c>
      <c r="H115" s="23" t="s">
        <v>487</v>
      </c>
      <c r="I115" s="24"/>
    </row>
    <row r="116" spans="1:9" hidden="1" x14ac:dyDescent="0.2">
      <c r="A116" s="25" t="s">
        <v>43</v>
      </c>
      <c r="B116" s="26"/>
      <c r="C116" s="64">
        <f>C115</f>
        <v>39500</v>
      </c>
      <c r="D116" s="58"/>
      <c r="E116" s="64">
        <f>E115</f>
        <v>39500</v>
      </c>
      <c r="F116" s="64">
        <f>F115</f>
        <v>0</v>
      </c>
      <c r="G116" s="26"/>
      <c r="H116" s="26"/>
      <c r="I116" s="27"/>
    </row>
    <row r="117" spans="1:9" hidden="1" x14ac:dyDescent="0.2">
      <c r="A117" s="34"/>
      <c r="B117" s="34"/>
      <c r="C117" s="62"/>
      <c r="D117" s="128"/>
      <c r="E117" s="62"/>
      <c r="F117" s="62"/>
      <c r="G117" s="34"/>
      <c r="H117" s="34"/>
      <c r="I117" s="34"/>
    </row>
    <row r="118" spans="1:9" hidden="1" x14ac:dyDescent="0.2">
      <c r="A118" s="25" t="s">
        <v>44</v>
      </c>
      <c r="B118" s="228" t="s">
        <v>568</v>
      </c>
      <c r="C118" s="61"/>
      <c r="D118" s="58"/>
      <c r="E118" s="61"/>
      <c r="F118" s="61"/>
      <c r="G118" s="26"/>
      <c r="H118" s="26" t="s">
        <v>604</v>
      </c>
      <c r="I118" s="89"/>
    </row>
    <row r="119" spans="1:9" hidden="1" x14ac:dyDescent="0.2">
      <c r="A119" s="25"/>
      <c r="B119" s="228" t="s">
        <v>568</v>
      </c>
      <c r="C119" s="61"/>
      <c r="D119" s="58"/>
      <c r="E119" s="61"/>
      <c r="F119" s="61"/>
      <c r="G119" s="26"/>
      <c r="H119" s="26" t="s">
        <v>604</v>
      </c>
      <c r="I119" s="89"/>
    </row>
    <row r="120" spans="1:9" hidden="1" x14ac:dyDescent="0.2">
      <c r="A120" s="25" t="s">
        <v>43</v>
      </c>
      <c r="B120" s="26"/>
      <c r="C120" s="63">
        <f>C119</f>
        <v>0</v>
      </c>
      <c r="D120" s="58"/>
      <c r="E120" s="63">
        <f>E118</f>
        <v>0</v>
      </c>
      <c r="F120" s="63">
        <f>F119</f>
        <v>0</v>
      </c>
      <c r="G120" s="26"/>
      <c r="H120" s="26"/>
      <c r="I120" s="27"/>
    </row>
    <row r="121" spans="1:9" hidden="1" x14ac:dyDescent="0.2">
      <c r="A121" s="34"/>
      <c r="B121" s="34"/>
      <c r="C121" s="62"/>
      <c r="D121" s="128"/>
      <c r="E121" s="62"/>
      <c r="F121" s="62"/>
      <c r="G121" s="34"/>
      <c r="H121" s="34"/>
      <c r="I121" s="34"/>
    </row>
    <row r="122" spans="1:9" hidden="1" x14ac:dyDescent="0.2">
      <c r="A122" s="155" t="s">
        <v>42</v>
      </c>
      <c r="B122" s="154"/>
      <c r="C122" s="156"/>
      <c r="D122" s="153"/>
      <c r="E122" s="156"/>
      <c r="F122" s="61">
        <f>C122-E122</f>
        <v>0</v>
      </c>
      <c r="G122" s="150"/>
      <c r="H122" s="154"/>
      <c r="I122" s="44"/>
    </row>
    <row r="123" spans="1:9" hidden="1" x14ac:dyDescent="0.2">
      <c r="A123" s="155"/>
      <c r="B123" s="235" t="s">
        <v>10</v>
      </c>
      <c r="C123" s="156">
        <v>1333</v>
      </c>
      <c r="D123" s="56" t="s">
        <v>726</v>
      </c>
      <c r="E123" s="156">
        <v>664</v>
      </c>
      <c r="F123" s="61">
        <f>C123-E123</f>
        <v>669</v>
      </c>
      <c r="G123" s="150" t="s">
        <v>778</v>
      </c>
      <c r="H123" s="150" t="s">
        <v>719</v>
      </c>
      <c r="I123" s="44" t="s">
        <v>100</v>
      </c>
    </row>
    <row r="124" spans="1:9" hidden="1" x14ac:dyDescent="0.2">
      <c r="A124" s="155"/>
      <c r="B124" s="235"/>
      <c r="C124" s="156"/>
      <c r="D124" s="56"/>
      <c r="E124" s="156"/>
      <c r="F124" s="61">
        <v>-669</v>
      </c>
      <c r="G124" s="150"/>
      <c r="H124" s="150"/>
      <c r="I124" s="44"/>
    </row>
    <row r="125" spans="1:9" hidden="1" x14ac:dyDescent="0.2">
      <c r="A125" s="155"/>
      <c r="B125" s="150" t="s">
        <v>10</v>
      </c>
      <c r="C125" s="156">
        <v>21711</v>
      </c>
      <c r="D125" s="56" t="s">
        <v>740</v>
      </c>
      <c r="E125" s="150">
        <v>11100</v>
      </c>
      <c r="F125" s="61">
        <f>C125-E125</f>
        <v>10611</v>
      </c>
      <c r="G125" s="150" t="s">
        <v>770</v>
      </c>
      <c r="H125" s="150" t="s">
        <v>736</v>
      </c>
      <c r="I125" s="44"/>
    </row>
    <row r="126" spans="1:9" hidden="1" x14ac:dyDescent="0.2">
      <c r="A126" s="155"/>
      <c r="B126" s="150"/>
      <c r="C126" s="156"/>
      <c r="D126" s="56"/>
      <c r="E126" s="150"/>
      <c r="F126" s="61">
        <v>-10611</v>
      </c>
      <c r="G126" s="150"/>
      <c r="H126" s="150"/>
      <c r="I126" s="44" t="s">
        <v>767</v>
      </c>
    </row>
    <row r="127" spans="1:9" hidden="1" x14ac:dyDescent="0.2">
      <c r="A127" s="155"/>
      <c r="B127" s="150" t="s">
        <v>532</v>
      </c>
      <c r="C127" s="156">
        <v>21711</v>
      </c>
      <c r="D127" s="56" t="s">
        <v>752</v>
      </c>
      <c r="E127" s="150">
        <v>21711</v>
      </c>
      <c r="F127" s="61">
        <f>C127-E127</f>
        <v>0</v>
      </c>
      <c r="G127" s="150" t="s">
        <v>771</v>
      </c>
      <c r="H127" s="150" t="s">
        <v>736</v>
      </c>
      <c r="I127" s="44"/>
    </row>
    <row r="128" spans="1:9" hidden="1" x14ac:dyDescent="0.2">
      <c r="A128" s="136"/>
      <c r="B128" s="169"/>
      <c r="C128" s="156"/>
      <c r="D128" s="173"/>
      <c r="E128" s="95"/>
      <c r="F128" s="61"/>
      <c r="G128" s="95"/>
      <c r="H128" s="150"/>
      <c r="I128" s="137"/>
    </row>
    <row r="129" spans="1:9" ht="13.5" hidden="1" thickBot="1" x14ac:dyDescent="0.25">
      <c r="A129" s="29" t="s">
        <v>43</v>
      </c>
      <c r="B129" s="30"/>
      <c r="C129" s="59">
        <f>SUM(C122:C128)</f>
        <v>44755</v>
      </c>
      <c r="D129" s="129"/>
      <c r="E129" s="59">
        <f>SUM(E122:E128)</f>
        <v>33475</v>
      </c>
      <c r="F129" s="59">
        <f>SUM(F122:F128)</f>
        <v>0</v>
      </c>
      <c r="G129" s="30"/>
      <c r="H129" s="30"/>
      <c r="I129" s="31"/>
    </row>
    <row r="130" spans="1:9" ht="13.5" hidden="1" thickBot="1" x14ac:dyDescent="0.25"/>
    <row r="131" spans="1:9" ht="21" hidden="1" thickBot="1" x14ac:dyDescent="0.25">
      <c r="A131" s="489" t="s">
        <v>608</v>
      </c>
      <c r="B131" s="490"/>
      <c r="C131" s="490"/>
      <c r="D131" s="490"/>
      <c r="E131" s="490"/>
      <c r="F131" s="490"/>
      <c r="G131" s="490"/>
      <c r="H131" s="490"/>
      <c r="I131" s="491"/>
    </row>
    <row r="132" spans="1:9" ht="20.25" hidden="1" x14ac:dyDescent="0.3">
      <c r="A132" s="41"/>
      <c r="B132" s="13" t="s">
        <v>600</v>
      </c>
      <c r="C132" s="13" t="s">
        <v>601</v>
      </c>
      <c r="D132" s="13" t="s">
        <v>602</v>
      </c>
      <c r="E132" s="14"/>
      <c r="F132" s="14"/>
      <c r="G132" s="13"/>
      <c r="H132" s="13"/>
      <c r="I132" s="39"/>
    </row>
    <row r="133" spans="1:9" ht="20.25" hidden="1" x14ac:dyDescent="0.3">
      <c r="A133" s="41" t="s">
        <v>606</v>
      </c>
      <c r="B133" s="18">
        <v>39500</v>
      </c>
      <c r="C133" s="18">
        <f>1.03*C158</f>
        <v>39088.5</v>
      </c>
      <c r="D133" s="18">
        <v>34500</v>
      </c>
      <c r="E133" s="14"/>
      <c r="F133" s="14"/>
      <c r="G133" s="13"/>
      <c r="H133" s="13"/>
      <c r="I133" s="39"/>
    </row>
    <row r="134" spans="1:9" ht="20.25" hidden="1" x14ac:dyDescent="0.3">
      <c r="A134" s="41" t="s">
        <v>36</v>
      </c>
      <c r="B134" s="18">
        <f>IF(B163&gt;34500,34500,B163)</f>
        <v>0</v>
      </c>
      <c r="C134" s="18">
        <f>IF(C163&gt;37950,37950,C163)</f>
        <v>37950</v>
      </c>
      <c r="D134" s="18">
        <f>IF(D163&gt;34500,34500,D163)</f>
        <v>7146.7400000000052</v>
      </c>
      <c r="E134" s="14"/>
      <c r="F134" s="14"/>
      <c r="G134" s="13"/>
      <c r="H134" s="13"/>
      <c r="I134" s="39"/>
    </row>
    <row r="135" spans="1:9" ht="20.25" hidden="1" x14ac:dyDescent="0.3">
      <c r="A135" s="41" t="s">
        <v>603</v>
      </c>
      <c r="B135" s="18">
        <f>SUM(B133:B134)</f>
        <v>39500</v>
      </c>
      <c r="C135" s="18">
        <f>SUM(C133:C134)</f>
        <v>77038.5</v>
      </c>
      <c r="D135" s="18">
        <f>SUM(D133:D134)</f>
        <v>41646.740000000005</v>
      </c>
      <c r="E135" s="130" t="s">
        <v>107</v>
      </c>
      <c r="F135" s="14"/>
      <c r="G135" s="13"/>
      <c r="H135" s="13"/>
      <c r="I135" s="39"/>
    </row>
    <row r="136" spans="1:9" ht="20.25" hidden="1" x14ac:dyDescent="0.3">
      <c r="A136" s="41" t="s">
        <v>47</v>
      </c>
      <c r="B136" s="18">
        <f>B164</f>
        <v>0</v>
      </c>
      <c r="C136" s="18">
        <f>IF(C164&gt;37950,37950,C164)</f>
        <v>37950</v>
      </c>
      <c r="D136" s="18">
        <f>IF(D164&gt;34500,34500,D164)</f>
        <v>7146.7400000000052</v>
      </c>
      <c r="E136" s="14"/>
      <c r="F136" s="14"/>
      <c r="G136" s="13"/>
      <c r="H136" s="13"/>
      <c r="I136" s="39"/>
    </row>
    <row r="137" spans="1:9" ht="20.25" hidden="1" x14ac:dyDescent="0.3">
      <c r="A137" s="41" t="s">
        <v>45</v>
      </c>
      <c r="B137" s="18">
        <f>B136+B133</f>
        <v>39500</v>
      </c>
      <c r="C137" s="18">
        <f>C136+C133</f>
        <v>77038.5</v>
      </c>
      <c r="D137" s="18">
        <f>D136+D133</f>
        <v>41646.740000000005</v>
      </c>
      <c r="E137" s="151" t="s">
        <v>108</v>
      </c>
      <c r="F137" s="14"/>
      <c r="G137" s="13"/>
      <c r="H137" s="13"/>
      <c r="I137" s="39"/>
    </row>
    <row r="138" spans="1:9" ht="20.25" hidden="1" x14ac:dyDescent="0.3">
      <c r="A138" s="41" t="s">
        <v>39</v>
      </c>
      <c r="B138" s="18">
        <f>B135-E143</f>
        <v>0</v>
      </c>
      <c r="C138" s="18">
        <f>C135-E147</f>
        <v>71852.2</v>
      </c>
      <c r="D138" s="18">
        <f>D135-E154</f>
        <v>10256.740000000005</v>
      </c>
      <c r="E138" s="151" t="s">
        <v>109</v>
      </c>
      <c r="F138" s="14"/>
      <c r="G138" s="13"/>
      <c r="H138" s="13"/>
      <c r="I138" s="39"/>
    </row>
    <row r="139" spans="1:9" hidden="1" x14ac:dyDescent="0.2">
      <c r="A139" s="41" t="s">
        <v>35</v>
      </c>
      <c r="B139" s="40">
        <f>B137-E143-F143</f>
        <v>0</v>
      </c>
      <c r="C139" s="40">
        <f>C137-E147-F147</f>
        <v>71852.2</v>
      </c>
      <c r="D139" s="47">
        <f>D137-E154-F154</f>
        <v>10256.740000000005</v>
      </c>
      <c r="E139" s="493" t="s">
        <v>110</v>
      </c>
      <c r="F139" s="503"/>
      <c r="G139" s="503"/>
      <c r="H139" s="503"/>
      <c r="I139" s="39"/>
    </row>
    <row r="140" spans="1:9" ht="21" hidden="1" thickBot="1" x14ac:dyDescent="0.35">
      <c r="A140" s="41"/>
      <c r="B140" s="13"/>
      <c r="C140" s="13"/>
      <c r="D140" s="13"/>
      <c r="E140" s="14"/>
      <c r="F140" s="14"/>
      <c r="G140" s="13"/>
      <c r="H140" s="13"/>
      <c r="I140" s="39"/>
    </row>
    <row r="141" spans="1:9" ht="51" hidden="1" x14ac:dyDescent="0.2">
      <c r="A141" s="19" t="s">
        <v>41</v>
      </c>
      <c r="B141" s="20" t="s">
        <v>34</v>
      </c>
      <c r="C141" s="20" t="s">
        <v>64</v>
      </c>
      <c r="D141" s="20" t="s">
        <v>63</v>
      </c>
      <c r="E141" s="20" t="s">
        <v>37</v>
      </c>
      <c r="F141" s="20" t="s">
        <v>48</v>
      </c>
      <c r="G141" s="20" t="s">
        <v>40</v>
      </c>
      <c r="H141" s="20" t="s">
        <v>38</v>
      </c>
      <c r="I141" s="21" t="s">
        <v>5</v>
      </c>
    </row>
    <row r="142" spans="1:9" hidden="1" x14ac:dyDescent="0.2">
      <c r="A142" s="22" t="s">
        <v>10</v>
      </c>
      <c r="B142" s="23" t="s">
        <v>10</v>
      </c>
      <c r="C142" s="60">
        <v>39500</v>
      </c>
      <c r="D142" s="53">
        <v>43467</v>
      </c>
      <c r="E142" s="60">
        <f>C142</f>
        <v>39500</v>
      </c>
      <c r="F142" s="60"/>
      <c r="G142" s="52" t="s">
        <v>623</v>
      </c>
      <c r="H142" s="23" t="s">
        <v>487</v>
      </c>
      <c r="I142" s="24"/>
    </row>
    <row r="143" spans="1:9" hidden="1" x14ac:dyDescent="0.2">
      <c r="A143" s="25" t="s">
        <v>43</v>
      </c>
      <c r="B143" s="26"/>
      <c r="C143" s="64">
        <f>C142</f>
        <v>39500</v>
      </c>
      <c r="D143" s="58"/>
      <c r="E143" s="64">
        <f>E142</f>
        <v>39500</v>
      </c>
      <c r="F143" s="64">
        <f>F142</f>
        <v>0</v>
      </c>
      <c r="G143" s="26"/>
      <c r="H143" s="26"/>
      <c r="I143" s="27"/>
    </row>
    <row r="144" spans="1:9" hidden="1" x14ac:dyDescent="0.2">
      <c r="A144" s="34"/>
      <c r="B144" s="34"/>
      <c r="C144" s="62"/>
      <c r="D144" s="128"/>
      <c r="E144" s="62"/>
      <c r="F144" s="62"/>
      <c r="G144" s="34"/>
      <c r="H144" s="34"/>
      <c r="I144" s="34"/>
    </row>
    <row r="145" spans="1:9" hidden="1" x14ac:dyDescent="0.2">
      <c r="A145" s="25" t="s">
        <v>44</v>
      </c>
      <c r="B145" s="228" t="s">
        <v>568</v>
      </c>
      <c r="C145" s="61">
        <v>5186.3</v>
      </c>
      <c r="D145" s="58">
        <v>43741</v>
      </c>
      <c r="E145" s="61">
        <v>5186.3</v>
      </c>
      <c r="F145" s="61">
        <v>0</v>
      </c>
      <c r="G145" s="26" t="s">
        <v>680</v>
      </c>
      <c r="H145" s="26" t="s">
        <v>604</v>
      </c>
      <c r="I145" s="89"/>
    </row>
    <row r="146" spans="1:9" hidden="1" x14ac:dyDescent="0.2">
      <c r="A146" s="25"/>
      <c r="B146" s="228"/>
      <c r="C146" s="61">
        <v>5428.05</v>
      </c>
      <c r="D146" s="58">
        <v>43921</v>
      </c>
      <c r="E146" s="61">
        <v>5428.05</v>
      </c>
      <c r="F146" s="61"/>
      <c r="G146" s="26" t="s">
        <v>739</v>
      </c>
      <c r="H146" s="26"/>
      <c r="I146" s="89"/>
    </row>
    <row r="147" spans="1:9" hidden="1" x14ac:dyDescent="0.2">
      <c r="A147" s="25" t="s">
        <v>43</v>
      </c>
      <c r="B147" s="26"/>
      <c r="C147" s="63">
        <f>C145</f>
        <v>5186.3</v>
      </c>
      <c r="D147" s="58"/>
      <c r="E147" s="63">
        <f>E145</f>
        <v>5186.3</v>
      </c>
      <c r="F147" s="63">
        <f>F145</f>
        <v>0</v>
      </c>
      <c r="G147" s="26"/>
      <c r="H147" s="26"/>
      <c r="I147" s="27"/>
    </row>
    <row r="148" spans="1:9" hidden="1" x14ac:dyDescent="0.2">
      <c r="A148" s="34"/>
      <c r="B148" s="34"/>
      <c r="C148" s="62"/>
      <c r="D148" s="128"/>
      <c r="E148" s="62"/>
      <c r="F148" s="62"/>
      <c r="G148" s="34"/>
      <c r="H148" s="34"/>
      <c r="I148" s="34"/>
    </row>
    <row r="149" spans="1:9" hidden="1" x14ac:dyDescent="0.2">
      <c r="A149" s="155" t="s">
        <v>42</v>
      </c>
      <c r="B149" s="154"/>
      <c r="C149" s="156"/>
      <c r="D149" s="153"/>
      <c r="E149" s="156"/>
      <c r="F149" s="61">
        <f>C149-E149</f>
        <v>0</v>
      </c>
      <c r="G149" s="150"/>
      <c r="H149" s="154"/>
      <c r="I149" s="44"/>
    </row>
    <row r="150" spans="1:9" hidden="1" x14ac:dyDescent="0.2">
      <c r="A150" s="155"/>
      <c r="B150" s="235" t="s">
        <v>568</v>
      </c>
      <c r="C150" s="156">
        <v>19880</v>
      </c>
      <c r="D150" s="56" t="s">
        <v>662</v>
      </c>
      <c r="E150" s="156">
        <v>19880</v>
      </c>
      <c r="F150" s="61">
        <f>C150-E150</f>
        <v>0</v>
      </c>
      <c r="G150" s="249" t="s">
        <v>714</v>
      </c>
      <c r="H150" s="150" t="s">
        <v>661</v>
      </c>
      <c r="I150" s="44" t="s">
        <v>100</v>
      </c>
    </row>
    <row r="151" spans="1:9" hidden="1" x14ac:dyDescent="0.2">
      <c r="A151" s="155"/>
      <c r="B151" s="150" t="s">
        <v>10</v>
      </c>
      <c r="C151" s="156">
        <v>20000</v>
      </c>
      <c r="D151" s="56" t="s">
        <v>663</v>
      </c>
      <c r="E151" s="156">
        <v>11510</v>
      </c>
      <c r="F151" s="61">
        <f>C151-E151</f>
        <v>8490</v>
      </c>
      <c r="G151" s="249" t="s">
        <v>715</v>
      </c>
      <c r="H151" s="150" t="s">
        <v>661</v>
      </c>
      <c r="I151" s="44" t="s">
        <v>100</v>
      </c>
    </row>
    <row r="152" spans="1:9" hidden="1" x14ac:dyDescent="0.2">
      <c r="A152" s="155"/>
      <c r="B152" s="150"/>
      <c r="C152" s="156"/>
      <c r="D152" s="56"/>
      <c r="E152" s="150"/>
      <c r="F152" s="61">
        <v>-8490</v>
      </c>
      <c r="G152" s="150"/>
      <c r="H152" s="150"/>
      <c r="I152" s="44" t="s">
        <v>693</v>
      </c>
    </row>
    <row r="153" spans="1:9" hidden="1" x14ac:dyDescent="0.2">
      <c r="A153" s="136"/>
      <c r="B153" s="169"/>
      <c r="C153" s="156"/>
      <c r="D153" s="173"/>
      <c r="E153" s="95"/>
      <c r="F153" s="61"/>
      <c r="G153" s="95"/>
      <c r="H153" s="150"/>
      <c r="I153" s="137"/>
    </row>
    <row r="154" spans="1:9" ht="13.5" hidden="1" thickBot="1" x14ac:dyDescent="0.25">
      <c r="A154" s="29" t="s">
        <v>43</v>
      </c>
      <c r="B154" s="30"/>
      <c r="C154" s="59">
        <f>SUM(C149:C153)</f>
        <v>39880</v>
      </c>
      <c r="D154" s="129"/>
      <c r="E154" s="59">
        <f>SUM(E149:E153)</f>
        <v>31390</v>
      </c>
      <c r="F154" s="59">
        <f>SUM(F149:F153)</f>
        <v>0</v>
      </c>
      <c r="G154" s="30"/>
      <c r="H154" s="30"/>
      <c r="I154" s="31"/>
    </row>
    <row r="155" spans="1:9" ht="13.5" hidden="1" thickBot="1" x14ac:dyDescent="0.25"/>
    <row r="156" spans="1:9" ht="21" hidden="1" thickBot="1" x14ac:dyDescent="0.25">
      <c r="A156" s="489" t="s">
        <v>486</v>
      </c>
      <c r="B156" s="490"/>
      <c r="C156" s="490"/>
      <c r="D156" s="490"/>
      <c r="E156" s="490"/>
      <c r="F156" s="490"/>
      <c r="G156" s="490"/>
      <c r="H156" s="490"/>
      <c r="I156" s="491"/>
    </row>
    <row r="157" spans="1:9" ht="20.25" hidden="1" x14ac:dyDescent="0.3">
      <c r="A157" s="41"/>
      <c r="B157" s="13" t="s">
        <v>472</v>
      </c>
      <c r="C157" s="13" t="s">
        <v>473</v>
      </c>
      <c r="D157" s="13" t="s">
        <v>474</v>
      </c>
      <c r="E157" s="14"/>
      <c r="F157" s="14"/>
      <c r="G157" s="13"/>
      <c r="H157" s="13"/>
      <c r="I157" s="39"/>
    </row>
    <row r="158" spans="1:9" ht="20.25" hidden="1" x14ac:dyDescent="0.3">
      <c r="A158" s="41" t="s">
        <v>477</v>
      </c>
      <c r="B158" s="18">
        <v>39500</v>
      </c>
      <c r="C158" s="18">
        <v>37950</v>
      </c>
      <c r="D158" s="18">
        <v>34500</v>
      </c>
      <c r="E158" s="14"/>
      <c r="F158" s="14"/>
      <c r="G158" s="13"/>
      <c r="H158" s="13"/>
      <c r="I158" s="39"/>
    </row>
    <row r="159" spans="1:9" ht="20.25" hidden="1" x14ac:dyDescent="0.3">
      <c r="A159" s="41" t="s">
        <v>36</v>
      </c>
      <c r="B159" s="18">
        <f>IF(B192&gt;34500,34500,B192)</f>
        <v>0</v>
      </c>
      <c r="C159" s="18">
        <f>IF(C192&gt;34500,34500,C192)</f>
        <v>34500</v>
      </c>
      <c r="D159" s="18">
        <f>IF(D192&gt;34500,34500,D192)</f>
        <v>34500</v>
      </c>
      <c r="E159" s="14"/>
      <c r="F159" s="14"/>
      <c r="G159" s="13"/>
      <c r="H159" s="13"/>
      <c r="I159" s="39"/>
    </row>
    <row r="160" spans="1:9" ht="20.25" hidden="1" x14ac:dyDescent="0.3">
      <c r="A160" s="41" t="s">
        <v>475</v>
      </c>
      <c r="B160" s="18">
        <f>SUM(B158:B159)</f>
        <v>39500</v>
      </c>
      <c r="C160" s="18">
        <f>SUM(C158:C159)</f>
        <v>72450</v>
      </c>
      <c r="D160" s="18">
        <f>SUM(D158:D159)</f>
        <v>69000</v>
      </c>
      <c r="E160" s="130" t="s">
        <v>107</v>
      </c>
      <c r="F160" s="14"/>
      <c r="G160" s="13"/>
      <c r="H160" s="13"/>
      <c r="I160" s="39"/>
    </row>
    <row r="161" spans="1:9" ht="20.25" hidden="1" x14ac:dyDescent="0.3">
      <c r="A161" s="41" t="s">
        <v>47</v>
      </c>
      <c r="B161" s="18">
        <f>B193</f>
        <v>0</v>
      </c>
      <c r="C161" s="18">
        <f>IF(C193&gt;34500,34500,C193)</f>
        <v>34500</v>
      </c>
      <c r="D161" s="18">
        <f>IF(D193&gt;34500,34500,D193)</f>
        <v>34500</v>
      </c>
      <c r="E161" s="14"/>
      <c r="F161" s="14"/>
      <c r="G161" s="13"/>
      <c r="H161" s="13"/>
      <c r="I161" s="39"/>
    </row>
    <row r="162" spans="1:9" ht="20.25" hidden="1" x14ac:dyDescent="0.3">
      <c r="A162" s="41" t="s">
        <v>45</v>
      </c>
      <c r="B162" s="18">
        <f>B161+B158</f>
        <v>39500</v>
      </c>
      <c r="C162" s="18">
        <f>C161+C158</f>
        <v>72450</v>
      </c>
      <c r="D162" s="18">
        <f>D161+D158</f>
        <v>69000</v>
      </c>
      <c r="E162" s="151" t="s">
        <v>108</v>
      </c>
      <c r="F162" s="14"/>
      <c r="G162" s="13"/>
      <c r="H162" s="13"/>
      <c r="I162" s="39"/>
    </row>
    <row r="163" spans="1:9" ht="20.25" hidden="1" x14ac:dyDescent="0.3">
      <c r="A163" s="41" t="s">
        <v>39</v>
      </c>
      <c r="B163" s="18">
        <f>B160-E168</f>
        <v>0</v>
      </c>
      <c r="C163" s="18">
        <f>C160-E172</f>
        <v>64330.42</v>
      </c>
      <c r="D163" s="18">
        <f>D160-E183</f>
        <v>7146.7400000000052</v>
      </c>
      <c r="E163" s="151" t="s">
        <v>109</v>
      </c>
      <c r="F163" s="14"/>
      <c r="G163" s="13"/>
      <c r="H163" s="13"/>
      <c r="I163" s="39"/>
    </row>
    <row r="164" spans="1:9" hidden="1" x14ac:dyDescent="0.2">
      <c r="A164" s="41" t="s">
        <v>35</v>
      </c>
      <c r="B164" s="40">
        <f>B162-E168-F168</f>
        <v>0</v>
      </c>
      <c r="C164" s="40">
        <f>C162-E172-F172</f>
        <v>64330.42</v>
      </c>
      <c r="D164" s="47">
        <f>D162-E183-F183</f>
        <v>7146.7400000000052</v>
      </c>
      <c r="E164" s="493" t="s">
        <v>110</v>
      </c>
      <c r="F164" s="503"/>
      <c r="G164" s="503"/>
      <c r="H164" s="503"/>
      <c r="I164" s="39"/>
    </row>
    <row r="165" spans="1:9" ht="21" hidden="1" thickBot="1" x14ac:dyDescent="0.35">
      <c r="A165" s="41"/>
      <c r="B165" s="13"/>
      <c r="C165" s="13"/>
      <c r="D165" s="13"/>
      <c r="E165" s="14"/>
      <c r="F165" s="14"/>
      <c r="G165" s="13"/>
      <c r="H165" s="13"/>
      <c r="I165" s="39"/>
    </row>
    <row r="166" spans="1:9" ht="51" hidden="1" x14ac:dyDescent="0.2">
      <c r="A166" s="19" t="s">
        <v>41</v>
      </c>
      <c r="B166" s="20" t="s">
        <v>34</v>
      </c>
      <c r="C166" s="20" t="s">
        <v>64</v>
      </c>
      <c r="D166" s="20" t="s">
        <v>63</v>
      </c>
      <c r="E166" s="20" t="s">
        <v>37</v>
      </c>
      <c r="F166" s="20" t="s">
        <v>48</v>
      </c>
      <c r="G166" s="20" t="s">
        <v>40</v>
      </c>
      <c r="H166" s="20" t="s">
        <v>38</v>
      </c>
      <c r="I166" s="21" t="s">
        <v>5</v>
      </c>
    </row>
    <row r="167" spans="1:9" hidden="1" x14ac:dyDescent="0.2">
      <c r="A167" s="22" t="s">
        <v>10</v>
      </c>
      <c r="B167" s="23" t="s">
        <v>10</v>
      </c>
      <c r="C167" s="60">
        <v>39500</v>
      </c>
      <c r="D167" s="53"/>
      <c r="E167" s="60">
        <v>39500</v>
      </c>
      <c r="F167" s="60"/>
      <c r="G167" s="52" t="s">
        <v>490</v>
      </c>
      <c r="H167" s="23" t="s">
        <v>491</v>
      </c>
      <c r="I167" s="24"/>
    </row>
    <row r="168" spans="1:9" hidden="1" x14ac:dyDescent="0.2">
      <c r="A168" s="25" t="s">
        <v>43</v>
      </c>
      <c r="B168" s="26"/>
      <c r="C168" s="64">
        <f>C167</f>
        <v>39500</v>
      </c>
      <c r="D168" s="58"/>
      <c r="E168" s="64">
        <f>E167</f>
        <v>39500</v>
      </c>
      <c r="F168" s="64">
        <f>F167</f>
        <v>0</v>
      </c>
      <c r="G168" s="26"/>
      <c r="H168" s="26"/>
      <c r="I168" s="27"/>
    </row>
    <row r="169" spans="1:9" hidden="1" x14ac:dyDescent="0.2">
      <c r="A169" s="34"/>
      <c r="B169" s="34"/>
      <c r="C169" s="62"/>
      <c r="D169" s="128"/>
      <c r="E169" s="62"/>
      <c r="F169" s="62"/>
      <c r="G169" s="34"/>
      <c r="H169" s="34"/>
      <c r="I169" s="34"/>
    </row>
    <row r="170" spans="1:9" hidden="1" x14ac:dyDescent="0.2">
      <c r="A170" s="25" t="s">
        <v>44</v>
      </c>
      <c r="B170" s="228" t="s">
        <v>568</v>
      </c>
      <c r="C170" s="61">
        <v>6975.58</v>
      </c>
      <c r="D170" s="58">
        <v>43374</v>
      </c>
      <c r="E170" s="61">
        <v>6975.58</v>
      </c>
      <c r="F170" s="61"/>
      <c r="G170" s="26" t="s">
        <v>630</v>
      </c>
      <c r="H170" s="26" t="s">
        <v>487</v>
      </c>
      <c r="I170" s="89"/>
    </row>
    <row r="171" spans="1:9" hidden="1" x14ac:dyDescent="0.2">
      <c r="A171" s="25"/>
      <c r="B171" s="228"/>
      <c r="C171" s="61">
        <v>1144</v>
      </c>
      <c r="D171" s="58">
        <v>43551</v>
      </c>
      <c r="E171" s="61">
        <f>C171</f>
        <v>1144</v>
      </c>
      <c r="F171" s="61"/>
      <c r="G171" s="26" t="s">
        <v>639</v>
      </c>
      <c r="H171" s="26"/>
      <c r="I171" s="89"/>
    </row>
    <row r="172" spans="1:9" hidden="1" x14ac:dyDescent="0.2">
      <c r="A172" s="25" t="s">
        <v>43</v>
      </c>
      <c r="B172" s="26"/>
      <c r="C172" s="63">
        <f>C170</f>
        <v>6975.58</v>
      </c>
      <c r="D172" s="58"/>
      <c r="E172" s="63">
        <f>E170+E171</f>
        <v>8119.58</v>
      </c>
      <c r="F172" s="63">
        <f>F170+F171</f>
        <v>0</v>
      </c>
      <c r="G172" s="26"/>
      <c r="H172" s="26"/>
      <c r="I172" s="27"/>
    </row>
    <row r="173" spans="1:9" hidden="1" x14ac:dyDescent="0.2">
      <c r="A173" s="34"/>
      <c r="B173" s="34"/>
      <c r="C173" s="62"/>
      <c r="D173" s="128"/>
      <c r="E173" s="62"/>
      <c r="F173" s="62"/>
      <c r="G173" s="34"/>
      <c r="H173" s="34"/>
      <c r="I173" s="34"/>
    </row>
    <row r="174" spans="1:9" hidden="1" x14ac:dyDescent="0.2">
      <c r="A174" s="155" t="s">
        <v>42</v>
      </c>
      <c r="B174" s="154"/>
      <c r="C174" s="156"/>
      <c r="D174" s="153"/>
      <c r="E174" s="156"/>
      <c r="F174" s="61">
        <f>C174-E174</f>
        <v>0</v>
      </c>
      <c r="G174" s="150"/>
      <c r="H174" s="154"/>
      <c r="I174" s="44"/>
    </row>
    <row r="175" spans="1:9" hidden="1" x14ac:dyDescent="0.2">
      <c r="A175" s="155"/>
      <c r="B175" s="150" t="s">
        <v>10</v>
      </c>
      <c r="C175" s="156">
        <v>2000</v>
      </c>
      <c r="D175" s="56" t="s">
        <v>523</v>
      </c>
      <c r="E175" s="156">
        <v>2000</v>
      </c>
      <c r="F175" s="61">
        <f>C175-E175</f>
        <v>0</v>
      </c>
      <c r="G175" s="150" t="s">
        <v>553</v>
      </c>
      <c r="H175" s="150" t="s">
        <v>518</v>
      </c>
      <c r="I175" s="44"/>
    </row>
    <row r="176" spans="1:9" hidden="1" x14ac:dyDescent="0.2">
      <c r="A176" s="155"/>
      <c r="B176" s="150" t="s">
        <v>10</v>
      </c>
      <c r="C176" s="156">
        <v>5000</v>
      </c>
      <c r="D176" s="56" t="s">
        <v>528</v>
      </c>
      <c r="E176" s="150">
        <v>3762</v>
      </c>
      <c r="F176" s="61">
        <f>C176-E176</f>
        <v>1238</v>
      </c>
      <c r="G176" s="150" t="s">
        <v>647</v>
      </c>
      <c r="H176" s="150" t="s">
        <v>519</v>
      </c>
      <c r="I176" s="44" t="s">
        <v>100</v>
      </c>
    </row>
    <row r="177" spans="1:9" hidden="1" x14ac:dyDescent="0.2">
      <c r="A177" s="155"/>
      <c r="B177" s="150"/>
      <c r="C177" s="156"/>
      <c r="D177" s="56"/>
      <c r="E177" s="150"/>
      <c r="F177" s="61">
        <v>-1238</v>
      </c>
      <c r="G177" s="150"/>
      <c r="H177" s="150"/>
      <c r="I177" s="44" t="s">
        <v>642</v>
      </c>
    </row>
    <row r="178" spans="1:9" hidden="1" x14ac:dyDescent="0.2">
      <c r="A178" s="155"/>
      <c r="B178" s="150" t="s">
        <v>10</v>
      </c>
      <c r="C178" s="156">
        <v>27500</v>
      </c>
      <c r="D178" s="56" t="s">
        <v>549</v>
      </c>
      <c r="E178" s="156">
        <v>23626</v>
      </c>
      <c r="F178" s="61">
        <f>C178-E178</f>
        <v>3874</v>
      </c>
      <c r="G178" s="150" t="s">
        <v>640</v>
      </c>
      <c r="H178" s="150" t="s">
        <v>548</v>
      </c>
      <c r="I178" s="83"/>
    </row>
    <row r="179" spans="1:9" hidden="1" x14ac:dyDescent="0.2">
      <c r="A179" s="155"/>
      <c r="B179" s="150"/>
      <c r="C179" s="156"/>
      <c r="D179" s="56"/>
      <c r="E179" s="150"/>
      <c r="F179" s="61">
        <v>-3874</v>
      </c>
      <c r="G179" s="150"/>
      <c r="H179" s="150"/>
      <c r="I179" s="83"/>
    </row>
    <row r="180" spans="1:9" hidden="1" x14ac:dyDescent="0.2">
      <c r="A180" s="155"/>
      <c r="B180" s="169" t="s">
        <v>532</v>
      </c>
      <c r="C180" s="156">
        <v>34500</v>
      </c>
      <c r="D180" s="173" t="s">
        <v>555</v>
      </c>
      <c r="E180" s="95">
        <v>32465.26</v>
      </c>
      <c r="F180" s="61">
        <f>C180-E180</f>
        <v>2034.7400000000016</v>
      </c>
      <c r="G180" s="90" t="s">
        <v>637</v>
      </c>
      <c r="H180" s="150" t="s">
        <v>548</v>
      </c>
      <c r="I180" s="83"/>
    </row>
    <row r="181" spans="1:9" hidden="1" x14ac:dyDescent="0.2">
      <c r="A181" s="155"/>
      <c r="B181" s="169"/>
      <c r="C181" s="156"/>
      <c r="D181" s="173"/>
      <c r="E181" s="95"/>
      <c r="F181" s="61">
        <v>-2034.74</v>
      </c>
      <c r="G181" s="95"/>
      <c r="H181" s="150"/>
      <c r="I181" s="83"/>
    </row>
    <row r="182" spans="1:9" hidden="1" x14ac:dyDescent="0.2">
      <c r="A182" s="136"/>
      <c r="B182" s="169"/>
      <c r="C182" s="156"/>
      <c r="D182" s="173"/>
      <c r="E182" s="95"/>
      <c r="F182" s="61"/>
      <c r="G182" s="95"/>
      <c r="H182" s="150"/>
      <c r="I182" s="137"/>
    </row>
    <row r="183" spans="1:9" ht="13.5" hidden="1" thickBot="1" x14ac:dyDescent="0.25">
      <c r="A183" s="29" t="s">
        <v>43</v>
      </c>
      <c r="B183" s="30"/>
      <c r="C183" s="59">
        <f>SUM(C174:C182)</f>
        <v>69000</v>
      </c>
      <c r="D183" s="129"/>
      <c r="E183" s="59">
        <f>SUM(E174:E182)</f>
        <v>61853.259999999995</v>
      </c>
      <c r="F183" s="59">
        <f>SUM(F174:F182)</f>
        <v>0</v>
      </c>
      <c r="G183" s="30"/>
      <c r="H183" s="30"/>
      <c r="I183" s="31"/>
    </row>
    <row r="184" spans="1:9" ht="13.5" hidden="1" thickBot="1" x14ac:dyDescent="0.25"/>
    <row r="185" spans="1:9" ht="21" hidden="1" thickBot="1" x14ac:dyDescent="0.25">
      <c r="A185" s="489" t="s">
        <v>330</v>
      </c>
      <c r="B185" s="490"/>
      <c r="C185" s="490"/>
      <c r="D185" s="490"/>
      <c r="E185" s="490"/>
      <c r="F185" s="490"/>
      <c r="G185" s="490"/>
      <c r="H185" s="490"/>
      <c r="I185" s="491"/>
    </row>
    <row r="186" spans="1:9" ht="20.25" hidden="1" x14ac:dyDescent="0.3">
      <c r="A186" s="41"/>
      <c r="B186" s="13" t="s">
        <v>322</v>
      </c>
      <c r="C186" s="13" t="s">
        <v>323</v>
      </c>
      <c r="D186" s="13" t="s">
        <v>324</v>
      </c>
      <c r="E186" s="14"/>
      <c r="F186" s="14"/>
      <c r="G186" s="13"/>
      <c r="H186" s="13"/>
      <c r="I186" s="39"/>
    </row>
    <row r="187" spans="1:9" ht="20.25" hidden="1" x14ac:dyDescent="0.3">
      <c r="A187" s="41" t="s">
        <v>328</v>
      </c>
      <c r="B187" s="18">
        <v>34500</v>
      </c>
      <c r="C187" s="18">
        <v>34500</v>
      </c>
      <c r="D187" s="18">
        <v>34500</v>
      </c>
      <c r="E187" s="14"/>
      <c r="F187" s="14"/>
      <c r="G187" s="13"/>
      <c r="H187" s="13"/>
      <c r="I187" s="39"/>
    </row>
    <row r="188" spans="1:9" ht="20.25" hidden="1" x14ac:dyDescent="0.3">
      <c r="A188" s="41" t="s">
        <v>36</v>
      </c>
      <c r="B188" s="18">
        <f>IF(B215&gt;34500,34500,B215)</f>
        <v>0</v>
      </c>
      <c r="C188" s="18">
        <f>IF(C215&gt;34500,34500,C215)</f>
        <v>34500</v>
      </c>
      <c r="D188" s="18">
        <f>IF(D215&gt;34500,34500,D215)</f>
        <v>7268.8899999999994</v>
      </c>
      <c r="E188" s="14"/>
      <c r="F188" s="14"/>
      <c r="G188" s="13"/>
      <c r="H188" s="13"/>
      <c r="I188" s="39"/>
    </row>
    <row r="189" spans="1:9" ht="20.25" hidden="1" x14ac:dyDescent="0.3">
      <c r="A189" s="41" t="s">
        <v>325</v>
      </c>
      <c r="B189" s="18">
        <f>SUM(B187:B188)</f>
        <v>34500</v>
      </c>
      <c r="C189" s="18">
        <f>SUM(C187:C188)</f>
        <v>69000</v>
      </c>
      <c r="D189" s="18">
        <f>SUM(D187:D188)</f>
        <v>41768.89</v>
      </c>
      <c r="E189" s="130" t="s">
        <v>107</v>
      </c>
      <c r="F189" s="14"/>
      <c r="G189" s="13"/>
      <c r="H189" s="13"/>
      <c r="I189" s="39"/>
    </row>
    <row r="190" spans="1:9" ht="20.25" hidden="1" x14ac:dyDescent="0.3">
      <c r="A190" s="41" t="s">
        <v>47</v>
      </c>
      <c r="B190" s="18">
        <f>B216</f>
        <v>0</v>
      </c>
      <c r="C190" s="18">
        <f>IF(C216&gt;34500,34500,C216)</f>
        <v>34500</v>
      </c>
      <c r="D190" s="18">
        <f>IF(D216&gt;34500,34500,D216)</f>
        <v>4850.3499999999995</v>
      </c>
      <c r="E190" s="14"/>
      <c r="F190" s="14"/>
      <c r="G190" s="13"/>
      <c r="H190" s="13"/>
      <c r="I190" s="39"/>
    </row>
    <row r="191" spans="1:9" ht="20.25" hidden="1" x14ac:dyDescent="0.3">
      <c r="A191" s="41" t="s">
        <v>45</v>
      </c>
      <c r="B191" s="18">
        <f>B190+B187</f>
        <v>34500</v>
      </c>
      <c r="C191" s="18">
        <f>C190+C187</f>
        <v>69000</v>
      </c>
      <c r="D191" s="18">
        <f>D190+D187</f>
        <v>39350.35</v>
      </c>
      <c r="E191" s="151" t="s">
        <v>108</v>
      </c>
      <c r="F191" s="14"/>
      <c r="G191" s="13"/>
      <c r="H191" s="13"/>
      <c r="I191" s="39"/>
    </row>
    <row r="192" spans="1:9" ht="20.25" hidden="1" x14ac:dyDescent="0.3">
      <c r="A192" s="41" t="s">
        <v>39</v>
      </c>
      <c r="B192" s="18">
        <f>B189-E197</f>
        <v>0</v>
      </c>
      <c r="C192" s="18">
        <f>C189-E200</f>
        <v>66243.25</v>
      </c>
      <c r="D192" s="18">
        <f>D189-E206</f>
        <v>41768.89</v>
      </c>
      <c r="E192" s="151" t="s">
        <v>109</v>
      </c>
      <c r="F192" s="14"/>
      <c r="G192" s="13"/>
      <c r="H192" s="13"/>
      <c r="I192" s="39"/>
    </row>
    <row r="193" spans="1:9" hidden="1" x14ac:dyDescent="0.2">
      <c r="A193" s="41" t="s">
        <v>35</v>
      </c>
      <c r="B193" s="40">
        <f>B191-E197-F197</f>
        <v>0</v>
      </c>
      <c r="C193" s="40">
        <f>C191-E200-F200</f>
        <v>66243.25</v>
      </c>
      <c r="D193" s="47">
        <f>D191-E206-F206</f>
        <v>39350.35</v>
      </c>
      <c r="E193" s="493" t="s">
        <v>110</v>
      </c>
      <c r="F193" s="503"/>
      <c r="G193" s="503"/>
      <c r="H193" s="503"/>
      <c r="I193" s="39"/>
    </row>
    <row r="194" spans="1:9" ht="21" hidden="1" thickBot="1" x14ac:dyDescent="0.35">
      <c r="A194" s="41"/>
      <c r="B194" s="13"/>
      <c r="C194" s="13"/>
      <c r="D194" s="13"/>
      <c r="E194" s="14"/>
      <c r="F194" s="14"/>
      <c r="G194" s="13"/>
      <c r="H194" s="13"/>
      <c r="I194" s="39"/>
    </row>
    <row r="195" spans="1:9" ht="51" hidden="1" x14ac:dyDescent="0.2">
      <c r="A195" s="19" t="s">
        <v>41</v>
      </c>
      <c r="B195" s="20" t="s">
        <v>34</v>
      </c>
      <c r="C195" s="20" t="s">
        <v>64</v>
      </c>
      <c r="D195" s="20" t="s">
        <v>63</v>
      </c>
      <c r="E195" s="20" t="s">
        <v>37</v>
      </c>
      <c r="F195" s="20" t="s">
        <v>48</v>
      </c>
      <c r="G195" s="20" t="s">
        <v>40</v>
      </c>
      <c r="H195" s="20" t="s">
        <v>38</v>
      </c>
      <c r="I195" s="21" t="s">
        <v>5</v>
      </c>
    </row>
    <row r="196" spans="1:9" hidden="1" x14ac:dyDescent="0.2">
      <c r="A196" s="22" t="s">
        <v>10</v>
      </c>
      <c r="B196" s="23" t="s">
        <v>10</v>
      </c>
      <c r="C196" s="60">
        <v>34500</v>
      </c>
      <c r="D196" s="53">
        <v>42738</v>
      </c>
      <c r="E196" s="60">
        <v>34500</v>
      </c>
      <c r="F196" s="60"/>
      <c r="G196" s="52" t="s">
        <v>354</v>
      </c>
      <c r="H196" s="23" t="s">
        <v>355</v>
      </c>
      <c r="I196" s="24"/>
    </row>
    <row r="197" spans="1:9" hidden="1" x14ac:dyDescent="0.2">
      <c r="A197" s="25" t="s">
        <v>43</v>
      </c>
      <c r="B197" s="26"/>
      <c r="C197" s="64">
        <f>C196</f>
        <v>34500</v>
      </c>
      <c r="D197" s="58"/>
      <c r="E197" s="64">
        <f>E196</f>
        <v>34500</v>
      </c>
      <c r="F197" s="64">
        <f>F196</f>
        <v>0</v>
      </c>
      <c r="G197" s="26"/>
      <c r="H197" s="26"/>
      <c r="I197" s="27"/>
    </row>
    <row r="198" spans="1:9" hidden="1" x14ac:dyDescent="0.2">
      <c r="A198" s="34"/>
      <c r="B198" s="34"/>
      <c r="C198" s="62"/>
      <c r="D198" s="128"/>
      <c r="E198" s="62"/>
      <c r="F198" s="62"/>
      <c r="G198" s="34"/>
      <c r="H198" s="34"/>
      <c r="I198" s="34"/>
    </row>
    <row r="199" spans="1:9" hidden="1" x14ac:dyDescent="0.2">
      <c r="A199" s="25" t="s">
        <v>44</v>
      </c>
      <c r="B199" s="26" t="s">
        <v>18</v>
      </c>
      <c r="C199" s="61">
        <v>2756.75</v>
      </c>
      <c r="D199" s="58"/>
      <c r="E199" s="61">
        <v>2756.75</v>
      </c>
      <c r="F199" s="61"/>
      <c r="G199" s="26" t="s">
        <v>498</v>
      </c>
      <c r="H199" s="26" t="s">
        <v>499</v>
      </c>
      <c r="I199" s="89"/>
    </row>
    <row r="200" spans="1:9" hidden="1" x14ac:dyDescent="0.2">
      <c r="A200" s="25" t="s">
        <v>43</v>
      </c>
      <c r="B200" s="26"/>
      <c r="C200" s="63">
        <f>C199</f>
        <v>2756.75</v>
      </c>
      <c r="D200" s="58"/>
      <c r="E200" s="63">
        <f>E199</f>
        <v>2756.75</v>
      </c>
      <c r="F200" s="63">
        <f>F199</f>
        <v>0</v>
      </c>
      <c r="G200" s="26"/>
      <c r="H200" s="26"/>
      <c r="I200" s="27"/>
    </row>
    <row r="201" spans="1:9" hidden="1" x14ac:dyDescent="0.2">
      <c r="A201" s="34"/>
      <c r="B201" s="34"/>
      <c r="C201" s="62"/>
      <c r="D201" s="128"/>
      <c r="E201" s="62"/>
      <c r="F201" s="62"/>
      <c r="G201" s="34"/>
      <c r="H201" s="34"/>
      <c r="I201" s="34"/>
    </row>
    <row r="202" spans="1:9" hidden="1" x14ac:dyDescent="0.2">
      <c r="A202" s="155" t="s">
        <v>42</v>
      </c>
      <c r="B202" s="154"/>
      <c r="C202" s="156"/>
      <c r="D202" s="153"/>
      <c r="E202" s="156"/>
      <c r="F202" s="61">
        <f>C202-E202</f>
        <v>0</v>
      </c>
      <c r="G202" s="150"/>
      <c r="H202" s="154"/>
      <c r="I202" s="44"/>
    </row>
    <row r="203" spans="1:9" hidden="1" x14ac:dyDescent="0.2">
      <c r="A203" s="155"/>
      <c r="B203" s="150"/>
      <c r="C203" s="156"/>
      <c r="D203" s="56"/>
      <c r="E203" s="156"/>
      <c r="F203" s="61">
        <f>C203-E203</f>
        <v>0</v>
      </c>
      <c r="G203" s="150"/>
      <c r="H203" s="150"/>
      <c r="I203" s="44"/>
    </row>
    <row r="204" spans="1:9" hidden="1" x14ac:dyDescent="0.2">
      <c r="A204" s="155"/>
      <c r="B204" s="150"/>
      <c r="C204" s="156"/>
      <c r="D204" s="56"/>
      <c r="E204" s="150"/>
      <c r="F204" s="61">
        <f>C204-E204</f>
        <v>0</v>
      </c>
      <c r="G204" s="150"/>
      <c r="H204" s="150"/>
      <c r="I204" s="83"/>
    </row>
    <row r="205" spans="1:9" hidden="1" x14ac:dyDescent="0.2">
      <c r="A205" s="136"/>
      <c r="B205" s="169"/>
      <c r="C205" s="156"/>
      <c r="D205" s="173"/>
      <c r="E205" s="95"/>
      <c r="F205" s="61">
        <f>C205-E205</f>
        <v>0</v>
      </c>
      <c r="G205" s="95"/>
      <c r="H205" s="150"/>
      <c r="I205" s="137"/>
    </row>
    <row r="206" spans="1:9" ht="13.5" hidden="1" thickBot="1" x14ac:dyDescent="0.25">
      <c r="A206" s="29" t="s">
        <v>43</v>
      </c>
      <c r="B206" s="30"/>
      <c r="C206" s="59">
        <f>SUM(C202:C205)</f>
        <v>0</v>
      </c>
      <c r="D206" s="129"/>
      <c r="E206" s="59">
        <f>SUM(E202:E205)</f>
        <v>0</v>
      </c>
      <c r="F206" s="59">
        <f>SUM(F202:F205)</f>
        <v>0</v>
      </c>
      <c r="G206" s="30"/>
      <c r="H206" s="30"/>
      <c r="I206" s="31"/>
    </row>
    <row r="207" spans="1:9" ht="13.5" hidden="1" thickBot="1" x14ac:dyDescent="0.25"/>
    <row r="208" spans="1:9" ht="21" hidden="1" thickBot="1" x14ac:dyDescent="0.25">
      <c r="A208" s="489" t="s">
        <v>216</v>
      </c>
      <c r="B208" s="490"/>
      <c r="C208" s="490"/>
      <c r="D208" s="490"/>
      <c r="E208" s="490"/>
      <c r="F208" s="490"/>
      <c r="G208" s="490"/>
      <c r="H208" s="490"/>
      <c r="I208" s="491"/>
    </row>
    <row r="209" spans="1:9" ht="20.25" hidden="1" x14ac:dyDescent="0.3">
      <c r="A209" s="41"/>
      <c r="B209" s="13" t="s">
        <v>208</v>
      </c>
      <c r="C209" s="13" t="s">
        <v>209</v>
      </c>
      <c r="D209" s="13" t="s">
        <v>210</v>
      </c>
      <c r="E209" s="14"/>
      <c r="F209" s="14"/>
      <c r="G209" s="13"/>
      <c r="H209" s="13"/>
      <c r="I209" s="39"/>
    </row>
    <row r="210" spans="1:9" ht="20.25" hidden="1" x14ac:dyDescent="0.3">
      <c r="A210" s="41" t="s">
        <v>214</v>
      </c>
      <c r="B210" s="18">
        <v>34500</v>
      </c>
      <c r="C210" s="18">
        <v>34500</v>
      </c>
      <c r="D210" s="18">
        <v>34500</v>
      </c>
      <c r="E210" s="14"/>
      <c r="F210" s="14"/>
      <c r="G210" s="13"/>
      <c r="H210" s="13"/>
      <c r="I210" s="39"/>
    </row>
    <row r="211" spans="1:9" ht="20.25" hidden="1" x14ac:dyDescent="0.3">
      <c r="A211" s="41" t="s">
        <v>36</v>
      </c>
      <c r="B211" s="18">
        <f>IF(B243&gt;34500,34500,B243)</f>
        <v>0</v>
      </c>
      <c r="C211" s="18">
        <f>IF(C243&gt;34500,34500,C243)</f>
        <v>34500</v>
      </c>
      <c r="D211" s="18">
        <f>IF(D243&gt;34500,34500,D243)</f>
        <v>631.5</v>
      </c>
      <c r="E211" s="14"/>
      <c r="F211" s="14"/>
      <c r="G211" s="13"/>
      <c r="H211" s="13"/>
      <c r="I211" s="39"/>
    </row>
    <row r="212" spans="1:9" ht="20.25" hidden="1" x14ac:dyDescent="0.3">
      <c r="A212" s="41" t="s">
        <v>211</v>
      </c>
      <c r="B212" s="18">
        <f>SUM(B210:B211)</f>
        <v>34500</v>
      </c>
      <c r="C212" s="18">
        <f>SUM(C210:C211)</f>
        <v>69000</v>
      </c>
      <c r="D212" s="18">
        <f>SUM(D210:D211)</f>
        <v>35131.5</v>
      </c>
      <c r="E212" s="130" t="s">
        <v>107</v>
      </c>
      <c r="F212" s="14"/>
      <c r="G212" s="13"/>
      <c r="H212" s="13"/>
      <c r="I212" s="39"/>
    </row>
    <row r="213" spans="1:9" ht="20.25" hidden="1" x14ac:dyDescent="0.3">
      <c r="A213" s="41" t="s">
        <v>47</v>
      </c>
      <c r="B213" s="18">
        <f>B244</f>
        <v>0</v>
      </c>
      <c r="C213" s="18">
        <f>IF(C244&gt;34500,34500,C244)</f>
        <v>34500</v>
      </c>
      <c r="D213" s="18">
        <f>IF(D244&gt;34500,34500,D244)</f>
        <v>631.5</v>
      </c>
      <c r="E213" s="14"/>
      <c r="F213" s="14"/>
      <c r="G213" s="13"/>
      <c r="H213" s="13"/>
      <c r="I213" s="39"/>
    </row>
    <row r="214" spans="1:9" ht="20.25" hidden="1" x14ac:dyDescent="0.3">
      <c r="A214" s="41" t="s">
        <v>45</v>
      </c>
      <c r="B214" s="18">
        <f>B213+B210</f>
        <v>34500</v>
      </c>
      <c r="C214" s="18">
        <f>C213+C210</f>
        <v>69000</v>
      </c>
      <c r="D214" s="18">
        <f>D213+D210</f>
        <v>35131.5</v>
      </c>
      <c r="E214" s="151" t="s">
        <v>108</v>
      </c>
      <c r="F214" s="14"/>
      <c r="G214" s="13"/>
      <c r="H214" s="13"/>
      <c r="I214" s="39"/>
    </row>
    <row r="215" spans="1:9" ht="20.25" hidden="1" x14ac:dyDescent="0.3">
      <c r="A215" s="41" t="s">
        <v>39</v>
      </c>
      <c r="B215" s="18">
        <f>B212-E220</f>
        <v>0</v>
      </c>
      <c r="C215" s="18">
        <f>C212-E223</f>
        <v>69000</v>
      </c>
      <c r="D215" s="18">
        <f>D212-E234</f>
        <v>7268.8899999999994</v>
      </c>
      <c r="E215" s="151" t="s">
        <v>109</v>
      </c>
      <c r="F215" s="14"/>
      <c r="G215" s="13"/>
      <c r="H215" s="13"/>
      <c r="I215" s="39"/>
    </row>
    <row r="216" spans="1:9" hidden="1" x14ac:dyDescent="0.2">
      <c r="A216" s="41" t="s">
        <v>35</v>
      </c>
      <c r="B216" s="40">
        <f>B214-E220-F220</f>
        <v>0</v>
      </c>
      <c r="C216" s="40">
        <f>C214-E223-F223</f>
        <v>54979.15</v>
      </c>
      <c r="D216" s="47">
        <f>D214-E234-F234</f>
        <v>4850.3499999999995</v>
      </c>
      <c r="E216" s="493" t="s">
        <v>110</v>
      </c>
      <c r="F216" s="503"/>
      <c r="G216" s="503"/>
      <c r="H216" s="503"/>
      <c r="I216" s="39"/>
    </row>
    <row r="217" spans="1:9" ht="21" hidden="1" thickBot="1" x14ac:dyDescent="0.35">
      <c r="A217" s="41"/>
      <c r="B217" s="13"/>
      <c r="C217" s="13"/>
      <c r="D217" s="13"/>
      <c r="E217" s="14"/>
      <c r="F217" s="14"/>
      <c r="G217" s="13"/>
      <c r="H217" s="13"/>
      <c r="I217" s="39"/>
    </row>
    <row r="218" spans="1:9" ht="51" hidden="1" x14ac:dyDescent="0.2">
      <c r="A218" s="19" t="s">
        <v>41</v>
      </c>
      <c r="B218" s="20" t="s">
        <v>34</v>
      </c>
      <c r="C218" s="20" t="s">
        <v>64</v>
      </c>
      <c r="D218" s="20" t="s">
        <v>63</v>
      </c>
      <c r="E218" s="20" t="s">
        <v>37</v>
      </c>
      <c r="F218" s="20" t="s">
        <v>48</v>
      </c>
      <c r="G218" s="20" t="s">
        <v>40</v>
      </c>
      <c r="H218" s="20" t="s">
        <v>38</v>
      </c>
      <c r="I218" s="21" t="s">
        <v>5</v>
      </c>
    </row>
    <row r="219" spans="1:9" hidden="1" x14ac:dyDescent="0.2">
      <c r="A219" s="22" t="s">
        <v>10</v>
      </c>
      <c r="B219" s="23" t="s">
        <v>10</v>
      </c>
      <c r="C219" s="60">
        <v>34500</v>
      </c>
      <c r="D219" s="53">
        <v>42373</v>
      </c>
      <c r="E219" s="60">
        <v>34500</v>
      </c>
      <c r="F219" s="60"/>
      <c r="G219" s="52" t="s">
        <v>227</v>
      </c>
      <c r="H219" s="23" t="s">
        <v>228</v>
      </c>
      <c r="I219" s="24"/>
    </row>
    <row r="220" spans="1:9" hidden="1" x14ac:dyDescent="0.2">
      <c r="A220" s="25" t="s">
        <v>43</v>
      </c>
      <c r="B220" s="26"/>
      <c r="C220" s="64">
        <f>C219</f>
        <v>34500</v>
      </c>
      <c r="D220" s="58"/>
      <c r="E220" s="64">
        <f>E219</f>
        <v>34500</v>
      </c>
      <c r="F220" s="64">
        <f>F219</f>
        <v>0</v>
      </c>
      <c r="G220" s="26"/>
      <c r="H220" s="26"/>
      <c r="I220" s="27"/>
    </row>
    <row r="221" spans="1:9" hidden="1" x14ac:dyDescent="0.2">
      <c r="A221" s="34"/>
      <c r="B221" s="34"/>
      <c r="C221" s="62"/>
      <c r="D221" s="128"/>
      <c r="E221" s="62"/>
      <c r="F221" s="62"/>
      <c r="G221" s="34"/>
      <c r="H221" s="34"/>
      <c r="I221" s="34"/>
    </row>
    <row r="222" spans="1:9" hidden="1" x14ac:dyDescent="0.2">
      <c r="A222" s="25" t="s">
        <v>44</v>
      </c>
      <c r="B222" s="26" t="s">
        <v>18</v>
      </c>
      <c r="C222" s="61">
        <v>14020.85</v>
      </c>
      <c r="D222" s="58">
        <v>42818</v>
      </c>
      <c r="E222" s="61"/>
      <c r="F222" s="61">
        <f>C222</f>
        <v>14020.85</v>
      </c>
      <c r="G222" s="26" t="s">
        <v>399</v>
      </c>
      <c r="H222" s="26" t="s">
        <v>396</v>
      </c>
      <c r="I222" s="89"/>
    </row>
    <row r="223" spans="1:9" hidden="1" x14ac:dyDescent="0.2">
      <c r="A223" s="25" t="s">
        <v>43</v>
      </c>
      <c r="B223" s="26"/>
      <c r="C223" s="63">
        <f>C222</f>
        <v>14020.85</v>
      </c>
      <c r="D223" s="58"/>
      <c r="E223" s="63">
        <f>E222</f>
        <v>0</v>
      </c>
      <c r="F223" s="63">
        <f>F222</f>
        <v>14020.85</v>
      </c>
      <c r="G223" s="26"/>
      <c r="H223" s="26"/>
      <c r="I223" s="27"/>
    </row>
    <row r="224" spans="1:9" hidden="1" x14ac:dyDescent="0.2">
      <c r="A224" s="34"/>
      <c r="B224" s="34"/>
      <c r="C224" s="62"/>
      <c r="D224" s="128"/>
      <c r="E224" s="62"/>
      <c r="F224" s="62"/>
      <c r="G224" s="34"/>
      <c r="H224" s="34"/>
      <c r="I224" s="34"/>
    </row>
    <row r="225" spans="1:9" hidden="1" x14ac:dyDescent="0.2">
      <c r="A225" s="155" t="s">
        <v>42</v>
      </c>
      <c r="B225" s="154"/>
      <c r="C225" s="156"/>
      <c r="D225" s="153"/>
      <c r="E225" s="156"/>
      <c r="F225" s="61"/>
      <c r="G225" s="150"/>
      <c r="H225" s="154"/>
      <c r="I225" s="44"/>
    </row>
    <row r="226" spans="1:9" hidden="1" x14ac:dyDescent="0.2">
      <c r="A226" s="155"/>
      <c r="B226" s="150" t="s">
        <v>18</v>
      </c>
      <c r="C226" s="156">
        <v>8000</v>
      </c>
      <c r="D226" s="56" t="s">
        <v>230</v>
      </c>
      <c r="E226" s="156">
        <v>5581.46</v>
      </c>
      <c r="F226" s="61">
        <f>C226-E226</f>
        <v>2418.54</v>
      </c>
      <c r="G226" s="150" t="s">
        <v>283</v>
      </c>
      <c r="H226" s="150" t="s">
        <v>226</v>
      </c>
      <c r="I226" s="44" t="s">
        <v>281</v>
      </c>
    </row>
    <row r="227" spans="1:9" hidden="1" x14ac:dyDescent="0.2">
      <c r="A227" s="155"/>
      <c r="B227" s="150"/>
      <c r="C227" s="156"/>
      <c r="D227" s="56"/>
      <c r="E227" s="156">
        <v>853.15</v>
      </c>
      <c r="F227" s="61">
        <f>C226-E226-E227</f>
        <v>1565.3899999999999</v>
      </c>
      <c r="G227" s="150" t="s">
        <v>352</v>
      </c>
      <c r="H227" s="150"/>
      <c r="I227" s="44" t="s">
        <v>98</v>
      </c>
    </row>
    <row r="228" spans="1:9" hidden="1" x14ac:dyDescent="0.2">
      <c r="A228" s="155"/>
      <c r="B228" s="150"/>
      <c r="C228" s="156"/>
      <c r="D228" s="56"/>
      <c r="E228" s="156"/>
      <c r="F228" s="61">
        <v>-1565.39</v>
      </c>
      <c r="G228" s="150"/>
      <c r="H228" s="150"/>
      <c r="I228" s="44" t="s">
        <v>99</v>
      </c>
    </row>
    <row r="229" spans="1:9" hidden="1" x14ac:dyDescent="0.2">
      <c r="A229" s="155"/>
      <c r="B229" s="150" t="s">
        <v>18</v>
      </c>
      <c r="C229" s="156">
        <v>9565</v>
      </c>
      <c r="D229" s="56" t="s">
        <v>275</v>
      </c>
      <c r="E229" s="156">
        <v>9565</v>
      </c>
      <c r="F229" s="61">
        <f>C229-E229</f>
        <v>0</v>
      </c>
      <c r="G229" s="150" t="s">
        <v>347</v>
      </c>
      <c r="H229" s="150" t="s">
        <v>274</v>
      </c>
      <c r="I229" s="83"/>
    </row>
    <row r="230" spans="1:9" hidden="1" x14ac:dyDescent="0.2">
      <c r="A230" s="155"/>
      <c r="B230" s="494" t="s">
        <v>10</v>
      </c>
      <c r="C230" s="502">
        <v>9000</v>
      </c>
      <c r="D230" s="498" t="s">
        <v>278</v>
      </c>
      <c r="E230" s="502">
        <v>6613</v>
      </c>
      <c r="F230" s="61">
        <f>C230-E230</f>
        <v>2387</v>
      </c>
      <c r="G230" s="494" t="s">
        <v>314</v>
      </c>
      <c r="H230" s="494" t="s">
        <v>274</v>
      </c>
      <c r="I230" s="44" t="s">
        <v>98</v>
      </c>
    </row>
    <row r="231" spans="1:9" hidden="1" x14ac:dyDescent="0.2">
      <c r="A231" s="155"/>
      <c r="B231" s="495"/>
      <c r="C231" s="497"/>
      <c r="D231" s="495"/>
      <c r="E231" s="497"/>
      <c r="F231" s="61">
        <v>-2387</v>
      </c>
      <c r="G231" s="495"/>
      <c r="H231" s="495"/>
      <c r="I231" s="44" t="s">
        <v>99</v>
      </c>
    </row>
    <row r="232" spans="1:9" hidden="1" x14ac:dyDescent="0.2">
      <c r="A232" s="136"/>
      <c r="B232" s="169" t="s">
        <v>10</v>
      </c>
      <c r="C232" s="156">
        <v>8000</v>
      </c>
      <c r="D232" s="173" t="s">
        <v>282</v>
      </c>
      <c r="E232" s="502">
        <v>5250</v>
      </c>
      <c r="F232" s="61">
        <f>C232-E232</f>
        <v>2750</v>
      </c>
      <c r="G232" s="90" t="s">
        <v>348</v>
      </c>
      <c r="H232" s="150" t="s">
        <v>226</v>
      </c>
      <c r="I232" s="137"/>
    </row>
    <row r="233" spans="1:9" hidden="1" x14ac:dyDescent="0.2">
      <c r="A233" s="189"/>
      <c r="B233" s="186"/>
      <c r="C233" s="156"/>
      <c r="D233" s="173"/>
      <c r="E233" s="497"/>
      <c r="F233" s="156">
        <v>-2750</v>
      </c>
      <c r="G233" s="190"/>
      <c r="H233" s="150"/>
      <c r="I233" s="191"/>
    </row>
    <row r="234" spans="1:9" ht="13.5" hidden="1" thickBot="1" x14ac:dyDescent="0.25">
      <c r="A234" s="29" t="s">
        <v>43</v>
      </c>
      <c r="B234" s="30"/>
      <c r="C234" s="59">
        <f>SUM(C225:C232)</f>
        <v>34565</v>
      </c>
      <c r="D234" s="129"/>
      <c r="E234" s="59">
        <f>SUM(E225:E233)</f>
        <v>27862.61</v>
      </c>
      <c r="F234" s="59">
        <f>SUM(F225:F233)</f>
        <v>2418.54</v>
      </c>
      <c r="G234" s="30"/>
      <c r="H234" s="30"/>
      <c r="I234" s="31"/>
    </row>
    <row r="235" spans="1:9" ht="13.5" hidden="1" thickBot="1" x14ac:dyDescent="0.25"/>
    <row r="236" spans="1:9" ht="21" hidden="1" thickBot="1" x14ac:dyDescent="0.25">
      <c r="A236" s="489" t="s">
        <v>126</v>
      </c>
      <c r="B236" s="490"/>
      <c r="C236" s="490"/>
      <c r="D236" s="490"/>
      <c r="E236" s="490"/>
      <c r="F236" s="490"/>
      <c r="G236" s="490"/>
      <c r="H236" s="490"/>
      <c r="I236" s="491"/>
    </row>
    <row r="237" spans="1:9" ht="20.25" hidden="1" x14ac:dyDescent="0.3">
      <c r="A237" s="41"/>
      <c r="B237" s="13" t="s">
        <v>118</v>
      </c>
      <c r="C237" s="13" t="s">
        <v>119</v>
      </c>
      <c r="D237" s="13" t="s">
        <v>120</v>
      </c>
      <c r="E237" s="14"/>
      <c r="F237" s="14"/>
      <c r="G237" s="13"/>
      <c r="H237" s="13"/>
      <c r="I237" s="39"/>
    </row>
    <row r="238" spans="1:9" ht="20.25" hidden="1" x14ac:dyDescent="0.3">
      <c r="A238" s="41" t="s">
        <v>124</v>
      </c>
      <c r="B238" s="18">
        <v>34500</v>
      </c>
      <c r="C238" s="18">
        <v>34500</v>
      </c>
      <c r="D238" s="18">
        <v>34500</v>
      </c>
      <c r="E238" s="14"/>
      <c r="F238" s="14"/>
      <c r="G238" s="13"/>
      <c r="H238" s="13"/>
      <c r="I238" s="39"/>
    </row>
    <row r="239" spans="1:9" ht="20.25" hidden="1" x14ac:dyDescent="0.3">
      <c r="A239" s="41" t="s">
        <v>36</v>
      </c>
      <c r="B239" s="18">
        <v>0</v>
      </c>
      <c r="C239" s="18">
        <v>34500</v>
      </c>
      <c r="D239" s="18">
        <v>34500</v>
      </c>
      <c r="E239" s="14"/>
      <c r="F239" s="14"/>
      <c r="G239" s="13"/>
      <c r="H239" s="13"/>
      <c r="I239" s="39"/>
    </row>
    <row r="240" spans="1:9" ht="20.25" hidden="1" x14ac:dyDescent="0.3">
      <c r="A240" s="41" t="s">
        <v>121</v>
      </c>
      <c r="B240" s="18">
        <f>SUM(B238:B239)</f>
        <v>34500</v>
      </c>
      <c r="C240" s="18">
        <f>SUM(C238:C239)</f>
        <v>69000</v>
      </c>
      <c r="D240" s="18">
        <f>SUM(D238:D239)</f>
        <v>69000</v>
      </c>
      <c r="E240" s="130" t="s">
        <v>107</v>
      </c>
      <c r="F240" s="14"/>
      <c r="G240" s="13"/>
      <c r="H240" s="13"/>
      <c r="I240" s="39"/>
    </row>
    <row r="241" spans="1:9" ht="20.25" hidden="1" x14ac:dyDescent="0.3">
      <c r="A241" s="41" t="s">
        <v>47</v>
      </c>
      <c r="B241" s="18">
        <v>0</v>
      </c>
      <c r="C241" s="18">
        <v>34500</v>
      </c>
      <c r="D241" s="18">
        <v>34500</v>
      </c>
      <c r="E241" s="14"/>
      <c r="F241" s="14"/>
      <c r="G241" s="13"/>
      <c r="H241" s="13"/>
      <c r="I241" s="39"/>
    </row>
    <row r="242" spans="1:9" ht="20.25" hidden="1" x14ac:dyDescent="0.3">
      <c r="A242" s="41" t="s">
        <v>45</v>
      </c>
      <c r="B242" s="18">
        <f>B241+B238</f>
        <v>34500</v>
      </c>
      <c r="C242" s="18">
        <f>C241+C238</f>
        <v>69000</v>
      </c>
      <c r="D242" s="18">
        <f>D241+D238</f>
        <v>69000</v>
      </c>
      <c r="E242" s="151" t="s">
        <v>108</v>
      </c>
      <c r="F242" s="14"/>
      <c r="G242" s="13"/>
      <c r="H242" s="13"/>
      <c r="I242" s="39"/>
    </row>
    <row r="243" spans="1:9" ht="20.25" hidden="1" x14ac:dyDescent="0.3">
      <c r="A243" s="41" t="s">
        <v>39</v>
      </c>
      <c r="B243" s="18">
        <f>B240-E248</f>
        <v>0</v>
      </c>
      <c r="C243" s="18">
        <f>C240-E251</f>
        <v>69000</v>
      </c>
      <c r="D243" s="18">
        <f>D240-E258</f>
        <v>631.5</v>
      </c>
      <c r="E243" s="151" t="s">
        <v>109</v>
      </c>
      <c r="F243" s="14"/>
      <c r="G243" s="13"/>
      <c r="H243" s="13"/>
      <c r="I243" s="39"/>
    </row>
    <row r="244" spans="1:9" hidden="1" x14ac:dyDescent="0.2">
      <c r="A244" s="41" t="s">
        <v>35</v>
      </c>
      <c r="B244" s="40">
        <f>B242-E248-F248</f>
        <v>0</v>
      </c>
      <c r="C244" s="40">
        <f>C242-E251-F251</f>
        <v>64058.57</v>
      </c>
      <c r="D244" s="47">
        <f>D242-E258-F258</f>
        <v>631.5</v>
      </c>
      <c r="E244" s="493" t="s">
        <v>110</v>
      </c>
      <c r="F244" s="503"/>
      <c r="G244" s="503"/>
      <c r="H244" s="503"/>
      <c r="I244" s="39"/>
    </row>
    <row r="245" spans="1:9" ht="21" hidden="1" thickBot="1" x14ac:dyDescent="0.35">
      <c r="A245" s="41"/>
      <c r="B245" s="13"/>
      <c r="C245" s="13"/>
      <c r="D245" s="13"/>
      <c r="E245" s="14"/>
      <c r="F245" s="14"/>
      <c r="G245" s="13"/>
      <c r="H245" s="13"/>
      <c r="I245" s="39"/>
    </row>
    <row r="246" spans="1:9" ht="51" hidden="1" x14ac:dyDescent="0.2">
      <c r="A246" s="19" t="s">
        <v>41</v>
      </c>
      <c r="B246" s="20" t="s">
        <v>34</v>
      </c>
      <c r="C246" s="20" t="s">
        <v>64</v>
      </c>
      <c r="D246" s="20" t="s">
        <v>63</v>
      </c>
      <c r="E246" s="20" t="s">
        <v>37</v>
      </c>
      <c r="F246" s="20" t="s">
        <v>48</v>
      </c>
      <c r="G246" s="20" t="s">
        <v>40</v>
      </c>
      <c r="H246" s="20" t="s">
        <v>38</v>
      </c>
      <c r="I246" s="21" t="s">
        <v>5</v>
      </c>
    </row>
    <row r="247" spans="1:9" hidden="1" x14ac:dyDescent="0.2">
      <c r="A247" s="22" t="s">
        <v>10</v>
      </c>
      <c r="B247" s="23" t="s">
        <v>10</v>
      </c>
      <c r="C247" s="60">
        <v>34500</v>
      </c>
      <c r="D247" s="53">
        <v>43102</v>
      </c>
      <c r="E247" s="60">
        <v>34500</v>
      </c>
      <c r="F247" s="60"/>
      <c r="G247" s="52" t="s">
        <v>175</v>
      </c>
      <c r="H247" s="23" t="s">
        <v>136</v>
      </c>
      <c r="I247" s="24"/>
    </row>
    <row r="248" spans="1:9" hidden="1" x14ac:dyDescent="0.2">
      <c r="A248" s="25" t="s">
        <v>43</v>
      </c>
      <c r="B248" s="26"/>
      <c r="C248" s="64">
        <f>C247</f>
        <v>34500</v>
      </c>
      <c r="D248" s="58"/>
      <c r="E248" s="64">
        <f>E247</f>
        <v>34500</v>
      </c>
      <c r="F248" s="64">
        <f>F247</f>
        <v>0</v>
      </c>
      <c r="G248" s="26"/>
      <c r="H248" s="26"/>
      <c r="I248" s="27"/>
    </row>
    <row r="249" spans="1:9" hidden="1" x14ac:dyDescent="0.2">
      <c r="A249" s="34"/>
      <c r="B249" s="34"/>
      <c r="C249" s="62"/>
      <c r="D249" s="128"/>
      <c r="E249" s="62"/>
      <c r="F249" s="62"/>
      <c r="G249" s="34"/>
      <c r="H249" s="34"/>
      <c r="I249" s="34"/>
    </row>
    <row r="250" spans="1:9" hidden="1" x14ac:dyDescent="0.2">
      <c r="A250" s="25" t="s">
        <v>44</v>
      </c>
      <c r="B250" s="26" t="s">
        <v>18</v>
      </c>
      <c r="C250" s="61">
        <v>4941.43</v>
      </c>
      <c r="D250" s="58">
        <v>42438</v>
      </c>
      <c r="E250" s="61"/>
      <c r="F250" s="61">
        <v>4941.43</v>
      </c>
      <c r="G250" s="26" t="s">
        <v>261</v>
      </c>
      <c r="H250" s="26" t="s">
        <v>256</v>
      </c>
      <c r="I250" s="89"/>
    </row>
    <row r="251" spans="1:9" hidden="1" x14ac:dyDescent="0.2">
      <c r="A251" s="25" t="s">
        <v>43</v>
      </c>
      <c r="B251" s="26"/>
      <c r="C251" s="63">
        <f>C250</f>
        <v>4941.43</v>
      </c>
      <c r="D251" s="58"/>
      <c r="E251" s="63">
        <f>E250</f>
        <v>0</v>
      </c>
      <c r="F251" s="63">
        <f>F250</f>
        <v>4941.43</v>
      </c>
      <c r="G251" s="26"/>
      <c r="H251" s="26"/>
      <c r="I251" s="27"/>
    </row>
    <row r="252" spans="1:9" hidden="1" x14ac:dyDescent="0.2">
      <c r="A252" s="34"/>
      <c r="B252" s="34"/>
      <c r="C252" s="62"/>
      <c r="D252" s="128"/>
      <c r="E252" s="62"/>
      <c r="F252" s="62"/>
      <c r="G252" s="34"/>
      <c r="H252" s="34"/>
      <c r="I252" s="34"/>
    </row>
    <row r="253" spans="1:9" hidden="1" x14ac:dyDescent="0.2">
      <c r="A253" s="155" t="s">
        <v>42</v>
      </c>
      <c r="B253" s="154" t="s">
        <v>10</v>
      </c>
      <c r="C253" s="156">
        <v>3000</v>
      </c>
      <c r="D253" s="153" t="s">
        <v>148</v>
      </c>
      <c r="E253" s="156">
        <v>3000</v>
      </c>
      <c r="F253" s="61">
        <f>C253-E253</f>
        <v>0</v>
      </c>
      <c r="G253" s="150" t="s">
        <v>183</v>
      </c>
      <c r="H253" s="154" t="s">
        <v>106</v>
      </c>
      <c r="I253" s="44"/>
    </row>
    <row r="254" spans="1:9" hidden="1" x14ac:dyDescent="0.2">
      <c r="A254" s="504"/>
      <c r="B254" s="494" t="s">
        <v>10</v>
      </c>
      <c r="C254" s="502">
        <v>31283.5</v>
      </c>
      <c r="D254" s="498" t="s">
        <v>172</v>
      </c>
      <c r="E254" s="502">
        <v>31085</v>
      </c>
      <c r="F254" s="61">
        <f>C254-E254</f>
        <v>198.5</v>
      </c>
      <c r="G254" s="494" t="s">
        <v>196</v>
      </c>
      <c r="H254" s="494" t="s">
        <v>171</v>
      </c>
      <c r="I254" s="83"/>
    </row>
    <row r="255" spans="1:9" hidden="1" x14ac:dyDescent="0.2">
      <c r="A255" s="506"/>
      <c r="B255" s="495"/>
      <c r="C255" s="497"/>
      <c r="D255" s="495"/>
      <c r="E255" s="497"/>
      <c r="F255" s="61">
        <v>-198.5</v>
      </c>
      <c r="G255" s="495"/>
      <c r="H255" s="495"/>
      <c r="I255" s="83"/>
    </row>
    <row r="256" spans="1:9" hidden="1" x14ac:dyDescent="0.2">
      <c r="A256" s="155"/>
      <c r="B256" s="150" t="s">
        <v>18</v>
      </c>
      <c r="C256" s="156">
        <v>34283.5</v>
      </c>
      <c r="D256" s="56" t="s">
        <v>170</v>
      </c>
      <c r="E256" s="156">
        <v>34283.5</v>
      </c>
      <c r="F256" s="61">
        <f>C256-E256</f>
        <v>0</v>
      </c>
      <c r="G256" s="150" t="s">
        <v>236</v>
      </c>
      <c r="H256" s="150" t="s">
        <v>171</v>
      </c>
      <c r="I256" s="83"/>
    </row>
    <row r="257" spans="1:14" hidden="1" x14ac:dyDescent="0.2">
      <c r="A257" s="136"/>
      <c r="B257" s="95"/>
      <c r="C257" s="95"/>
      <c r="D257" s="95"/>
      <c r="E257" s="95"/>
      <c r="F257" s="61">
        <f>C257-E257</f>
        <v>0</v>
      </c>
      <c r="G257" s="95"/>
      <c r="H257" s="95"/>
      <c r="I257" s="137"/>
    </row>
    <row r="258" spans="1:14" ht="13.5" hidden="1" thickBot="1" x14ac:dyDescent="0.25">
      <c r="A258" s="29" t="s">
        <v>43</v>
      </c>
      <c r="B258" s="30"/>
      <c r="C258" s="59">
        <f>SUM(C253:C257)</f>
        <v>68567</v>
      </c>
      <c r="D258" s="129"/>
      <c r="E258" s="59">
        <f>SUM(E253:E257)</f>
        <v>68368.5</v>
      </c>
      <c r="F258" s="59">
        <f>SUM(F253:F257)</f>
        <v>0</v>
      </c>
      <c r="G258" s="30"/>
      <c r="H258" s="30"/>
      <c r="I258" s="31"/>
    </row>
    <row r="260" spans="1:14" ht="18.75" customHeight="1" x14ac:dyDescent="0.3">
      <c r="A260" s="11"/>
      <c r="B260" s="11"/>
      <c r="C260" s="11"/>
      <c r="D260" s="11"/>
      <c r="E260" s="11"/>
      <c r="F260" s="11"/>
      <c r="G260" s="11"/>
      <c r="H260" s="11"/>
      <c r="I260" s="11"/>
      <c r="K260" s="9"/>
      <c r="L260" s="9"/>
      <c r="M260" s="9"/>
      <c r="N260" s="9"/>
    </row>
  </sheetData>
  <mergeCells count="32">
    <mergeCell ref="A2:I2"/>
    <mergeCell ref="G254:G255"/>
    <mergeCell ref="H254:H255"/>
    <mergeCell ref="A254:A255"/>
    <mergeCell ref="B254:B255"/>
    <mergeCell ref="C254:C255"/>
    <mergeCell ref="D254:D255"/>
    <mergeCell ref="E254:E255"/>
    <mergeCell ref="A104:I104"/>
    <mergeCell ref="E112:H112"/>
    <mergeCell ref="G230:G231"/>
    <mergeCell ref="E232:E233"/>
    <mergeCell ref="A185:I185"/>
    <mergeCell ref="E193:H193"/>
    <mergeCell ref="E230:E231"/>
    <mergeCell ref="H230:H231"/>
    <mergeCell ref="E244:H244"/>
    <mergeCell ref="B230:B231"/>
    <mergeCell ref="C230:C231"/>
    <mergeCell ref="D230:D231"/>
    <mergeCell ref="A30:I30"/>
    <mergeCell ref="A58:I58"/>
    <mergeCell ref="E66:H66"/>
    <mergeCell ref="A81:I81"/>
    <mergeCell ref="E89:H89"/>
    <mergeCell ref="A208:I208"/>
    <mergeCell ref="E216:H216"/>
    <mergeCell ref="A131:I131"/>
    <mergeCell ref="E139:H139"/>
    <mergeCell ref="A236:I236"/>
    <mergeCell ref="A156:I156"/>
    <mergeCell ref="E164:H164"/>
  </mergeCells>
  <phoneticPr fontId="7" type="noConversion"/>
  <pageMargins left="0.69" right="0.28999999999999998" top="0.48" bottom="0.44" header="0.5" footer="0.5"/>
  <pageSetup scale="68" orientation="landscape" r:id="rId1"/>
  <headerFooter alignWithMargins="0">
    <oddFooter>&amp;CCurrent as of &amp;D</oddFooter>
  </headerFooter>
  <rowBreaks count="3" manualBreakCount="3">
    <brk id="154" max="16383" man="1"/>
    <brk id="206" max="16383" man="1"/>
    <brk id="234"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75"/>
  <sheetViews>
    <sheetView showGridLines="0" zoomScaleNormal="100" zoomScaleSheetLayoutView="75" workbookViewId="0">
      <selection activeCell="H7" sqref="H7"/>
    </sheetView>
  </sheetViews>
  <sheetFormatPr defaultRowHeight="12.75" x14ac:dyDescent="0.2"/>
  <cols>
    <col min="1" max="1" width="22.28515625" bestFit="1" customWidth="1"/>
    <col min="2" max="2" width="10.85546875" bestFit="1" customWidth="1"/>
    <col min="3" max="3" width="17" customWidth="1"/>
    <col min="4" max="4" width="12.85546875" customWidth="1"/>
    <col min="5" max="5" width="17.7109375" bestFit="1" customWidth="1"/>
    <col min="6" max="6" width="15.85546875" customWidth="1"/>
    <col min="7" max="7" width="14.28515625" customWidth="1"/>
    <col min="8" max="8" width="16.5703125" bestFit="1" customWidth="1"/>
    <col min="9" max="9" width="16.28515625" customWidth="1"/>
    <col min="10" max="10" width="23" customWidth="1"/>
  </cols>
  <sheetData>
    <row r="1" spans="1:9" ht="13.5" thickBot="1" x14ac:dyDescent="0.25"/>
    <row r="2" spans="1:9" ht="21" thickBot="1" x14ac:dyDescent="0.35">
      <c r="A2" s="525" t="s">
        <v>1147</v>
      </c>
      <c r="B2" s="526"/>
      <c r="C2" s="526"/>
      <c r="D2" s="526"/>
      <c r="E2" s="526"/>
      <c r="F2" s="526"/>
      <c r="G2" s="526"/>
      <c r="H2" s="526"/>
      <c r="I2" s="527"/>
    </row>
    <row r="3" spans="1:9" ht="20.25" x14ac:dyDescent="0.3">
      <c r="A3" s="41"/>
      <c r="B3" s="13" t="s">
        <v>1140</v>
      </c>
      <c r="C3" s="13" t="s">
        <v>1141</v>
      </c>
      <c r="D3" s="13" t="s">
        <v>1142</v>
      </c>
      <c r="E3" s="13" t="s">
        <v>1148</v>
      </c>
      <c r="F3" s="14"/>
      <c r="G3" s="13"/>
      <c r="H3" s="13"/>
      <c r="I3" s="39"/>
    </row>
    <row r="4" spans="1:9" ht="20.25" x14ac:dyDescent="0.3">
      <c r="A4" s="41" t="s">
        <v>992</v>
      </c>
      <c r="B4" s="18">
        <f>B35+(0.03*B35)</f>
        <v>52710.25</v>
      </c>
      <c r="C4" s="18">
        <v>42713</v>
      </c>
      <c r="D4" s="18">
        <f>D35+(0.03*D35)</f>
        <v>82915</v>
      </c>
      <c r="E4" s="18">
        <v>5000</v>
      </c>
      <c r="F4" s="467"/>
      <c r="G4" s="329" t="s">
        <v>972</v>
      </c>
      <c r="H4" s="13"/>
      <c r="I4" s="39"/>
    </row>
    <row r="5" spans="1:9" ht="20.25" x14ac:dyDescent="0.3">
      <c r="A5" s="41" t="s">
        <v>36</v>
      </c>
      <c r="B5" s="18">
        <f>IF(B41&gt;B4,B4,B41)</f>
        <v>0</v>
      </c>
      <c r="C5" s="18">
        <f>IF(C41&gt;C4,C4,C41)</f>
        <v>42713</v>
      </c>
      <c r="D5" s="18">
        <f>IF(D40&gt;D4,D4,D40)</f>
        <v>58023.679999999993</v>
      </c>
      <c r="E5" s="18">
        <v>0</v>
      </c>
      <c r="F5" s="14"/>
      <c r="G5" s="13"/>
      <c r="H5" s="13"/>
      <c r="I5" s="39"/>
    </row>
    <row r="6" spans="1:9" x14ac:dyDescent="0.2">
      <c r="A6" s="41" t="s">
        <v>993</v>
      </c>
      <c r="B6" s="18">
        <f>SUM(B4:B5)</f>
        <v>52710.25</v>
      </c>
      <c r="C6" s="18">
        <f>SUM(C4:C5)</f>
        <v>85426</v>
      </c>
      <c r="D6" s="18">
        <f>SUM(D4:D5)</f>
        <v>140938.68</v>
      </c>
      <c r="E6" s="18">
        <f>SUM(E4:E5)</f>
        <v>5000</v>
      </c>
      <c r="F6" s="130" t="s">
        <v>107</v>
      </c>
      <c r="G6" s="13"/>
      <c r="H6" s="13"/>
      <c r="I6" s="39"/>
    </row>
    <row r="7" spans="1:9" ht="20.25" x14ac:dyDescent="0.3">
      <c r="A7" s="41" t="s">
        <v>47</v>
      </c>
      <c r="B7" s="18">
        <f>B42</f>
        <v>0</v>
      </c>
      <c r="C7" s="18">
        <f>IF(C42&gt;C4,C4,C42)</f>
        <v>0</v>
      </c>
      <c r="D7" s="18">
        <f>IF(D41&gt;D4,D4,D41)</f>
        <v>19023.679999999993</v>
      </c>
      <c r="E7" s="18">
        <v>0</v>
      </c>
      <c r="F7" s="14"/>
      <c r="G7" s="13"/>
      <c r="H7" s="13"/>
      <c r="I7" s="39"/>
    </row>
    <row r="8" spans="1:9" x14ac:dyDescent="0.2">
      <c r="A8" s="41" t="s">
        <v>479</v>
      </c>
      <c r="B8" s="18">
        <f>B7+B4</f>
        <v>52710.25</v>
      </c>
      <c r="C8" s="18">
        <f>C7+C4</f>
        <v>42713</v>
      </c>
      <c r="D8" s="18">
        <f>D7+D4</f>
        <v>101938.68</v>
      </c>
      <c r="E8" s="18">
        <f>E7+E4</f>
        <v>5000</v>
      </c>
      <c r="F8" s="151" t="s">
        <v>108</v>
      </c>
      <c r="G8" s="13"/>
      <c r="H8" s="13"/>
      <c r="I8" s="39"/>
    </row>
    <row r="9" spans="1:9" x14ac:dyDescent="0.2">
      <c r="A9" s="41" t="s">
        <v>39</v>
      </c>
      <c r="B9" s="18">
        <f>B6-E14</f>
        <v>0</v>
      </c>
      <c r="C9" s="18">
        <f>C6-E18</f>
        <v>85426</v>
      </c>
      <c r="D9" s="18">
        <f>D6-E27</f>
        <v>140938.68</v>
      </c>
      <c r="E9" s="18">
        <f>E6-E31</f>
        <v>5000</v>
      </c>
      <c r="F9" s="151" t="s">
        <v>109</v>
      </c>
      <c r="G9" s="13"/>
      <c r="H9" s="13"/>
      <c r="I9" s="39"/>
    </row>
    <row r="10" spans="1:9" x14ac:dyDescent="0.2">
      <c r="A10" s="41" t="s">
        <v>35</v>
      </c>
      <c r="B10" s="40">
        <f>B8-E14-F14</f>
        <v>0</v>
      </c>
      <c r="C10" s="40">
        <f>C8-E18-F18</f>
        <v>42713</v>
      </c>
      <c r="D10" s="47">
        <f>D8-E27-F27</f>
        <v>101938.68</v>
      </c>
      <c r="E10" s="18">
        <f>+E8-E31-F31</f>
        <v>5000</v>
      </c>
      <c r="F10" s="151" t="s">
        <v>110</v>
      </c>
      <c r="G10" s="145"/>
      <c r="H10" s="145"/>
      <c r="I10" s="145"/>
    </row>
    <row r="11" spans="1:9" ht="21" thickBot="1" x14ac:dyDescent="0.35">
      <c r="A11" s="41"/>
      <c r="B11" s="13"/>
      <c r="C11" s="13"/>
      <c r="D11" s="13"/>
      <c r="E11" s="14"/>
      <c r="F11" s="14"/>
      <c r="G11" s="13"/>
      <c r="H11" s="13"/>
      <c r="I11" s="39"/>
    </row>
    <row r="12" spans="1:9" ht="51" x14ac:dyDescent="0.2">
      <c r="A12" s="19" t="s">
        <v>41</v>
      </c>
      <c r="B12" s="20" t="s">
        <v>34</v>
      </c>
      <c r="C12" s="20" t="s">
        <v>64</v>
      </c>
      <c r="D12" s="20" t="s">
        <v>63</v>
      </c>
      <c r="E12" s="20" t="s">
        <v>37</v>
      </c>
      <c r="F12" s="20" t="s">
        <v>48</v>
      </c>
      <c r="G12" s="20" t="s">
        <v>40</v>
      </c>
      <c r="H12" s="20" t="s">
        <v>38</v>
      </c>
      <c r="I12" s="21" t="s">
        <v>5</v>
      </c>
    </row>
    <row r="13" spans="1:9" x14ac:dyDescent="0.2">
      <c r="A13" s="22" t="s">
        <v>10</v>
      </c>
      <c r="B13" s="23" t="s">
        <v>10</v>
      </c>
      <c r="C13" s="60">
        <v>52710.25</v>
      </c>
      <c r="D13" s="53">
        <v>45299</v>
      </c>
      <c r="E13" s="60">
        <v>52710.25</v>
      </c>
      <c r="F13" s="60"/>
      <c r="G13" s="23" t="s">
        <v>1158</v>
      </c>
      <c r="H13" s="23" t="s">
        <v>974</v>
      </c>
      <c r="I13" s="24"/>
    </row>
    <row r="14" spans="1:9" x14ac:dyDescent="0.2">
      <c r="A14" s="25" t="s">
        <v>43</v>
      </c>
      <c r="B14" s="26"/>
      <c r="C14" s="64">
        <v>51175</v>
      </c>
      <c r="D14" s="26"/>
      <c r="E14" s="64">
        <f>E13</f>
        <v>52710.25</v>
      </c>
      <c r="F14" s="64">
        <f>F13</f>
        <v>0</v>
      </c>
      <c r="G14" s="26"/>
      <c r="H14" s="26"/>
      <c r="I14" s="27"/>
    </row>
    <row r="15" spans="1:9" x14ac:dyDescent="0.2">
      <c r="A15" s="34"/>
      <c r="B15" s="34"/>
      <c r="C15" s="62"/>
      <c r="D15" s="34"/>
      <c r="E15" s="62"/>
      <c r="F15" s="62"/>
      <c r="G15" s="34"/>
      <c r="H15" s="34"/>
      <c r="I15" s="34"/>
    </row>
    <row r="16" spans="1:9" x14ac:dyDescent="0.2">
      <c r="A16" s="25" t="s">
        <v>44</v>
      </c>
      <c r="B16" s="228" t="s">
        <v>568</v>
      </c>
      <c r="C16" s="61"/>
      <c r="D16" s="173"/>
      <c r="E16" s="61"/>
      <c r="F16" s="61"/>
      <c r="G16" s="26"/>
      <c r="H16" s="26" t="s">
        <v>974</v>
      </c>
      <c r="I16" s="84"/>
    </row>
    <row r="17" spans="1:9" x14ac:dyDescent="0.2">
      <c r="A17" s="25"/>
      <c r="B17" s="228"/>
      <c r="C17" s="61"/>
      <c r="D17" s="173"/>
      <c r="E17" s="61"/>
      <c r="F17" s="61"/>
      <c r="G17" s="26"/>
      <c r="H17" s="26"/>
      <c r="I17" s="84"/>
    </row>
    <row r="18" spans="1:9" x14ac:dyDescent="0.2">
      <c r="A18" s="25" t="s">
        <v>43</v>
      </c>
      <c r="B18" s="26"/>
      <c r="C18" s="63">
        <f>C16+C17</f>
        <v>0</v>
      </c>
      <c r="D18" s="26"/>
      <c r="E18" s="63">
        <f>E16+E17</f>
        <v>0</v>
      </c>
      <c r="F18" s="63">
        <f>F16</f>
        <v>0</v>
      </c>
      <c r="G18" s="26"/>
      <c r="H18" s="26"/>
      <c r="I18" s="27"/>
    </row>
    <row r="19" spans="1:9" x14ac:dyDescent="0.2">
      <c r="A19" s="34"/>
      <c r="B19" s="34"/>
      <c r="C19" s="62"/>
      <c r="D19" s="34"/>
      <c r="E19" s="62"/>
      <c r="F19" s="62"/>
      <c r="G19" s="34"/>
      <c r="H19" s="34"/>
      <c r="I19" s="34"/>
    </row>
    <row r="20" spans="1:9" x14ac:dyDescent="0.2">
      <c r="A20" s="25" t="s">
        <v>42</v>
      </c>
      <c r="B20" s="43"/>
      <c r="C20" s="156"/>
      <c r="D20" s="56"/>
      <c r="E20" s="156"/>
      <c r="F20" s="87"/>
      <c r="G20" s="56"/>
      <c r="H20" s="43"/>
      <c r="I20" s="45"/>
    </row>
    <row r="21" spans="1:9" x14ac:dyDescent="0.2">
      <c r="A21" s="155"/>
      <c r="B21" s="302"/>
      <c r="C21" s="156"/>
      <c r="D21" s="56"/>
      <c r="E21" s="156"/>
      <c r="F21" s="87"/>
      <c r="G21" s="56"/>
      <c r="H21" s="140"/>
      <c r="I21" s="45"/>
    </row>
    <row r="22" spans="1:9" x14ac:dyDescent="0.2">
      <c r="A22" s="155"/>
      <c r="B22" s="302"/>
      <c r="C22" s="156"/>
      <c r="D22" s="56"/>
      <c r="E22" s="156"/>
      <c r="F22" s="87"/>
      <c r="G22" s="56"/>
      <c r="H22" s="140"/>
      <c r="I22" s="45"/>
    </row>
    <row r="23" spans="1:9" x14ac:dyDescent="0.2">
      <c r="A23" s="155"/>
      <c r="B23" s="292"/>
      <c r="C23" s="156"/>
      <c r="D23" s="56"/>
      <c r="E23" s="156"/>
      <c r="F23" s="87"/>
      <c r="G23" s="56"/>
      <c r="H23" s="140"/>
      <c r="I23" s="45"/>
    </row>
    <row r="24" spans="1:9" x14ac:dyDescent="0.2">
      <c r="A24" s="155"/>
      <c r="B24" s="292"/>
      <c r="C24" s="156"/>
      <c r="D24" s="56"/>
      <c r="E24" s="156"/>
      <c r="F24" s="87"/>
      <c r="G24" s="56"/>
      <c r="H24" s="140"/>
      <c r="I24" s="45"/>
    </row>
    <row r="25" spans="1:9" x14ac:dyDescent="0.2">
      <c r="A25" s="155"/>
      <c r="B25" s="292"/>
      <c r="C25" s="156"/>
      <c r="D25" s="56"/>
      <c r="E25" s="156"/>
      <c r="F25" s="87"/>
      <c r="G25" s="56"/>
      <c r="H25" s="140"/>
      <c r="I25" s="45"/>
    </row>
    <row r="26" spans="1:9" x14ac:dyDescent="0.2">
      <c r="A26" s="155"/>
      <c r="B26" s="292"/>
      <c r="C26" s="156"/>
      <c r="D26" s="56"/>
      <c r="E26" s="156"/>
      <c r="F26" s="87"/>
      <c r="G26" s="56"/>
      <c r="H26" s="140"/>
      <c r="I26" s="45"/>
    </row>
    <row r="27" spans="1:9" x14ac:dyDescent="0.2">
      <c r="A27" s="155" t="s">
        <v>43</v>
      </c>
      <c r="B27" s="170"/>
      <c r="C27" s="63">
        <f>SUM(C21:C26)</f>
        <v>0</v>
      </c>
      <c r="D27" s="173"/>
      <c r="E27" s="330">
        <f>SUM(E21:E23)</f>
        <v>0</v>
      </c>
      <c r="F27" s="63">
        <f>SUM(F21:F26)</f>
        <v>0</v>
      </c>
      <c r="G27" s="56"/>
      <c r="H27" s="56"/>
      <c r="I27" s="45"/>
    </row>
    <row r="28" spans="1:9" x14ac:dyDescent="0.2">
      <c r="A28" s="334"/>
      <c r="B28" s="343"/>
      <c r="C28" s="344"/>
      <c r="D28" s="345"/>
      <c r="E28" s="335"/>
      <c r="F28" s="346"/>
      <c r="G28" s="320"/>
      <c r="H28" s="320"/>
      <c r="I28" s="322"/>
    </row>
    <row r="29" spans="1:9" x14ac:dyDescent="0.2">
      <c r="A29" s="155" t="s">
        <v>968</v>
      </c>
      <c r="B29" s="170"/>
      <c r="C29" s="61"/>
      <c r="D29" s="173"/>
      <c r="E29" s="156"/>
      <c r="F29" s="87"/>
      <c r="G29" s="56"/>
      <c r="H29" s="56"/>
      <c r="I29" s="149"/>
    </row>
    <row r="30" spans="1:9" x14ac:dyDescent="0.2">
      <c r="A30" s="155"/>
      <c r="B30" s="170"/>
      <c r="C30" s="61"/>
      <c r="D30" s="173"/>
      <c r="E30" s="156"/>
      <c r="F30" s="87"/>
      <c r="G30" s="56"/>
      <c r="H30" s="56"/>
      <c r="I30" s="149"/>
    </row>
    <row r="31" spans="1:9" ht="13.5" thickBot="1" x14ac:dyDescent="0.25">
      <c r="A31" s="459"/>
      <c r="B31" s="462"/>
      <c r="C31" s="463"/>
      <c r="D31" s="464"/>
      <c r="E31" s="463"/>
      <c r="F31" s="463"/>
      <c r="G31" s="465"/>
      <c r="H31" s="465"/>
      <c r="I31" s="466"/>
    </row>
    <row r="32" spans="1:9" ht="13.5" thickBot="1" x14ac:dyDescent="0.25"/>
    <row r="33" spans="1:9" ht="21" thickBot="1" x14ac:dyDescent="0.35">
      <c r="A33" s="525" t="s">
        <v>979</v>
      </c>
      <c r="B33" s="526"/>
      <c r="C33" s="526"/>
      <c r="D33" s="526"/>
      <c r="E33" s="526"/>
      <c r="F33" s="526"/>
      <c r="G33" s="526"/>
      <c r="H33" s="526"/>
      <c r="I33" s="527"/>
    </row>
    <row r="34" spans="1:9" ht="20.25" x14ac:dyDescent="0.3">
      <c r="A34" s="41"/>
      <c r="B34" s="13" t="s">
        <v>964</v>
      </c>
      <c r="C34" s="13" t="s">
        <v>965</v>
      </c>
      <c r="D34" s="13" t="s">
        <v>966</v>
      </c>
      <c r="E34" s="13" t="s">
        <v>978</v>
      </c>
      <c r="F34" s="14"/>
      <c r="G34" s="13"/>
      <c r="H34" s="13"/>
      <c r="I34" s="39"/>
    </row>
    <row r="35" spans="1:9" ht="20.25" x14ac:dyDescent="0.3">
      <c r="A35" s="41" t="s">
        <v>971</v>
      </c>
      <c r="B35" s="18">
        <v>51175</v>
      </c>
      <c r="C35" s="18">
        <v>42713</v>
      </c>
      <c r="D35" s="18">
        <v>80500</v>
      </c>
      <c r="E35" s="18">
        <v>5000</v>
      </c>
      <c r="F35" s="14"/>
      <c r="G35" s="13"/>
      <c r="H35" s="13"/>
      <c r="I35" s="39"/>
    </row>
    <row r="36" spans="1:9" ht="20.25" x14ac:dyDescent="0.3">
      <c r="A36" s="41" t="s">
        <v>36</v>
      </c>
      <c r="B36" s="18">
        <f>IF(B72&gt;B35,B35,B72)</f>
        <v>0</v>
      </c>
      <c r="C36" s="18">
        <f>IF(C72&gt;C35,C35,C72)</f>
        <v>42713</v>
      </c>
      <c r="D36" s="18">
        <f>IF(D72&gt;D35,D35,D72)</f>
        <v>80500</v>
      </c>
      <c r="E36" s="18">
        <v>0</v>
      </c>
      <c r="F36" s="14"/>
      <c r="G36" s="13"/>
      <c r="H36" s="13"/>
      <c r="I36" s="39"/>
    </row>
    <row r="37" spans="1:9" x14ac:dyDescent="0.2">
      <c r="A37" s="41" t="s">
        <v>969</v>
      </c>
      <c r="B37" s="18">
        <f>SUM(B35:B36)</f>
        <v>51175</v>
      </c>
      <c r="C37" s="18">
        <f>SUM(C35:C36)</f>
        <v>85426</v>
      </c>
      <c r="D37" s="18">
        <f>SUM(D35:D36)</f>
        <v>161000</v>
      </c>
      <c r="E37" s="18">
        <f>SUM(E35:E36)</f>
        <v>5000</v>
      </c>
      <c r="F37" s="130" t="s">
        <v>107</v>
      </c>
      <c r="G37" s="13"/>
      <c r="H37" s="13"/>
      <c r="I37" s="39"/>
    </row>
    <row r="38" spans="1:9" ht="20.25" x14ac:dyDescent="0.3">
      <c r="A38" s="41" t="s">
        <v>47</v>
      </c>
      <c r="B38" s="18">
        <f>B73</f>
        <v>0</v>
      </c>
      <c r="C38" s="18">
        <f>IF(C73&gt;C35,C35,C73)</f>
        <v>42713</v>
      </c>
      <c r="D38" s="18">
        <f>IF(D73&gt;D35,D35,D73)</f>
        <v>80500</v>
      </c>
      <c r="E38" s="18">
        <v>0</v>
      </c>
      <c r="F38" s="14"/>
      <c r="G38" s="13"/>
      <c r="H38" s="13"/>
      <c r="I38" s="39"/>
    </row>
    <row r="39" spans="1:9" x14ac:dyDescent="0.2">
      <c r="A39" s="41" t="s">
        <v>479</v>
      </c>
      <c r="B39" s="18">
        <f>B38+B35</f>
        <v>51175</v>
      </c>
      <c r="C39" s="18">
        <f>C38+C35</f>
        <v>85426</v>
      </c>
      <c r="D39" s="18">
        <f>D38+D35</f>
        <v>161000</v>
      </c>
      <c r="E39" s="18">
        <f>E38+E35</f>
        <v>5000</v>
      </c>
      <c r="F39" s="151" t="s">
        <v>108</v>
      </c>
      <c r="G39" s="13"/>
      <c r="H39" s="13"/>
      <c r="I39" s="39"/>
    </row>
    <row r="40" spans="1:9" x14ac:dyDescent="0.2">
      <c r="A40" s="41" t="s">
        <v>39</v>
      </c>
      <c r="B40" s="18">
        <f>B37-E45</f>
        <v>0</v>
      </c>
      <c r="C40" s="18">
        <f>C37-E49</f>
        <v>83389.16</v>
      </c>
      <c r="D40" s="18">
        <f>D37-E58</f>
        <v>58023.679999999993</v>
      </c>
      <c r="E40" s="18" t="e">
        <f>E37-#REF!</f>
        <v>#REF!</v>
      </c>
      <c r="F40" s="151" t="s">
        <v>109</v>
      </c>
      <c r="G40" s="13"/>
      <c r="H40" s="13"/>
      <c r="I40" s="39"/>
    </row>
    <row r="41" spans="1:9" x14ac:dyDescent="0.2">
      <c r="A41" s="41" t="s">
        <v>35</v>
      </c>
      <c r="B41" s="40">
        <f>B39-E45-F45</f>
        <v>0</v>
      </c>
      <c r="C41" s="40">
        <f>C39-E49-F49</f>
        <v>83389.16</v>
      </c>
      <c r="D41" s="47">
        <f>D39-E58-F58</f>
        <v>19023.679999999993</v>
      </c>
      <c r="E41" s="18" t="e">
        <f>+E39-#REF!-#REF!</f>
        <v>#REF!</v>
      </c>
      <c r="F41" s="151" t="s">
        <v>110</v>
      </c>
      <c r="G41" s="145"/>
      <c r="H41" s="145"/>
      <c r="I41" s="145"/>
    </row>
    <row r="42" spans="1:9" ht="21" thickBot="1" x14ac:dyDescent="0.35">
      <c r="A42" s="41"/>
      <c r="B42" s="13"/>
      <c r="C42" s="13"/>
      <c r="D42" s="13"/>
      <c r="E42" s="14"/>
      <c r="F42" s="14"/>
      <c r="G42" s="13"/>
      <c r="H42" s="13"/>
      <c r="I42" s="39"/>
    </row>
    <row r="43" spans="1:9" ht="51" x14ac:dyDescent="0.2">
      <c r="A43" s="19" t="s">
        <v>41</v>
      </c>
      <c r="B43" s="20" t="s">
        <v>34</v>
      </c>
      <c r="C43" s="20" t="s">
        <v>64</v>
      </c>
      <c r="D43" s="20" t="s">
        <v>63</v>
      </c>
      <c r="E43" s="20" t="s">
        <v>37</v>
      </c>
      <c r="F43" s="20" t="s">
        <v>48</v>
      </c>
      <c r="G43" s="20" t="s">
        <v>40</v>
      </c>
      <c r="H43" s="20" t="s">
        <v>38</v>
      </c>
      <c r="I43" s="21" t="s">
        <v>5</v>
      </c>
    </row>
    <row r="44" spans="1:9" x14ac:dyDescent="0.2">
      <c r="A44" s="22" t="s">
        <v>10</v>
      </c>
      <c r="B44" s="23" t="s">
        <v>10</v>
      </c>
      <c r="C44" s="60"/>
      <c r="D44" s="53"/>
      <c r="E44" s="60">
        <v>51175</v>
      </c>
      <c r="F44" s="60">
        <v>0</v>
      </c>
      <c r="G44" s="23" t="s">
        <v>1010</v>
      </c>
      <c r="H44" s="23" t="s">
        <v>974</v>
      </c>
      <c r="I44" s="24"/>
    </row>
    <row r="45" spans="1:9" x14ac:dyDescent="0.2">
      <c r="A45" s="25" t="s">
        <v>43</v>
      </c>
      <c r="B45" s="26"/>
      <c r="C45" s="64">
        <v>51175</v>
      </c>
      <c r="D45" s="26"/>
      <c r="E45" s="64">
        <f>E44</f>
        <v>51175</v>
      </c>
      <c r="F45" s="64">
        <f>F44</f>
        <v>0</v>
      </c>
      <c r="G45" s="26"/>
      <c r="H45" s="26"/>
      <c r="I45" s="27"/>
    </row>
    <row r="46" spans="1:9" x14ac:dyDescent="0.2">
      <c r="A46" s="34"/>
      <c r="B46" s="34"/>
      <c r="C46" s="62"/>
      <c r="D46" s="34"/>
      <c r="E46" s="62"/>
      <c r="F46" s="62"/>
      <c r="G46" s="34"/>
      <c r="H46" s="34"/>
      <c r="I46" s="34"/>
    </row>
    <row r="47" spans="1:9" x14ac:dyDescent="0.2">
      <c r="A47" s="25" t="s">
        <v>44</v>
      </c>
      <c r="B47" s="228" t="s">
        <v>568</v>
      </c>
      <c r="C47" s="61">
        <v>2036.84</v>
      </c>
      <c r="D47" s="173">
        <v>45381</v>
      </c>
      <c r="E47" s="61">
        <v>2036.84</v>
      </c>
      <c r="F47" s="61"/>
      <c r="G47" s="26" t="s">
        <v>1114</v>
      </c>
      <c r="H47" s="26" t="s">
        <v>974</v>
      </c>
      <c r="I47" s="84"/>
    </row>
    <row r="48" spans="1:9" x14ac:dyDescent="0.2">
      <c r="A48" s="25"/>
      <c r="B48" s="228"/>
      <c r="C48" s="61"/>
      <c r="D48" s="173"/>
      <c r="E48" s="61"/>
      <c r="F48" s="61"/>
      <c r="G48" s="26"/>
      <c r="H48" s="26"/>
      <c r="I48" s="84"/>
    </row>
    <row r="49" spans="1:9" x14ac:dyDescent="0.2">
      <c r="A49" s="25" t="s">
        <v>43</v>
      </c>
      <c r="B49" s="26"/>
      <c r="C49" s="63">
        <f>C47+C48</f>
        <v>2036.84</v>
      </c>
      <c r="D49" s="26"/>
      <c r="E49" s="63">
        <f>E47+E48</f>
        <v>2036.84</v>
      </c>
      <c r="F49" s="63">
        <f>F47</f>
        <v>0</v>
      </c>
      <c r="G49" s="26"/>
      <c r="H49" s="26"/>
      <c r="I49" s="27"/>
    </row>
    <row r="50" spans="1:9" x14ac:dyDescent="0.2">
      <c r="A50" s="34"/>
      <c r="B50" s="34"/>
      <c r="C50" s="62"/>
      <c r="D50" s="34"/>
      <c r="E50" s="62"/>
      <c r="F50" s="62"/>
      <c r="G50" s="34"/>
      <c r="H50" s="34"/>
      <c r="I50" s="34"/>
    </row>
    <row r="51" spans="1:9" x14ac:dyDescent="0.2">
      <c r="A51" s="25" t="s">
        <v>42</v>
      </c>
      <c r="B51" s="43"/>
      <c r="C51" s="156"/>
      <c r="D51" s="56"/>
      <c r="E51" s="156"/>
      <c r="F51" s="87"/>
      <c r="G51" s="56"/>
      <c r="H51" s="43"/>
      <c r="I51" s="45"/>
    </row>
    <row r="52" spans="1:9" x14ac:dyDescent="0.2">
      <c r="A52" s="155"/>
      <c r="B52" s="302" t="s">
        <v>876</v>
      </c>
      <c r="C52" s="156">
        <v>49900</v>
      </c>
      <c r="D52" s="56" t="s">
        <v>1067</v>
      </c>
      <c r="E52" s="156">
        <v>31056.32</v>
      </c>
      <c r="F52" s="87">
        <f>C52-E52</f>
        <v>18843.68</v>
      </c>
      <c r="G52" s="56" t="s">
        <v>1108</v>
      </c>
      <c r="H52" s="140" t="s">
        <v>1056</v>
      </c>
      <c r="I52" s="45" t="s">
        <v>767</v>
      </c>
    </row>
    <row r="53" spans="1:9" x14ac:dyDescent="0.2">
      <c r="A53" s="155"/>
      <c r="B53" s="302"/>
      <c r="C53" s="156"/>
      <c r="D53" s="56"/>
      <c r="E53" s="156"/>
      <c r="F53" s="87">
        <v>-18843.68</v>
      </c>
      <c r="G53" s="56"/>
      <c r="H53" s="140"/>
      <c r="I53" s="45" t="s">
        <v>1107</v>
      </c>
    </row>
    <row r="54" spans="1:9" x14ac:dyDescent="0.2">
      <c r="A54" s="155"/>
      <c r="B54" s="292" t="s">
        <v>10</v>
      </c>
      <c r="C54" s="156">
        <f>40000+32100</f>
        <v>72100</v>
      </c>
      <c r="D54" s="56" t="s">
        <v>1116</v>
      </c>
      <c r="E54" s="156">
        <v>71920</v>
      </c>
      <c r="F54" s="87">
        <f>(40000+32100)-E54</f>
        <v>180</v>
      </c>
      <c r="G54" s="56" t="s">
        <v>1119</v>
      </c>
      <c r="H54" s="140" t="s">
        <v>1056</v>
      </c>
      <c r="I54" s="45" t="s">
        <v>1101</v>
      </c>
    </row>
    <row r="55" spans="1:9" x14ac:dyDescent="0.2">
      <c r="A55" s="155"/>
      <c r="B55" s="292"/>
      <c r="C55" s="156"/>
      <c r="D55" s="56"/>
      <c r="E55" s="156"/>
      <c r="F55" s="87">
        <v>-180</v>
      </c>
      <c r="G55" s="56"/>
      <c r="H55" s="140"/>
      <c r="I55" s="45" t="s">
        <v>1107</v>
      </c>
    </row>
    <row r="56" spans="1:9" x14ac:dyDescent="0.2">
      <c r="A56" s="155"/>
      <c r="B56" s="292" t="s">
        <v>876</v>
      </c>
      <c r="C56" s="156">
        <v>20000</v>
      </c>
      <c r="D56" s="56" t="s">
        <v>1093</v>
      </c>
      <c r="E56" s="156"/>
      <c r="F56" s="87">
        <v>20000</v>
      </c>
      <c r="G56" s="56"/>
      <c r="H56" s="140" t="s">
        <v>1061</v>
      </c>
      <c r="I56" s="45"/>
    </row>
    <row r="57" spans="1:9" x14ac:dyDescent="0.2">
      <c r="A57" s="155"/>
      <c r="B57" s="292" t="s">
        <v>10</v>
      </c>
      <c r="C57" s="156">
        <v>19000</v>
      </c>
      <c r="D57" s="56" t="s">
        <v>1068</v>
      </c>
      <c r="E57" s="156"/>
      <c r="F57" s="87">
        <v>19000</v>
      </c>
      <c r="G57" s="56"/>
      <c r="H57" s="140" t="s">
        <v>1061</v>
      </c>
      <c r="I57" s="45"/>
    </row>
    <row r="58" spans="1:9" x14ac:dyDescent="0.2">
      <c r="A58" s="155" t="s">
        <v>43</v>
      </c>
      <c r="B58" s="170"/>
      <c r="C58" s="63">
        <f>SUM(C52:C57)</f>
        <v>161000</v>
      </c>
      <c r="D58" s="173"/>
      <c r="E58" s="330">
        <f>SUM(E52:E54)</f>
        <v>102976.32000000001</v>
      </c>
      <c r="F58" s="63">
        <f>SUM(F52:F57)</f>
        <v>39000</v>
      </c>
      <c r="G58" s="56"/>
      <c r="H58" s="56"/>
      <c r="I58" s="45"/>
    </row>
    <row r="59" spans="1:9" x14ac:dyDescent="0.2">
      <c r="A59" s="334"/>
      <c r="B59" s="343"/>
      <c r="C59" s="344"/>
      <c r="D59" s="345"/>
      <c r="E59" s="335"/>
      <c r="F59" s="346"/>
      <c r="G59" s="320"/>
      <c r="H59" s="320"/>
      <c r="I59" s="322"/>
    </row>
    <row r="60" spans="1:9" x14ac:dyDescent="0.2">
      <c r="A60" s="155" t="s">
        <v>968</v>
      </c>
      <c r="B60" s="170"/>
      <c r="C60" s="61"/>
      <c r="D60" s="173"/>
      <c r="E60" s="156"/>
      <c r="F60" s="87"/>
      <c r="G60" s="56"/>
      <c r="H60" s="56"/>
      <c r="I60" s="149"/>
    </row>
    <row r="61" spans="1:9" x14ac:dyDescent="0.2">
      <c r="A61" s="155"/>
      <c r="B61" s="170"/>
      <c r="C61" s="61"/>
      <c r="D61" s="173"/>
      <c r="E61" s="156"/>
      <c r="F61" s="87"/>
      <c r="G61" s="56"/>
      <c r="H61" s="56"/>
      <c r="I61" s="149"/>
    </row>
    <row r="62" spans="1:9" ht="13.5" thickBot="1" x14ac:dyDescent="0.25">
      <c r="A62" s="459"/>
      <c r="B62" s="462"/>
      <c r="C62" s="463"/>
      <c r="D62" s="464"/>
      <c r="E62" s="463"/>
      <c r="F62" s="463"/>
      <c r="G62" s="465"/>
      <c r="H62" s="465"/>
      <c r="I62" s="466"/>
    </row>
    <row r="64" spans="1:9" ht="13.5" hidden="1" thickBot="1" x14ac:dyDescent="0.25">
      <c r="A64" s="48">
        <v>52710</v>
      </c>
    </row>
    <row r="65" spans="1:9" ht="21" hidden="1" thickBot="1" x14ac:dyDescent="0.35">
      <c r="A65" s="525" t="s">
        <v>870</v>
      </c>
      <c r="B65" s="526"/>
      <c r="C65" s="526"/>
      <c r="D65" s="526"/>
      <c r="E65" s="526"/>
      <c r="F65" s="526"/>
      <c r="G65" s="526"/>
      <c r="H65" s="526"/>
      <c r="I65" s="527"/>
    </row>
    <row r="66" spans="1:9" ht="20.25" hidden="1" x14ac:dyDescent="0.3">
      <c r="A66" s="41"/>
      <c r="B66" s="13" t="s">
        <v>859</v>
      </c>
      <c r="C66" s="13" t="s">
        <v>860</v>
      </c>
      <c r="D66" s="13" t="s">
        <v>861</v>
      </c>
      <c r="E66" s="14"/>
      <c r="F66" s="14"/>
      <c r="G66" s="13"/>
      <c r="H66" s="13"/>
      <c r="I66" s="39"/>
    </row>
    <row r="67" spans="1:9" ht="20.25" hidden="1" x14ac:dyDescent="0.3">
      <c r="A67" s="41" t="s">
        <v>864</v>
      </c>
      <c r="B67" s="18">
        <v>44500</v>
      </c>
      <c r="C67" s="18">
        <f>C93+(0.03*C93)</f>
        <v>42713.059339499996</v>
      </c>
      <c r="D67" s="18">
        <v>70000</v>
      </c>
      <c r="E67" s="161"/>
      <c r="F67" s="14"/>
      <c r="G67" s="13"/>
      <c r="H67" s="13"/>
      <c r="I67" s="39"/>
    </row>
    <row r="68" spans="1:9" ht="20.25" hidden="1" x14ac:dyDescent="0.3">
      <c r="A68" s="41" t="s">
        <v>36</v>
      </c>
      <c r="B68" s="18">
        <f>IF(B98&gt;B67,B67,B98)</f>
        <v>0</v>
      </c>
      <c r="C68" s="18">
        <f>IF(C98&gt;C67,C67,C98)</f>
        <v>42713.059339499996</v>
      </c>
      <c r="D68" s="18">
        <f>IF(D98&gt;D67,D67,D98)</f>
        <v>70000</v>
      </c>
      <c r="E68" s="14"/>
      <c r="F68" s="14"/>
      <c r="G68" s="13"/>
      <c r="H68" s="13"/>
      <c r="I68" s="39"/>
    </row>
    <row r="69" spans="1:9" ht="20.25" hidden="1" x14ac:dyDescent="0.3">
      <c r="A69" s="41" t="s">
        <v>862</v>
      </c>
      <c r="B69" s="18">
        <f>SUM(B67:B68)</f>
        <v>44500</v>
      </c>
      <c r="C69" s="18">
        <f>SUM(C67:C68)</f>
        <v>85426.118678999992</v>
      </c>
      <c r="D69" s="18">
        <f>SUM(D67:D68)</f>
        <v>140000</v>
      </c>
      <c r="E69" s="130" t="s">
        <v>107</v>
      </c>
      <c r="F69" s="14"/>
      <c r="G69" s="13"/>
      <c r="H69" s="13"/>
      <c r="I69" s="39"/>
    </row>
    <row r="70" spans="1:9" ht="20.25" hidden="1" x14ac:dyDescent="0.3">
      <c r="A70" s="41" t="s">
        <v>47</v>
      </c>
      <c r="B70" s="18">
        <f>B99</f>
        <v>0</v>
      </c>
      <c r="C70" s="18">
        <f>IF(C99&gt;C67,C67,C99)</f>
        <v>42713.059339499996</v>
      </c>
      <c r="D70" s="18">
        <f>IF(D99&gt;D67,D67,D99)</f>
        <v>66062.539999999994</v>
      </c>
      <c r="E70" s="14"/>
      <c r="F70" s="14"/>
      <c r="G70" s="13"/>
      <c r="H70" s="13"/>
      <c r="I70" s="39"/>
    </row>
    <row r="71" spans="1:9" ht="20.25" hidden="1" x14ac:dyDescent="0.3">
      <c r="A71" s="41" t="s">
        <v>479</v>
      </c>
      <c r="B71" s="18">
        <f>B70+B67</f>
        <v>44500</v>
      </c>
      <c r="C71" s="18">
        <f>C70+C67</f>
        <v>85426.118678999992</v>
      </c>
      <c r="D71" s="18">
        <f>D70+D67</f>
        <v>136062.53999999998</v>
      </c>
      <c r="E71" s="151" t="s">
        <v>108</v>
      </c>
      <c r="F71" s="14"/>
      <c r="G71" s="13"/>
      <c r="H71" s="13"/>
      <c r="I71" s="39"/>
    </row>
    <row r="72" spans="1:9" ht="20.25" hidden="1" x14ac:dyDescent="0.3">
      <c r="A72" s="41" t="s">
        <v>39</v>
      </c>
      <c r="B72" s="18">
        <f>B69-E77</f>
        <v>0</v>
      </c>
      <c r="C72" s="18">
        <f>C69-E81</f>
        <v>80945.92867899999</v>
      </c>
      <c r="D72" s="18">
        <f>D69-E89</f>
        <v>93371.68</v>
      </c>
      <c r="E72" s="151" t="s">
        <v>109</v>
      </c>
      <c r="F72" s="14"/>
      <c r="G72" s="13"/>
      <c r="H72" s="13"/>
      <c r="I72" s="39"/>
    </row>
    <row r="73" spans="1:9" hidden="1" x14ac:dyDescent="0.2">
      <c r="A73" s="41" t="s">
        <v>35</v>
      </c>
      <c r="B73" s="40">
        <f>B71-E77-F77</f>
        <v>0</v>
      </c>
      <c r="C73" s="40">
        <f>C71-E81-F81</f>
        <v>80945.92867899999</v>
      </c>
      <c r="D73" s="47">
        <f>D71-E89-F89</f>
        <v>89434.219999999972</v>
      </c>
      <c r="E73" s="493" t="s">
        <v>110</v>
      </c>
      <c r="F73" s="503"/>
      <c r="G73" s="503"/>
      <c r="H73" s="503"/>
      <c r="I73" s="146"/>
    </row>
    <row r="74" spans="1:9" ht="21" hidden="1" thickBot="1" x14ac:dyDescent="0.35">
      <c r="A74" s="41"/>
      <c r="B74" s="13"/>
      <c r="C74" s="13"/>
      <c r="D74" s="13"/>
      <c r="E74" s="14"/>
      <c r="F74" s="14"/>
      <c r="G74" s="13"/>
      <c r="H74" s="13"/>
      <c r="I74" s="39"/>
    </row>
    <row r="75" spans="1:9" ht="51" hidden="1" x14ac:dyDescent="0.2">
      <c r="A75" s="19" t="s">
        <v>41</v>
      </c>
      <c r="B75" s="20" t="s">
        <v>34</v>
      </c>
      <c r="C75" s="20" t="s">
        <v>64</v>
      </c>
      <c r="D75" s="20" t="s">
        <v>63</v>
      </c>
      <c r="E75" s="20" t="s">
        <v>37</v>
      </c>
      <c r="F75" s="20" t="s">
        <v>48</v>
      </c>
      <c r="G75" s="20" t="s">
        <v>40</v>
      </c>
      <c r="H75" s="20" t="s">
        <v>38</v>
      </c>
      <c r="I75" s="21" t="s">
        <v>5</v>
      </c>
    </row>
    <row r="76" spans="1:9" hidden="1" x14ac:dyDescent="0.2">
      <c r="A76" s="22" t="s">
        <v>10</v>
      </c>
      <c r="B76" s="23" t="s">
        <v>10</v>
      </c>
      <c r="C76" s="60">
        <v>44500</v>
      </c>
      <c r="D76" s="53">
        <v>44586</v>
      </c>
      <c r="E76" s="60">
        <v>44500</v>
      </c>
      <c r="F76" s="60"/>
      <c r="G76" s="23" t="s">
        <v>881</v>
      </c>
      <c r="H76" s="23" t="s">
        <v>487</v>
      </c>
      <c r="I76" s="24"/>
    </row>
    <row r="77" spans="1:9" hidden="1" x14ac:dyDescent="0.2">
      <c r="A77" s="25" t="s">
        <v>43</v>
      </c>
      <c r="B77" s="26"/>
      <c r="C77" s="64">
        <f>C76</f>
        <v>44500</v>
      </c>
      <c r="D77" s="26"/>
      <c r="E77" s="64">
        <f>E76</f>
        <v>44500</v>
      </c>
      <c r="F77" s="64">
        <f>F76</f>
        <v>0</v>
      </c>
      <c r="G77" s="26"/>
      <c r="H77" s="26"/>
      <c r="I77" s="27"/>
    </row>
    <row r="78" spans="1:9" hidden="1" x14ac:dyDescent="0.2">
      <c r="A78" s="34"/>
      <c r="B78" s="34"/>
      <c r="C78" s="62"/>
      <c r="D78" s="34"/>
      <c r="E78" s="62"/>
      <c r="F78" s="62"/>
      <c r="G78" s="34"/>
      <c r="H78" s="34"/>
      <c r="I78" s="34"/>
    </row>
    <row r="79" spans="1:9" hidden="1" x14ac:dyDescent="0.2">
      <c r="A79" s="25" t="s">
        <v>44</v>
      </c>
      <c r="B79" s="228" t="s">
        <v>568</v>
      </c>
      <c r="C79" s="61">
        <v>2522.65</v>
      </c>
      <c r="D79" s="173" t="s">
        <v>915</v>
      </c>
      <c r="E79" s="61">
        <v>2522.65</v>
      </c>
      <c r="F79" s="61"/>
      <c r="G79" s="26" t="s">
        <v>915</v>
      </c>
      <c r="H79" s="26" t="s">
        <v>487</v>
      </c>
      <c r="I79" s="84"/>
    </row>
    <row r="80" spans="1:9" hidden="1" x14ac:dyDescent="0.2">
      <c r="A80" s="25"/>
      <c r="B80" s="228"/>
      <c r="C80" s="61">
        <v>1957.54</v>
      </c>
      <c r="D80" s="173" t="s">
        <v>936</v>
      </c>
      <c r="E80" s="61">
        <v>1957.54</v>
      </c>
      <c r="F80" s="61"/>
      <c r="G80" s="26" t="s">
        <v>936</v>
      </c>
      <c r="H80" s="26" t="s">
        <v>487</v>
      </c>
      <c r="I80" s="84"/>
    </row>
    <row r="81" spans="1:9" hidden="1" x14ac:dyDescent="0.2">
      <c r="A81" s="25" t="s">
        <v>43</v>
      </c>
      <c r="B81" s="26"/>
      <c r="C81" s="63">
        <f>C79+C80</f>
        <v>4480.1900000000005</v>
      </c>
      <c r="D81" s="26"/>
      <c r="E81" s="63">
        <f>E79+E80</f>
        <v>4480.1900000000005</v>
      </c>
      <c r="F81" s="63">
        <f>F79</f>
        <v>0</v>
      </c>
      <c r="G81" s="26"/>
      <c r="H81" s="26"/>
      <c r="I81" s="27"/>
    </row>
    <row r="82" spans="1:9" hidden="1" x14ac:dyDescent="0.2">
      <c r="A82" s="34"/>
      <c r="B82" s="34"/>
      <c r="C82" s="62"/>
      <c r="D82" s="34"/>
      <c r="E82" s="62"/>
      <c r="F82" s="62"/>
      <c r="G82" s="34"/>
      <c r="H82" s="34"/>
      <c r="I82" s="34"/>
    </row>
    <row r="83" spans="1:9" hidden="1" x14ac:dyDescent="0.2">
      <c r="A83" s="25" t="s">
        <v>42</v>
      </c>
      <c r="B83" s="43"/>
      <c r="C83" s="156"/>
      <c r="D83" s="56"/>
      <c r="E83" s="156"/>
      <c r="F83" s="87"/>
      <c r="G83" s="140"/>
      <c r="H83" s="43"/>
      <c r="I83" s="45"/>
    </row>
    <row r="84" spans="1:9" hidden="1" x14ac:dyDescent="0.2">
      <c r="A84" s="155"/>
      <c r="B84" s="302" t="s">
        <v>876</v>
      </c>
      <c r="C84" s="156">
        <v>48520</v>
      </c>
      <c r="D84" s="56" t="s">
        <v>878</v>
      </c>
      <c r="E84" s="79">
        <v>32668.32</v>
      </c>
      <c r="F84" s="87">
        <f>48520-32668.32</f>
        <v>15851.68</v>
      </c>
      <c r="G84" s="178" t="s">
        <v>929</v>
      </c>
      <c r="H84" s="140" t="s">
        <v>877</v>
      </c>
      <c r="I84" s="45"/>
    </row>
    <row r="85" spans="1:9" hidden="1" x14ac:dyDescent="0.2">
      <c r="A85" s="155"/>
      <c r="B85" s="302"/>
      <c r="C85" s="156"/>
      <c r="D85" s="56"/>
      <c r="E85" s="79"/>
      <c r="F85" s="87">
        <v>-15851.68</v>
      </c>
      <c r="G85" s="178"/>
      <c r="H85" s="140"/>
      <c r="I85" s="45" t="s">
        <v>1008</v>
      </c>
    </row>
    <row r="86" spans="1:9" hidden="1" x14ac:dyDescent="0.2">
      <c r="A86" s="155"/>
      <c r="B86" s="374" t="s">
        <v>10</v>
      </c>
      <c r="C86" s="375">
        <v>50000</v>
      </c>
      <c r="D86" s="370" t="s">
        <v>879</v>
      </c>
      <c r="E86" s="375">
        <v>13960</v>
      </c>
      <c r="F86" s="376">
        <f>50000-13960</f>
        <v>36040</v>
      </c>
      <c r="G86" s="377" t="s">
        <v>1012</v>
      </c>
      <c r="H86" s="378" t="s">
        <v>877</v>
      </c>
      <c r="I86" s="379"/>
    </row>
    <row r="87" spans="1:9" hidden="1" x14ac:dyDescent="0.2">
      <c r="A87" s="155"/>
      <c r="B87" s="380"/>
      <c r="C87" s="381"/>
      <c r="D87" s="382"/>
      <c r="E87" s="375"/>
      <c r="F87" s="376">
        <v>-36040</v>
      </c>
      <c r="G87" s="370"/>
      <c r="H87" s="370"/>
      <c r="I87" s="379" t="s">
        <v>1008</v>
      </c>
    </row>
    <row r="88" spans="1:9" hidden="1" x14ac:dyDescent="0.2">
      <c r="A88" s="155"/>
      <c r="B88" s="170"/>
      <c r="C88" s="61"/>
      <c r="D88" s="173"/>
      <c r="E88" s="156"/>
      <c r="F88" s="61"/>
      <c r="G88" s="56"/>
      <c r="H88" s="56"/>
      <c r="I88" s="149"/>
    </row>
    <row r="89" spans="1:9" ht="13.5" hidden="1" thickBot="1" x14ac:dyDescent="0.25">
      <c r="A89" s="29" t="s">
        <v>43</v>
      </c>
      <c r="B89" s="30"/>
      <c r="C89" s="59">
        <f>SUM(C83:C88)</f>
        <v>98520</v>
      </c>
      <c r="D89" s="30"/>
      <c r="E89" s="59">
        <f>SUM(E83:E88)</f>
        <v>46628.32</v>
      </c>
      <c r="F89" s="59">
        <f>SUM(F83:F88)</f>
        <v>0</v>
      </c>
      <c r="G89" s="30"/>
      <c r="H89" s="30"/>
      <c r="I89" s="31"/>
    </row>
    <row r="90" spans="1:9" ht="13.5" hidden="1" thickBot="1" x14ac:dyDescent="0.25"/>
    <row r="91" spans="1:9" ht="21" hidden="1" thickBot="1" x14ac:dyDescent="0.35">
      <c r="A91" s="525" t="s">
        <v>788</v>
      </c>
      <c r="B91" s="526"/>
      <c r="C91" s="526"/>
      <c r="D91" s="526"/>
      <c r="E91" s="526"/>
      <c r="F91" s="526"/>
      <c r="G91" s="526"/>
      <c r="H91" s="526"/>
      <c r="I91" s="527"/>
    </row>
    <row r="92" spans="1:9" ht="20.25" hidden="1" x14ac:dyDescent="0.3">
      <c r="A92" s="41"/>
      <c r="B92" s="13" t="s">
        <v>780</v>
      </c>
      <c r="C92" s="13" t="s">
        <v>781</v>
      </c>
      <c r="D92" s="13" t="s">
        <v>782</v>
      </c>
      <c r="E92" s="14"/>
      <c r="F92" s="14"/>
      <c r="G92" s="13"/>
      <c r="H92" s="13"/>
      <c r="I92" s="39"/>
    </row>
    <row r="93" spans="1:9" ht="20.25" hidden="1" x14ac:dyDescent="0.3">
      <c r="A93" s="41" t="s">
        <v>784</v>
      </c>
      <c r="B93" s="18">
        <v>44500</v>
      </c>
      <c r="C93" s="18">
        <f>C118+(0.03*C118)</f>
        <v>41468.989649999996</v>
      </c>
      <c r="D93" s="18">
        <v>70000</v>
      </c>
      <c r="E93" s="161"/>
      <c r="F93" s="14"/>
      <c r="G93" s="13"/>
      <c r="H93" s="13"/>
      <c r="I93" s="39"/>
    </row>
    <row r="94" spans="1:9" ht="20.25" hidden="1" x14ac:dyDescent="0.3">
      <c r="A94" s="41" t="s">
        <v>36</v>
      </c>
      <c r="B94" s="18">
        <f>IF(B152&gt;B93,B93,B152)</f>
        <v>0</v>
      </c>
      <c r="C94" s="18">
        <f>IF(C123&gt;C93,C93,C123)</f>
        <v>23996.694999999985</v>
      </c>
      <c r="D94" s="18">
        <f>IF(D123&gt;D93,D93,D123)</f>
        <v>45844.539999999994</v>
      </c>
      <c r="E94" s="14"/>
      <c r="F94" s="14"/>
      <c r="G94" s="13"/>
      <c r="H94" s="13"/>
      <c r="I94" s="39"/>
    </row>
    <row r="95" spans="1:9" ht="20.25" hidden="1" x14ac:dyDescent="0.3">
      <c r="A95" s="41" t="s">
        <v>785</v>
      </c>
      <c r="B95" s="18">
        <f>SUM(B93:B94)</f>
        <v>44500</v>
      </c>
      <c r="C95" s="18">
        <f>SUM(C93:C94)</f>
        <v>65465.684649999981</v>
      </c>
      <c r="D95" s="18">
        <f>SUM(D93:D94)</f>
        <v>115844.54</v>
      </c>
      <c r="E95" s="130" t="s">
        <v>107</v>
      </c>
      <c r="F95" s="14"/>
      <c r="G95" s="13"/>
      <c r="H95" s="13"/>
      <c r="I95" s="39"/>
    </row>
    <row r="96" spans="1:9" ht="20.25" hidden="1" x14ac:dyDescent="0.3">
      <c r="A96" s="41" t="s">
        <v>47</v>
      </c>
      <c r="B96" s="18">
        <f>B152</f>
        <v>0</v>
      </c>
      <c r="C96" s="18">
        <f>IF(C124&gt;C118,C118,C124)</f>
        <v>23996.694999999985</v>
      </c>
      <c r="D96" s="18">
        <f>IF(D124&gt;D93,D93,D124)</f>
        <v>20604.539999999994</v>
      </c>
      <c r="E96" s="14"/>
      <c r="F96" s="14"/>
      <c r="G96" s="13"/>
      <c r="H96" s="13"/>
      <c r="I96" s="39"/>
    </row>
    <row r="97" spans="1:9" ht="20.25" hidden="1" x14ac:dyDescent="0.3">
      <c r="A97" s="41" t="s">
        <v>479</v>
      </c>
      <c r="B97" s="18">
        <f>B96+B93</f>
        <v>44500</v>
      </c>
      <c r="C97" s="18">
        <f>C96+C93</f>
        <v>65465.684649999981</v>
      </c>
      <c r="D97" s="18">
        <f>D96+D93</f>
        <v>90604.54</v>
      </c>
      <c r="E97" s="151" t="s">
        <v>108</v>
      </c>
      <c r="F97" s="14"/>
      <c r="G97" s="13"/>
      <c r="H97" s="13"/>
      <c r="I97" s="39"/>
    </row>
    <row r="98" spans="1:9" ht="20.25" hidden="1" x14ac:dyDescent="0.3">
      <c r="A98" s="41" t="s">
        <v>39</v>
      </c>
      <c r="B98" s="18">
        <f>B95-E103</f>
        <v>0</v>
      </c>
      <c r="C98" s="18">
        <f>C95-E107</f>
        <v>47602.64464999998</v>
      </c>
      <c r="D98" s="18">
        <f>D95-E114</f>
        <v>99222.54</v>
      </c>
      <c r="E98" s="151" t="s">
        <v>109</v>
      </c>
      <c r="F98" s="14"/>
      <c r="G98" s="13"/>
      <c r="H98" s="13"/>
      <c r="I98" s="39"/>
    </row>
    <row r="99" spans="1:9" hidden="1" x14ac:dyDescent="0.2">
      <c r="A99" s="41" t="s">
        <v>35</v>
      </c>
      <c r="B99" s="40">
        <f>B97-E103-F103</f>
        <v>0</v>
      </c>
      <c r="C99" s="40">
        <f>C97-E107-F107</f>
        <v>47602.64464999998</v>
      </c>
      <c r="D99" s="47">
        <f>D97-E114-F114</f>
        <v>66062.539999999994</v>
      </c>
      <c r="E99" s="493" t="s">
        <v>110</v>
      </c>
      <c r="F99" s="503"/>
      <c r="G99" s="503"/>
      <c r="H99" s="503"/>
      <c r="I99" s="146"/>
    </row>
    <row r="100" spans="1:9" ht="21" hidden="1" thickBot="1" x14ac:dyDescent="0.35">
      <c r="A100" s="41"/>
      <c r="B100" s="13"/>
      <c r="C100" s="13"/>
      <c r="D100" s="13"/>
      <c r="E100" s="14"/>
      <c r="F100" s="14"/>
      <c r="G100" s="13"/>
      <c r="H100" s="13"/>
      <c r="I100" s="39"/>
    </row>
    <row r="101" spans="1:9" ht="51" hidden="1" x14ac:dyDescent="0.2">
      <c r="A101" s="19" t="s">
        <v>41</v>
      </c>
      <c r="B101" s="20" t="s">
        <v>34</v>
      </c>
      <c r="C101" s="20" t="s">
        <v>64</v>
      </c>
      <c r="D101" s="20" t="s">
        <v>63</v>
      </c>
      <c r="E101" s="20" t="s">
        <v>37</v>
      </c>
      <c r="F101" s="20" t="s">
        <v>48</v>
      </c>
      <c r="G101" s="20" t="s">
        <v>40</v>
      </c>
      <c r="H101" s="20" t="s">
        <v>38</v>
      </c>
      <c r="I101" s="21" t="s">
        <v>5</v>
      </c>
    </row>
    <row r="102" spans="1:9" hidden="1" x14ac:dyDescent="0.2">
      <c r="A102" s="22" t="s">
        <v>10</v>
      </c>
      <c r="B102" s="23" t="s">
        <v>10</v>
      </c>
      <c r="C102" s="60">
        <v>39500</v>
      </c>
      <c r="D102" s="53">
        <v>44201</v>
      </c>
      <c r="E102" s="60">
        <v>44500</v>
      </c>
      <c r="F102" s="60">
        <v>0</v>
      </c>
      <c r="G102" s="23" t="s">
        <v>798</v>
      </c>
      <c r="H102" s="23" t="s">
        <v>487</v>
      </c>
      <c r="I102" s="24"/>
    </row>
    <row r="103" spans="1:9" hidden="1" x14ac:dyDescent="0.2">
      <c r="A103" s="25" t="s">
        <v>43</v>
      </c>
      <c r="B103" s="26"/>
      <c r="C103" s="64">
        <f>C102</f>
        <v>39500</v>
      </c>
      <c r="D103" s="26"/>
      <c r="E103" s="64">
        <f>E102</f>
        <v>44500</v>
      </c>
      <c r="F103" s="64">
        <f>F102</f>
        <v>0</v>
      </c>
      <c r="G103" s="26"/>
      <c r="H103" s="26"/>
      <c r="I103" s="27"/>
    </row>
    <row r="104" spans="1:9" hidden="1" x14ac:dyDescent="0.2">
      <c r="A104" s="34"/>
      <c r="B104" s="34"/>
      <c r="C104" s="62"/>
      <c r="D104" s="34"/>
      <c r="E104" s="62"/>
      <c r="F104" s="62"/>
      <c r="G104" s="34"/>
      <c r="H104" s="34"/>
      <c r="I104" s="34"/>
    </row>
    <row r="105" spans="1:9" hidden="1" x14ac:dyDescent="0.2">
      <c r="A105" s="25" t="s">
        <v>44</v>
      </c>
      <c r="B105" s="228" t="s">
        <v>568</v>
      </c>
      <c r="C105" s="61">
        <v>10064.99</v>
      </c>
      <c r="D105" s="173">
        <v>44285</v>
      </c>
      <c r="E105" s="61">
        <f>C105</f>
        <v>10064.99</v>
      </c>
      <c r="F105" s="61">
        <v>0</v>
      </c>
      <c r="G105" s="26" t="s">
        <v>801</v>
      </c>
      <c r="H105" s="26" t="s">
        <v>487</v>
      </c>
      <c r="I105" s="84"/>
    </row>
    <row r="106" spans="1:9" hidden="1" x14ac:dyDescent="0.2">
      <c r="A106" s="25"/>
      <c r="B106" s="228"/>
      <c r="C106" s="61">
        <v>7798.05</v>
      </c>
      <c r="D106" s="173"/>
      <c r="E106" s="61">
        <v>7798.05</v>
      </c>
      <c r="F106" s="61"/>
      <c r="G106" s="26" t="s">
        <v>842</v>
      </c>
      <c r="H106" s="26"/>
      <c r="I106" s="84"/>
    </row>
    <row r="107" spans="1:9" hidden="1" x14ac:dyDescent="0.2">
      <c r="A107" s="25" t="s">
        <v>43</v>
      </c>
      <c r="B107" s="26"/>
      <c r="C107" s="63">
        <f>C105+C106</f>
        <v>17863.04</v>
      </c>
      <c r="D107" s="26"/>
      <c r="E107" s="63">
        <f>E105+E106</f>
        <v>17863.04</v>
      </c>
      <c r="F107" s="63">
        <f>F105</f>
        <v>0</v>
      </c>
      <c r="G107" s="26"/>
      <c r="H107" s="26"/>
      <c r="I107" s="27"/>
    </row>
    <row r="108" spans="1:9" hidden="1" x14ac:dyDescent="0.2">
      <c r="A108" s="34"/>
      <c r="B108" s="34"/>
      <c r="C108" s="62"/>
      <c r="D108" s="34"/>
      <c r="E108" s="62"/>
      <c r="F108" s="62"/>
      <c r="G108" s="34"/>
      <c r="H108" s="34"/>
      <c r="I108" s="34"/>
    </row>
    <row r="109" spans="1:9" hidden="1" x14ac:dyDescent="0.2">
      <c r="A109" s="25" t="s">
        <v>42</v>
      </c>
      <c r="B109" s="43" t="s">
        <v>10</v>
      </c>
      <c r="C109" s="156">
        <v>15000</v>
      </c>
      <c r="D109" s="56" t="s">
        <v>807</v>
      </c>
      <c r="E109" s="156">
        <v>8050</v>
      </c>
      <c r="F109" s="87"/>
      <c r="G109" s="494" t="s">
        <v>850</v>
      </c>
      <c r="H109" s="43" t="s">
        <v>804</v>
      </c>
      <c r="I109" s="45"/>
    </row>
    <row r="110" spans="1:9" hidden="1" x14ac:dyDescent="0.2">
      <c r="A110" s="155"/>
      <c r="B110" s="292"/>
      <c r="C110" s="156"/>
      <c r="D110" s="56"/>
      <c r="E110" s="156"/>
      <c r="F110" s="87">
        <f>C109-E109-F109</f>
        <v>6950</v>
      </c>
      <c r="G110" s="507"/>
      <c r="H110" s="140"/>
      <c r="I110" s="45"/>
    </row>
    <row r="111" spans="1:9" hidden="1" x14ac:dyDescent="0.2">
      <c r="A111" s="155"/>
      <c r="B111" s="292"/>
      <c r="C111" s="156"/>
      <c r="D111" s="56"/>
      <c r="E111" s="156"/>
      <c r="F111" s="87">
        <v>-6950</v>
      </c>
      <c r="G111" s="495"/>
      <c r="H111" s="140"/>
      <c r="I111" s="45" t="s">
        <v>767</v>
      </c>
    </row>
    <row r="112" spans="1:9" hidden="1" x14ac:dyDescent="0.2">
      <c r="A112" s="155"/>
      <c r="B112" s="170" t="s">
        <v>532</v>
      </c>
      <c r="C112" s="61">
        <v>7920</v>
      </c>
      <c r="D112" s="173" t="s">
        <v>812</v>
      </c>
      <c r="E112" s="156"/>
      <c r="F112" s="87">
        <v>7920</v>
      </c>
      <c r="G112" s="56"/>
      <c r="H112" s="56"/>
      <c r="I112" s="45"/>
    </row>
    <row r="113" spans="1:9" hidden="1" x14ac:dyDescent="0.2">
      <c r="A113" s="155"/>
      <c r="B113" s="170" t="s">
        <v>10</v>
      </c>
      <c r="C113" s="61">
        <v>8572</v>
      </c>
      <c r="D113" s="173" t="s">
        <v>852</v>
      </c>
      <c r="E113" s="156">
        <v>8572</v>
      </c>
      <c r="F113" s="61"/>
      <c r="G113" s="56" t="s">
        <v>944</v>
      </c>
      <c r="H113" s="56" t="s">
        <v>847</v>
      </c>
      <c r="I113" s="149"/>
    </row>
    <row r="114" spans="1:9" ht="13.5" hidden="1" thickBot="1" x14ac:dyDescent="0.25">
      <c r="A114" s="29" t="s">
        <v>43</v>
      </c>
      <c r="B114" s="30"/>
      <c r="C114" s="59">
        <f>SUM(C109:C113)</f>
        <v>31492</v>
      </c>
      <c r="D114" s="30"/>
      <c r="E114" s="59">
        <f>SUM(E109:E113)</f>
        <v>16622</v>
      </c>
      <c r="F114" s="59">
        <f>SUM(F109:F113)</f>
        <v>7920</v>
      </c>
      <c r="G114" s="30"/>
      <c r="H114" s="30"/>
      <c r="I114" s="31"/>
    </row>
    <row r="115" spans="1:9" ht="13.5" hidden="1" thickBot="1" x14ac:dyDescent="0.25">
      <c r="A115" s="18"/>
      <c r="B115" s="18"/>
      <c r="C115" s="78"/>
      <c r="D115" s="18"/>
      <c r="E115" s="78"/>
      <c r="F115" s="78"/>
      <c r="G115" s="18"/>
      <c r="H115" s="18"/>
      <c r="I115" s="18"/>
    </row>
    <row r="116" spans="1:9" ht="21" hidden="1" thickBot="1" x14ac:dyDescent="0.35">
      <c r="A116" s="525" t="s">
        <v>869</v>
      </c>
      <c r="B116" s="528"/>
      <c r="C116" s="528"/>
      <c r="D116" s="528"/>
      <c r="E116" s="528"/>
      <c r="F116" s="528"/>
      <c r="G116" s="528"/>
      <c r="H116" s="528"/>
      <c r="I116" s="529"/>
    </row>
    <row r="117" spans="1:9" ht="20.25" hidden="1" x14ac:dyDescent="0.3">
      <c r="A117" s="41"/>
      <c r="B117" s="13" t="s">
        <v>697</v>
      </c>
      <c r="C117" s="13" t="s">
        <v>698</v>
      </c>
      <c r="D117" s="13" t="s">
        <v>699</v>
      </c>
      <c r="E117" s="14"/>
      <c r="F117" s="14"/>
      <c r="G117" s="13"/>
      <c r="H117" s="13"/>
      <c r="I117" s="39"/>
    </row>
    <row r="118" spans="1:9" ht="20.25" hidden="1" x14ac:dyDescent="0.3">
      <c r="A118" s="41" t="s">
        <v>701</v>
      </c>
      <c r="B118" s="18">
        <v>44500</v>
      </c>
      <c r="C118" s="18">
        <f>1.03*C147</f>
        <v>40261.154999999999</v>
      </c>
      <c r="D118" s="18">
        <v>70000</v>
      </c>
      <c r="E118" s="161"/>
      <c r="F118" s="14"/>
      <c r="G118" s="13"/>
      <c r="H118" s="13"/>
      <c r="I118" s="39"/>
    </row>
    <row r="119" spans="1:9" ht="20.25" hidden="1" x14ac:dyDescent="0.3">
      <c r="A119" s="41" t="s">
        <v>36</v>
      </c>
      <c r="B119" s="18">
        <f>IF(B152&gt;44500,44500,B152)</f>
        <v>0</v>
      </c>
      <c r="C119" s="18">
        <f>IF(C152&gt;40261.16,40261.16,C152)</f>
        <v>30387.019999999997</v>
      </c>
      <c r="D119" s="18">
        <f>IF(D152&gt;70000,70000,D152)</f>
        <v>25963.259999999995</v>
      </c>
      <c r="E119" s="14"/>
      <c r="F119" s="14"/>
      <c r="G119" s="13"/>
      <c r="H119" s="13"/>
      <c r="I119" s="39"/>
    </row>
    <row r="120" spans="1:9" ht="20.25" hidden="1" x14ac:dyDescent="0.3">
      <c r="A120" s="41" t="s">
        <v>702</v>
      </c>
      <c r="B120" s="18">
        <f>SUM(B118:B119)</f>
        <v>44500</v>
      </c>
      <c r="C120" s="18">
        <f>SUM(C118:C119)</f>
        <v>70648.174999999988</v>
      </c>
      <c r="D120" s="18">
        <f>SUM(D118:D119)</f>
        <v>95963.26</v>
      </c>
      <c r="E120" s="130" t="s">
        <v>107</v>
      </c>
      <c r="F120" s="14"/>
      <c r="G120" s="13"/>
      <c r="H120" s="13"/>
      <c r="I120" s="39"/>
    </row>
    <row r="121" spans="1:9" ht="20.25" hidden="1" x14ac:dyDescent="0.3">
      <c r="A121" s="41" t="s">
        <v>47</v>
      </c>
      <c r="B121" s="18">
        <f>IF(B150&gt;44500,44500,B150)</f>
        <v>0</v>
      </c>
      <c r="C121" s="18">
        <f>IF(C153&gt;40261.16,40261.16,C153)</f>
        <v>30387.019999999997</v>
      </c>
      <c r="D121" s="18">
        <f>IF(D153&gt;70000,70000,D153)</f>
        <v>13343.259999999997</v>
      </c>
      <c r="E121" s="14"/>
      <c r="F121" s="14"/>
      <c r="G121" s="13"/>
      <c r="H121" s="13"/>
      <c r="I121" s="39"/>
    </row>
    <row r="122" spans="1:9" ht="20.25" hidden="1" x14ac:dyDescent="0.3">
      <c r="A122" s="41" t="s">
        <v>45</v>
      </c>
      <c r="B122" s="18">
        <f>B121+B118</f>
        <v>44500</v>
      </c>
      <c r="C122" s="18">
        <f>C121+C118</f>
        <v>70648.174999999988</v>
      </c>
      <c r="D122" s="18">
        <f>D121+D118</f>
        <v>83343.259999999995</v>
      </c>
      <c r="E122" s="151" t="s">
        <v>108</v>
      </c>
      <c r="F122" s="14"/>
      <c r="G122" s="13"/>
      <c r="H122" s="13"/>
      <c r="I122" s="39"/>
    </row>
    <row r="123" spans="1:9" ht="20.25" hidden="1" x14ac:dyDescent="0.3">
      <c r="A123" s="41" t="s">
        <v>39</v>
      </c>
      <c r="B123" s="18">
        <f>B120-E128</f>
        <v>0</v>
      </c>
      <c r="C123" s="18">
        <f>C120-E132</f>
        <v>23996.694999999985</v>
      </c>
      <c r="D123" s="18">
        <f>D120-E140</f>
        <v>45844.539999999994</v>
      </c>
      <c r="E123" s="151" t="s">
        <v>109</v>
      </c>
      <c r="F123" s="14"/>
      <c r="G123" s="13"/>
      <c r="H123" s="13"/>
      <c r="I123" s="39"/>
    </row>
    <row r="124" spans="1:9" hidden="1" x14ac:dyDescent="0.2">
      <c r="A124" s="41" t="s">
        <v>35</v>
      </c>
      <c r="B124" s="40">
        <f>B122-E128-F128</f>
        <v>0</v>
      </c>
      <c r="C124" s="40">
        <f>C122-E132-F132</f>
        <v>23996.694999999985</v>
      </c>
      <c r="D124" s="47">
        <f>D122-E140-F140</f>
        <v>20604.539999999994</v>
      </c>
      <c r="E124" s="493" t="s">
        <v>110</v>
      </c>
      <c r="F124" s="503"/>
      <c r="G124" s="503"/>
      <c r="H124" s="503"/>
      <c r="I124" s="146"/>
    </row>
    <row r="125" spans="1:9" ht="21" hidden="1" thickBot="1" x14ac:dyDescent="0.35">
      <c r="A125" s="41"/>
      <c r="B125" s="13"/>
      <c r="C125" s="13"/>
      <c r="D125" s="13"/>
      <c r="E125" s="14"/>
      <c r="F125" s="14"/>
      <c r="G125" s="13"/>
      <c r="H125" s="13"/>
      <c r="I125" s="39"/>
    </row>
    <row r="126" spans="1:9" ht="51" hidden="1" x14ac:dyDescent="0.2">
      <c r="A126" s="19" t="s">
        <v>41</v>
      </c>
      <c r="B126" s="20" t="s">
        <v>34</v>
      </c>
      <c r="C126" s="20" t="s">
        <v>64</v>
      </c>
      <c r="D126" s="20" t="s">
        <v>63</v>
      </c>
      <c r="E126" s="20" t="s">
        <v>37</v>
      </c>
      <c r="F126" s="20" t="s">
        <v>48</v>
      </c>
      <c r="G126" s="20" t="s">
        <v>40</v>
      </c>
      <c r="H126" s="20" t="s">
        <v>38</v>
      </c>
      <c r="I126" s="21" t="s">
        <v>5</v>
      </c>
    </row>
    <row r="127" spans="1:9" hidden="1" x14ac:dyDescent="0.2">
      <c r="A127" s="22" t="s">
        <v>10</v>
      </c>
      <c r="B127" s="23" t="s">
        <v>10</v>
      </c>
      <c r="C127" s="60">
        <v>44500</v>
      </c>
      <c r="D127" s="53">
        <v>43467</v>
      </c>
      <c r="E127" s="60">
        <f>C127</f>
        <v>44500</v>
      </c>
      <c r="F127" s="60"/>
      <c r="G127" s="23" t="s">
        <v>623</v>
      </c>
      <c r="H127" s="23" t="s">
        <v>487</v>
      </c>
      <c r="I127" s="24"/>
    </row>
    <row r="128" spans="1:9" hidden="1" x14ac:dyDescent="0.2">
      <c r="A128" s="25" t="s">
        <v>43</v>
      </c>
      <c r="B128" s="26"/>
      <c r="C128" s="64">
        <f>C127</f>
        <v>44500</v>
      </c>
      <c r="D128" s="26"/>
      <c r="E128" s="64">
        <f>E127</f>
        <v>44500</v>
      </c>
      <c r="F128" s="64">
        <f>F127</f>
        <v>0</v>
      </c>
      <c r="G128" s="26"/>
      <c r="H128" s="26"/>
      <c r="I128" s="27"/>
    </row>
    <row r="129" spans="1:9" hidden="1" x14ac:dyDescent="0.2">
      <c r="A129" s="34"/>
      <c r="B129" s="34"/>
      <c r="C129" s="62"/>
      <c r="D129" s="34"/>
      <c r="E129" s="62"/>
      <c r="F129" s="62"/>
      <c r="G129" s="34"/>
      <c r="H129" s="34"/>
      <c r="I129" s="34"/>
    </row>
    <row r="130" spans="1:9" hidden="1" x14ac:dyDescent="0.2">
      <c r="A130" s="25" t="s">
        <v>44</v>
      </c>
      <c r="B130" s="228" t="s">
        <v>568</v>
      </c>
      <c r="C130" s="61">
        <v>4651.4799999999996</v>
      </c>
      <c r="D130" s="58">
        <v>43735</v>
      </c>
      <c r="E130" s="61">
        <v>46651.48</v>
      </c>
      <c r="F130" s="61">
        <f>IF(E130="",C130,0)</f>
        <v>0</v>
      </c>
      <c r="G130" s="26" t="s">
        <v>680</v>
      </c>
      <c r="H130" s="26" t="s">
        <v>487</v>
      </c>
      <c r="I130" s="84"/>
    </row>
    <row r="131" spans="1:9" hidden="1" x14ac:dyDescent="0.2">
      <c r="A131" s="25"/>
      <c r="B131" s="228" t="s">
        <v>568</v>
      </c>
      <c r="C131" s="61">
        <v>6434.45</v>
      </c>
      <c r="D131" s="58">
        <v>43921</v>
      </c>
      <c r="E131" s="61">
        <v>6434.45</v>
      </c>
      <c r="F131" s="61">
        <v>0</v>
      </c>
      <c r="G131" s="26" t="s">
        <v>739</v>
      </c>
      <c r="H131" s="26" t="s">
        <v>487</v>
      </c>
      <c r="I131" s="84"/>
    </row>
    <row r="132" spans="1:9" hidden="1" x14ac:dyDescent="0.2">
      <c r="A132" s="25" t="s">
        <v>43</v>
      </c>
      <c r="B132" s="26"/>
      <c r="C132" s="63">
        <f>SUM(C130:C131)</f>
        <v>11085.93</v>
      </c>
      <c r="D132" s="26"/>
      <c r="E132" s="63">
        <f>E130</f>
        <v>46651.48</v>
      </c>
      <c r="F132" s="63">
        <f>SUM(F130:F131)</f>
        <v>0</v>
      </c>
      <c r="G132" s="26"/>
      <c r="H132" s="26"/>
      <c r="I132" s="27"/>
    </row>
    <row r="133" spans="1:9" hidden="1" x14ac:dyDescent="0.2">
      <c r="A133" s="34"/>
      <c r="B133" s="34"/>
      <c r="C133" s="62"/>
      <c r="D133" s="34"/>
      <c r="E133" s="62"/>
      <c r="F133" s="62"/>
      <c r="G133" s="34"/>
      <c r="H133" s="34"/>
      <c r="I133" s="34"/>
    </row>
    <row r="134" spans="1:9" hidden="1" x14ac:dyDescent="0.2">
      <c r="A134" s="25" t="s">
        <v>42</v>
      </c>
      <c r="B134" s="43"/>
      <c r="C134" s="156"/>
      <c r="D134" s="56"/>
      <c r="E134" s="156"/>
      <c r="F134" s="87"/>
      <c r="G134" s="43"/>
      <c r="H134" s="43"/>
      <c r="I134" s="45"/>
    </row>
    <row r="135" spans="1:9" hidden="1" x14ac:dyDescent="0.2">
      <c r="A135" s="155"/>
      <c r="B135" s="170" t="s">
        <v>10</v>
      </c>
      <c r="C135" s="61">
        <v>30400</v>
      </c>
      <c r="D135" s="173" t="s">
        <v>646</v>
      </c>
      <c r="E135" s="156">
        <v>24780</v>
      </c>
      <c r="F135" s="87">
        <f>30400-24780</f>
        <v>5620</v>
      </c>
      <c r="G135" s="250" t="s">
        <v>728</v>
      </c>
      <c r="H135" s="56" t="s">
        <v>645</v>
      </c>
      <c r="I135" s="45"/>
    </row>
    <row r="136" spans="1:9" hidden="1" x14ac:dyDescent="0.2">
      <c r="A136" s="155"/>
      <c r="B136" s="170" t="s">
        <v>10</v>
      </c>
      <c r="C136" s="61">
        <v>7000</v>
      </c>
      <c r="D136" s="173" t="s">
        <v>664</v>
      </c>
      <c r="E136" s="156"/>
      <c r="F136" s="87">
        <v>7000</v>
      </c>
      <c r="G136" s="56"/>
      <c r="H136" s="56" t="s">
        <v>645</v>
      </c>
      <c r="I136" s="149" t="s">
        <v>579</v>
      </c>
    </row>
    <row r="137" spans="1:9" hidden="1" x14ac:dyDescent="0.2">
      <c r="A137" s="155"/>
      <c r="B137" s="170" t="s">
        <v>532</v>
      </c>
      <c r="C137" s="61">
        <v>38000</v>
      </c>
      <c r="D137" s="173" t="s">
        <v>654</v>
      </c>
      <c r="E137" s="156">
        <v>25338.720000000001</v>
      </c>
      <c r="F137" s="87">
        <f>C137-E137</f>
        <v>12661.279999999999</v>
      </c>
      <c r="G137" s="56" t="s">
        <v>713</v>
      </c>
      <c r="H137" s="56" t="s">
        <v>645</v>
      </c>
      <c r="I137" s="149" t="s">
        <v>98</v>
      </c>
    </row>
    <row r="138" spans="1:9" hidden="1" x14ac:dyDescent="0.2">
      <c r="A138" s="155"/>
      <c r="B138" s="170"/>
      <c r="C138" s="61"/>
      <c r="D138" s="173"/>
      <c r="E138" s="156"/>
      <c r="F138" s="87">
        <v>-12661.28</v>
      </c>
      <c r="G138" s="56"/>
      <c r="H138" s="56"/>
      <c r="I138" s="149" t="s">
        <v>681</v>
      </c>
    </row>
    <row r="139" spans="1:9" hidden="1" x14ac:dyDescent="0.2">
      <c r="A139" s="155"/>
      <c r="B139" s="170"/>
      <c r="C139" s="61"/>
      <c r="D139" s="56"/>
      <c r="E139" s="156"/>
      <c r="F139" s="87"/>
      <c r="G139" s="56"/>
      <c r="H139" s="56"/>
      <c r="I139" s="149"/>
    </row>
    <row r="140" spans="1:9" ht="13.5" hidden="1" thickBot="1" x14ac:dyDescent="0.25">
      <c r="A140" s="29" t="s">
        <v>43</v>
      </c>
      <c r="B140" s="30"/>
      <c r="C140" s="59">
        <f>SUM(C134:C139)</f>
        <v>75400</v>
      </c>
      <c r="D140" s="30"/>
      <c r="E140" s="59">
        <f>SUM(E134:E139)</f>
        <v>50118.720000000001</v>
      </c>
      <c r="F140" s="59">
        <f>SUM(F134:F139)</f>
        <v>12619.999999999998</v>
      </c>
      <c r="G140" s="30"/>
      <c r="H140" s="30"/>
      <c r="I140" s="31"/>
    </row>
    <row r="141" spans="1:9" hidden="1" x14ac:dyDescent="0.2">
      <c r="A141" s="18"/>
      <c r="B141" s="18"/>
      <c r="C141" s="78"/>
      <c r="D141" s="18"/>
      <c r="E141" s="78"/>
      <c r="F141" s="78"/>
      <c r="G141" s="18"/>
      <c r="H141" s="18"/>
      <c r="I141" s="18"/>
    </row>
    <row r="142" spans="1:9" hidden="1" x14ac:dyDescent="0.2">
      <c r="A142" s="18"/>
      <c r="B142" s="18"/>
      <c r="C142" s="78"/>
      <c r="D142" s="18"/>
      <c r="E142" s="78"/>
      <c r="F142" s="78"/>
      <c r="G142" s="18"/>
      <c r="H142" s="18"/>
      <c r="I142" s="18"/>
    </row>
    <row r="143" spans="1:9" hidden="1" x14ac:dyDescent="0.2">
      <c r="A143" s="18"/>
      <c r="B143" s="18"/>
      <c r="C143" s="78"/>
      <c r="D143" s="18"/>
      <c r="E143" s="78"/>
      <c r="F143" s="78"/>
      <c r="G143" s="18"/>
      <c r="H143" s="18"/>
      <c r="I143" s="18"/>
    </row>
    <row r="144" spans="1:9" ht="13.5" hidden="1" thickBot="1" x14ac:dyDescent="0.25"/>
    <row r="145" spans="1:9" ht="21" hidden="1" thickBot="1" x14ac:dyDescent="0.35">
      <c r="A145" s="525" t="s">
        <v>609</v>
      </c>
      <c r="B145" s="528"/>
      <c r="C145" s="528"/>
      <c r="D145" s="528"/>
      <c r="E145" s="528"/>
      <c r="F145" s="528"/>
      <c r="G145" s="528"/>
      <c r="H145" s="528"/>
      <c r="I145" s="529"/>
    </row>
    <row r="146" spans="1:9" ht="20.25" hidden="1" x14ac:dyDescent="0.3">
      <c r="A146" s="41"/>
      <c r="B146" s="13" t="s">
        <v>600</v>
      </c>
      <c r="C146" s="13" t="s">
        <v>601</v>
      </c>
      <c r="D146" s="13" t="s">
        <v>602</v>
      </c>
      <c r="E146" s="14"/>
      <c r="F146" s="14"/>
      <c r="G146" s="13"/>
      <c r="H146" s="13"/>
      <c r="I146" s="39"/>
    </row>
    <row r="147" spans="1:9" ht="20.25" hidden="1" x14ac:dyDescent="0.3">
      <c r="A147" s="41" t="s">
        <v>606</v>
      </c>
      <c r="B147" s="18">
        <v>44500</v>
      </c>
      <c r="C147" s="18">
        <f>1.03*C173</f>
        <v>39088.5</v>
      </c>
      <c r="D147" s="18">
        <v>70000</v>
      </c>
      <c r="E147" s="161"/>
      <c r="F147" s="14"/>
      <c r="G147" s="13"/>
      <c r="H147" s="13"/>
      <c r="I147" s="39"/>
    </row>
    <row r="148" spans="1:9" ht="20.25" hidden="1" x14ac:dyDescent="0.3">
      <c r="A148" s="41" t="s">
        <v>36</v>
      </c>
      <c r="B148" s="18">
        <f>IF(B178&gt;44500,44500,B178)</f>
        <v>0</v>
      </c>
      <c r="C148" s="18">
        <f>IF(C178&gt;37950,37950,C178)</f>
        <v>37950</v>
      </c>
      <c r="D148" s="18">
        <f>IF(D178&gt;70000,70000,D178)</f>
        <v>6081.9799999999959</v>
      </c>
      <c r="E148" s="14"/>
      <c r="F148" s="14"/>
      <c r="G148" s="13"/>
      <c r="H148" s="13"/>
      <c r="I148" s="39"/>
    </row>
    <row r="149" spans="1:9" ht="20.25" hidden="1" x14ac:dyDescent="0.3">
      <c r="A149" s="41" t="s">
        <v>603</v>
      </c>
      <c r="B149" s="18">
        <f>SUM(B147:B148)</f>
        <v>44500</v>
      </c>
      <c r="C149" s="18">
        <f>SUM(C147:C148)</f>
        <v>77038.5</v>
      </c>
      <c r="D149" s="18">
        <f>SUM(D147:D148)</f>
        <v>76081.98</v>
      </c>
      <c r="E149" s="130" t="s">
        <v>107</v>
      </c>
      <c r="F149" s="14"/>
      <c r="G149" s="13"/>
      <c r="H149" s="13"/>
      <c r="I149" s="39"/>
    </row>
    <row r="150" spans="1:9" ht="20.25" hidden="1" x14ac:dyDescent="0.3">
      <c r="A150" s="41" t="s">
        <v>47</v>
      </c>
      <c r="B150" s="18">
        <f>IF(B179&gt;44500,44500,B179)</f>
        <v>0</v>
      </c>
      <c r="C150" s="18">
        <f>IF(C179&gt;37950,37950,C179)</f>
        <v>37950</v>
      </c>
      <c r="D150" s="18">
        <f>IF(D179&gt;70000,70000,D179)</f>
        <v>6081.9799999999959</v>
      </c>
      <c r="E150" s="14"/>
      <c r="F150" s="14"/>
      <c r="G150" s="13"/>
      <c r="H150" s="13"/>
      <c r="I150" s="39"/>
    </row>
    <row r="151" spans="1:9" ht="20.25" hidden="1" x14ac:dyDescent="0.3">
      <c r="A151" s="41" t="s">
        <v>45</v>
      </c>
      <c r="B151" s="18">
        <f>B150+B147</f>
        <v>44500</v>
      </c>
      <c r="C151" s="18">
        <f>C150+C147</f>
        <v>77038.5</v>
      </c>
      <c r="D151" s="18">
        <f>D150+D147</f>
        <v>76081.98</v>
      </c>
      <c r="E151" s="151" t="s">
        <v>108</v>
      </c>
      <c r="F151" s="14"/>
      <c r="G151" s="13"/>
      <c r="H151" s="13"/>
      <c r="I151" s="39"/>
    </row>
    <row r="152" spans="1:9" ht="20.25" hidden="1" x14ac:dyDescent="0.3">
      <c r="A152" s="41" t="s">
        <v>39</v>
      </c>
      <c r="B152" s="18">
        <f>B149-E157</f>
        <v>0</v>
      </c>
      <c r="C152" s="18">
        <f>C149-E161</f>
        <v>30387.019999999997</v>
      </c>
      <c r="D152" s="18">
        <f>D149-E169</f>
        <v>25963.259999999995</v>
      </c>
      <c r="E152" s="151" t="s">
        <v>109</v>
      </c>
      <c r="F152" s="14"/>
      <c r="G152" s="13"/>
      <c r="H152" s="13"/>
      <c r="I152" s="39"/>
    </row>
    <row r="153" spans="1:9" hidden="1" x14ac:dyDescent="0.2">
      <c r="A153" s="41" t="s">
        <v>35</v>
      </c>
      <c r="B153" s="40">
        <f>B151-E157-F157</f>
        <v>0</v>
      </c>
      <c r="C153" s="40">
        <f>C151-E161-F161</f>
        <v>30387.019999999997</v>
      </c>
      <c r="D153" s="47">
        <f>D151-E169-F169</f>
        <v>13343.259999999997</v>
      </c>
      <c r="E153" s="493" t="s">
        <v>110</v>
      </c>
      <c r="F153" s="503"/>
      <c r="G153" s="503"/>
      <c r="H153" s="503"/>
      <c r="I153" s="146"/>
    </row>
    <row r="154" spans="1:9" ht="21" hidden="1" thickBot="1" x14ac:dyDescent="0.35">
      <c r="A154" s="41"/>
      <c r="B154" s="13"/>
      <c r="C154" s="13"/>
      <c r="D154" s="13"/>
      <c r="E154" s="14"/>
      <c r="F154" s="14"/>
      <c r="G154" s="13"/>
      <c r="H154" s="13"/>
      <c r="I154" s="39"/>
    </row>
    <row r="155" spans="1:9" ht="51" hidden="1" x14ac:dyDescent="0.2">
      <c r="A155" s="19" t="s">
        <v>41</v>
      </c>
      <c r="B155" s="20" t="s">
        <v>34</v>
      </c>
      <c r="C155" s="20" t="s">
        <v>64</v>
      </c>
      <c r="D155" s="20" t="s">
        <v>63</v>
      </c>
      <c r="E155" s="20" t="s">
        <v>37</v>
      </c>
      <c r="F155" s="20" t="s">
        <v>48</v>
      </c>
      <c r="G155" s="20" t="s">
        <v>40</v>
      </c>
      <c r="H155" s="20" t="s">
        <v>38</v>
      </c>
      <c r="I155" s="21" t="s">
        <v>5</v>
      </c>
    </row>
    <row r="156" spans="1:9" hidden="1" x14ac:dyDescent="0.2">
      <c r="A156" s="22" t="s">
        <v>10</v>
      </c>
      <c r="B156" s="23" t="s">
        <v>10</v>
      </c>
      <c r="C156" s="60">
        <v>44500</v>
      </c>
      <c r="D156" s="53">
        <v>43467</v>
      </c>
      <c r="E156" s="60">
        <f>C156</f>
        <v>44500</v>
      </c>
      <c r="F156" s="60"/>
      <c r="G156" s="23" t="s">
        <v>623</v>
      </c>
      <c r="H156" s="23" t="s">
        <v>487</v>
      </c>
      <c r="I156" s="24"/>
    </row>
    <row r="157" spans="1:9" hidden="1" x14ac:dyDescent="0.2">
      <c r="A157" s="25" t="s">
        <v>43</v>
      </c>
      <c r="B157" s="26"/>
      <c r="C157" s="64">
        <f>C156</f>
        <v>44500</v>
      </c>
      <c r="D157" s="26"/>
      <c r="E157" s="64">
        <f>E156</f>
        <v>44500</v>
      </c>
      <c r="F157" s="64">
        <f>F156</f>
        <v>0</v>
      </c>
      <c r="G157" s="26"/>
      <c r="H157" s="26"/>
      <c r="I157" s="27"/>
    </row>
    <row r="158" spans="1:9" hidden="1" x14ac:dyDescent="0.2">
      <c r="A158" s="34"/>
      <c r="B158" s="34"/>
      <c r="C158" s="62"/>
      <c r="D158" s="34"/>
      <c r="E158" s="62"/>
      <c r="F158" s="62"/>
      <c r="G158" s="34"/>
      <c r="H158" s="34"/>
      <c r="I158" s="34"/>
    </row>
    <row r="159" spans="1:9" hidden="1" x14ac:dyDescent="0.2">
      <c r="A159" s="25" t="s">
        <v>44</v>
      </c>
      <c r="B159" s="228" t="s">
        <v>568</v>
      </c>
      <c r="C159" s="61">
        <v>4651.4799999999996</v>
      </c>
      <c r="D159" s="58">
        <v>43735</v>
      </c>
      <c r="E159" s="61">
        <v>46651.48</v>
      </c>
      <c r="F159" s="61">
        <f>IF(E159="",C159,0)</f>
        <v>0</v>
      </c>
      <c r="G159" s="26" t="s">
        <v>680</v>
      </c>
      <c r="H159" s="26" t="s">
        <v>487</v>
      </c>
      <c r="I159" s="84"/>
    </row>
    <row r="160" spans="1:9" hidden="1" x14ac:dyDescent="0.2">
      <c r="A160" s="25"/>
      <c r="B160" s="228" t="s">
        <v>568</v>
      </c>
      <c r="C160" s="61">
        <v>6434.45</v>
      </c>
      <c r="D160" s="58">
        <v>43921</v>
      </c>
      <c r="E160" s="61">
        <v>6434.45</v>
      </c>
      <c r="F160" s="61">
        <v>0</v>
      </c>
      <c r="G160" s="26" t="s">
        <v>739</v>
      </c>
      <c r="H160" s="26" t="s">
        <v>487</v>
      </c>
      <c r="I160" s="84"/>
    </row>
    <row r="161" spans="1:9" hidden="1" x14ac:dyDescent="0.2">
      <c r="A161" s="25" t="s">
        <v>43</v>
      </c>
      <c r="B161" s="26"/>
      <c r="C161" s="63">
        <f>SUM(C159:C160)</f>
        <v>11085.93</v>
      </c>
      <c r="D161" s="26"/>
      <c r="E161" s="63">
        <f>E159</f>
        <v>46651.48</v>
      </c>
      <c r="F161" s="63">
        <f>SUM(F159:F160)</f>
        <v>0</v>
      </c>
      <c r="G161" s="26"/>
      <c r="H161" s="26"/>
      <c r="I161" s="27"/>
    </row>
    <row r="162" spans="1:9" hidden="1" x14ac:dyDescent="0.2">
      <c r="A162" s="34"/>
      <c r="B162" s="34"/>
      <c r="C162" s="62"/>
      <c r="D162" s="34"/>
      <c r="E162" s="62"/>
      <c r="F162" s="62"/>
      <c r="G162" s="34"/>
      <c r="H162" s="34"/>
      <c r="I162" s="34"/>
    </row>
    <row r="163" spans="1:9" hidden="1" x14ac:dyDescent="0.2">
      <c r="A163" s="25" t="s">
        <v>42</v>
      </c>
      <c r="B163" s="43"/>
      <c r="C163" s="156"/>
      <c r="D163" s="56"/>
      <c r="E163" s="156"/>
      <c r="F163" s="87"/>
      <c r="G163" s="43"/>
      <c r="H163" s="43"/>
      <c r="I163" s="45"/>
    </row>
    <row r="164" spans="1:9" hidden="1" x14ac:dyDescent="0.2">
      <c r="A164" s="155"/>
      <c r="B164" s="170" t="s">
        <v>10</v>
      </c>
      <c r="C164" s="61">
        <v>30400</v>
      </c>
      <c r="D164" s="173" t="s">
        <v>646</v>
      </c>
      <c r="E164" s="156">
        <v>24780</v>
      </c>
      <c r="F164" s="87">
        <f>30400-24780</f>
        <v>5620</v>
      </c>
      <c r="G164" s="250" t="s">
        <v>728</v>
      </c>
      <c r="H164" s="56" t="s">
        <v>645</v>
      </c>
      <c r="I164" s="45"/>
    </row>
    <row r="165" spans="1:9" hidden="1" x14ac:dyDescent="0.2">
      <c r="A165" s="155"/>
      <c r="B165" s="170" t="s">
        <v>10</v>
      </c>
      <c r="C165" s="61">
        <v>7000</v>
      </c>
      <c r="D165" s="173" t="s">
        <v>664</v>
      </c>
      <c r="E165" s="156"/>
      <c r="F165" s="87">
        <v>7000</v>
      </c>
      <c r="G165" s="56"/>
      <c r="H165" s="56" t="s">
        <v>645</v>
      </c>
      <c r="I165" s="149" t="s">
        <v>579</v>
      </c>
    </row>
    <row r="166" spans="1:9" hidden="1" x14ac:dyDescent="0.2">
      <c r="A166" s="155"/>
      <c r="B166" s="170" t="s">
        <v>532</v>
      </c>
      <c r="C166" s="61">
        <v>38000</v>
      </c>
      <c r="D166" s="173" t="s">
        <v>654</v>
      </c>
      <c r="E166" s="156">
        <v>25338.720000000001</v>
      </c>
      <c r="F166" s="87">
        <f>C166-E166</f>
        <v>12661.279999999999</v>
      </c>
      <c r="G166" s="56" t="s">
        <v>713</v>
      </c>
      <c r="H166" s="56" t="s">
        <v>645</v>
      </c>
      <c r="I166" s="149" t="s">
        <v>98</v>
      </c>
    </row>
    <row r="167" spans="1:9" hidden="1" x14ac:dyDescent="0.2">
      <c r="A167" s="155"/>
      <c r="B167" s="170"/>
      <c r="C167" s="61"/>
      <c r="D167" s="173"/>
      <c r="E167" s="156"/>
      <c r="F167" s="87">
        <v>-12661.28</v>
      </c>
      <c r="G167" s="56"/>
      <c r="H167" s="56"/>
      <c r="I167" s="149" t="s">
        <v>681</v>
      </c>
    </row>
    <row r="168" spans="1:9" hidden="1" x14ac:dyDescent="0.2">
      <c r="A168" s="155"/>
      <c r="B168" s="170"/>
      <c r="C168" s="61"/>
      <c r="D168" s="56"/>
      <c r="E168" s="156"/>
      <c r="F168" s="87"/>
      <c r="G168" s="56"/>
      <c r="H168" s="56"/>
      <c r="I168" s="149"/>
    </row>
    <row r="169" spans="1:9" ht="13.5" hidden="1" thickBot="1" x14ac:dyDescent="0.25">
      <c r="A169" s="29" t="s">
        <v>43</v>
      </c>
      <c r="B169" s="30"/>
      <c r="C169" s="59">
        <f>SUM(C163:C168)</f>
        <v>75400</v>
      </c>
      <c r="D169" s="30"/>
      <c r="E169" s="59">
        <f>SUM(E163:E168)</f>
        <v>50118.720000000001</v>
      </c>
      <c r="F169" s="59">
        <f>SUM(F163:F168)</f>
        <v>12619.999999999998</v>
      </c>
      <c r="G169" s="30"/>
      <c r="H169" s="30"/>
      <c r="I169" s="31"/>
    </row>
    <row r="170" spans="1:9" ht="13.5" hidden="1" thickBot="1" x14ac:dyDescent="0.25"/>
    <row r="171" spans="1:9" ht="21" hidden="1" thickBot="1" x14ac:dyDescent="0.35">
      <c r="A171" s="525" t="s">
        <v>488</v>
      </c>
      <c r="B171" s="528"/>
      <c r="C171" s="528"/>
      <c r="D171" s="528"/>
      <c r="E171" s="528"/>
      <c r="F171" s="528"/>
      <c r="G171" s="528"/>
      <c r="H171" s="528"/>
      <c r="I171" s="529"/>
    </row>
    <row r="172" spans="1:9" ht="20.25" hidden="1" x14ac:dyDescent="0.3">
      <c r="A172" s="41"/>
      <c r="B172" s="13" t="s">
        <v>472</v>
      </c>
      <c r="C172" s="13" t="s">
        <v>473</v>
      </c>
      <c r="D172" s="13" t="s">
        <v>474</v>
      </c>
      <c r="E172" s="14"/>
      <c r="F172" s="14"/>
      <c r="G172" s="13"/>
      <c r="H172" s="13"/>
      <c r="I172" s="39"/>
    </row>
    <row r="173" spans="1:9" ht="20.25" hidden="1" x14ac:dyDescent="0.3">
      <c r="A173" s="41" t="s">
        <v>477</v>
      </c>
      <c r="B173" s="18">
        <v>44500</v>
      </c>
      <c r="C173" s="18">
        <v>37950</v>
      </c>
      <c r="D173" s="18">
        <v>70000</v>
      </c>
      <c r="E173" s="161"/>
      <c r="F173" s="14"/>
      <c r="G173" s="13"/>
      <c r="H173" s="13"/>
      <c r="I173" s="39"/>
    </row>
    <row r="174" spans="1:9" ht="20.25" hidden="1" x14ac:dyDescent="0.3">
      <c r="A174" s="41" t="s">
        <v>36</v>
      </c>
      <c r="B174" s="18">
        <f>IF(B204&gt;34500,34500,B204)</f>
        <v>0</v>
      </c>
      <c r="C174" s="18">
        <f>IF(C204&gt;34500,34500,C204)</f>
        <v>34500</v>
      </c>
      <c r="D174" s="18">
        <f>IF(D204&gt;70000,70000,D204)</f>
        <v>0.5</v>
      </c>
      <c r="E174" s="14"/>
      <c r="F174" s="14"/>
      <c r="G174" s="13"/>
      <c r="H174" s="13"/>
      <c r="I174" s="39"/>
    </row>
    <row r="175" spans="1:9" ht="20.25" hidden="1" x14ac:dyDescent="0.3">
      <c r="A175" s="41" t="s">
        <v>475</v>
      </c>
      <c r="B175" s="18">
        <f>SUM(B173:B174)</f>
        <v>44500</v>
      </c>
      <c r="C175" s="18">
        <f>SUM(C173:C174)</f>
        <v>72450</v>
      </c>
      <c r="D175" s="18">
        <f>SUM(D173:D174)</f>
        <v>70000.5</v>
      </c>
      <c r="E175" s="130" t="s">
        <v>107</v>
      </c>
      <c r="F175" s="14"/>
      <c r="G175" s="13"/>
      <c r="H175" s="13"/>
      <c r="I175" s="39"/>
    </row>
    <row r="176" spans="1:9" ht="20.25" hidden="1" x14ac:dyDescent="0.3">
      <c r="A176" s="41" t="s">
        <v>47</v>
      </c>
      <c r="B176" s="18">
        <f>IF(B205&gt;34500,30000,B205)</f>
        <v>0</v>
      </c>
      <c r="C176" s="18">
        <f>IF(C204&gt;34500,34500,C204)</f>
        <v>34500</v>
      </c>
      <c r="D176" s="18">
        <f>IF(D204&gt;70000,70000,D204)</f>
        <v>0.5</v>
      </c>
      <c r="E176" s="14"/>
      <c r="F176" s="14"/>
      <c r="G176" s="13"/>
      <c r="H176" s="13"/>
      <c r="I176" s="39"/>
    </row>
    <row r="177" spans="1:9" ht="20.25" hidden="1" x14ac:dyDescent="0.3">
      <c r="A177" s="41" t="s">
        <v>45</v>
      </c>
      <c r="B177" s="18">
        <f>B176+B173</f>
        <v>44500</v>
      </c>
      <c r="C177" s="18">
        <f>C176+C173</f>
        <v>72450</v>
      </c>
      <c r="D177" s="18">
        <f>D176+D173</f>
        <v>70000.5</v>
      </c>
      <c r="E177" s="151" t="s">
        <v>108</v>
      </c>
      <c r="F177" s="14"/>
      <c r="G177" s="13"/>
      <c r="H177" s="13"/>
      <c r="I177" s="39"/>
    </row>
    <row r="178" spans="1:9" ht="20.25" hidden="1" x14ac:dyDescent="0.3">
      <c r="A178" s="41" t="s">
        <v>39</v>
      </c>
      <c r="B178" s="18">
        <f>B175-E183</f>
        <v>0</v>
      </c>
      <c r="C178" s="18">
        <f>C175-E187</f>
        <v>53981.39</v>
      </c>
      <c r="D178" s="18">
        <f>D175-E194</f>
        <v>6081.9799999999959</v>
      </c>
      <c r="E178" s="151" t="s">
        <v>109</v>
      </c>
      <c r="F178" s="14"/>
      <c r="G178" s="13"/>
      <c r="H178" s="13"/>
      <c r="I178" s="39"/>
    </row>
    <row r="179" spans="1:9" hidden="1" x14ac:dyDescent="0.2">
      <c r="A179" s="41" t="s">
        <v>35</v>
      </c>
      <c r="B179" s="40">
        <f>B177-E183-F183</f>
        <v>0</v>
      </c>
      <c r="C179" s="40">
        <f>C177-E187-F187</f>
        <v>53981.39</v>
      </c>
      <c r="D179" s="47">
        <f>D177-E194-F194</f>
        <v>6081.9799999999959</v>
      </c>
      <c r="E179" s="493" t="s">
        <v>110</v>
      </c>
      <c r="F179" s="503"/>
      <c r="G179" s="503"/>
      <c r="H179" s="503"/>
      <c r="I179" s="146"/>
    </row>
    <row r="180" spans="1:9" ht="21" hidden="1" thickBot="1" x14ac:dyDescent="0.35">
      <c r="A180" s="41"/>
      <c r="B180" s="13"/>
      <c r="C180" s="13"/>
      <c r="D180" s="13"/>
      <c r="E180" s="14"/>
      <c r="F180" s="14"/>
      <c r="G180" s="13"/>
      <c r="H180" s="13"/>
      <c r="I180" s="39"/>
    </row>
    <row r="181" spans="1:9" ht="51" hidden="1" x14ac:dyDescent="0.2">
      <c r="A181" s="19" t="s">
        <v>41</v>
      </c>
      <c r="B181" s="20" t="s">
        <v>34</v>
      </c>
      <c r="C181" s="20" t="s">
        <v>64</v>
      </c>
      <c r="D181" s="20" t="s">
        <v>63</v>
      </c>
      <c r="E181" s="20" t="s">
        <v>37</v>
      </c>
      <c r="F181" s="20" t="s">
        <v>48</v>
      </c>
      <c r="G181" s="20" t="s">
        <v>40</v>
      </c>
      <c r="H181" s="20" t="s">
        <v>38</v>
      </c>
      <c r="I181" s="21" t="s">
        <v>5</v>
      </c>
    </row>
    <row r="182" spans="1:9" hidden="1" x14ac:dyDescent="0.2">
      <c r="A182" s="22" t="s">
        <v>10</v>
      </c>
      <c r="B182" s="23" t="s">
        <v>10</v>
      </c>
      <c r="C182" s="60">
        <v>44500</v>
      </c>
      <c r="D182" s="53"/>
      <c r="E182" s="60">
        <v>44500</v>
      </c>
      <c r="F182" s="60">
        <f>IF(E182="",C182,0)</f>
        <v>0</v>
      </c>
      <c r="G182" s="23" t="s">
        <v>490</v>
      </c>
      <c r="H182" s="23" t="s">
        <v>491</v>
      </c>
      <c r="I182" s="24"/>
    </row>
    <row r="183" spans="1:9" hidden="1" x14ac:dyDescent="0.2">
      <c r="A183" s="25" t="s">
        <v>43</v>
      </c>
      <c r="B183" s="26"/>
      <c r="C183" s="64">
        <f>C182</f>
        <v>44500</v>
      </c>
      <c r="D183" s="26"/>
      <c r="E183" s="64">
        <f>E182</f>
        <v>44500</v>
      </c>
      <c r="F183" s="64">
        <f>F182</f>
        <v>0</v>
      </c>
      <c r="G183" s="26"/>
      <c r="H183" s="26"/>
      <c r="I183" s="27"/>
    </row>
    <row r="184" spans="1:9" hidden="1" x14ac:dyDescent="0.2">
      <c r="A184" s="34"/>
      <c r="B184" s="34"/>
      <c r="C184" s="62"/>
      <c r="D184" s="34"/>
      <c r="E184" s="62"/>
      <c r="F184" s="62"/>
      <c r="G184" s="34"/>
      <c r="H184" s="34"/>
      <c r="I184" s="34"/>
    </row>
    <row r="185" spans="1:9" hidden="1" x14ac:dyDescent="0.2">
      <c r="A185" s="25" t="s">
        <v>44</v>
      </c>
      <c r="B185" s="228" t="s">
        <v>568</v>
      </c>
      <c r="C185" s="61">
        <v>18468.61</v>
      </c>
      <c r="D185" s="58">
        <v>43374</v>
      </c>
      <c r="E185" s="61">
        <v>18468.61</v>
      </c>
      <c r="F185" s="61">
        <f>IF(E185="",C185,0)</f>
        <v>0</v>
      </c>
      <c r="G185" s="26" t="s">
        <v>630</v>
      </c>
      <c r="H185" s="26" t="s">
        <v>487</v>
      </c>
      <c r="I185" s="84"/>
    </row>
    <row r="186" spans="1:9" hidden="1" x14ac:dyDescent="0.2">
      <c r="A186" s="25"/>
      <c r="B186" s="228"/>
      <c r="C186" s="61">
        <v>9971.4599999999991</v>
      </c>
      <c r="D186" s="58">
        <v>43551</v>
      </c>
      <c r="E186" s="61">
        <f>C186</f>
        <v>9971.4599999999991</v>
      </c>
      <c r="F186" s="61"/>
      <c r="G186" s="26" t="s">
        <v>639</v>
      </c>
      <c r="H186" s="26" t="s">
        <v>487</v>
      </c>
      <c r="I186" s="84"/>
    </row>
    <row r="187" spans="1:9" hidden="1" x14ac:dyDescent="0.2">
      <c r="A187" s="25" t="s">
        <v>43</v>
      </c>
      <c r="B187" s="26"/>
      <c r="C187" s="63">
        <f>C185</f>
        <v>18468.61</v>
      </c>
      <c r="D187" s="26"/>
      <c r="E187" s="63">
        <f>E185</f>
        <v>18468.61</v>
      </c>
      <c r="F187" s="63">
        <f>F185+F186</f>
        <v>0</v>
      </c>
      <c r="G187" s="26"/>
      <c r="H187" s="26"/>
      <c r="I187" s="27"/>
    </row>
    <row r="188" spans="1:9" hidden="1" x14ac:dyDescent="0.2">
      <c r="A188" s="34"/>
      <c r="B188" s="34"/>
      <c r="C188" s="62"/>
      <c r="D188" s="34"/>
      <c r="E188" s="62"/>
      <c r="F188" s="62"/>
      <c r="G188" s="34"/>
      <c r="H188" s="34"/>
      <c r="I188" s="34"/>
    </row>
    <row r="189" spans="1:9" hidden="1" x14ac:dyDescent="0.2">
      <c r="A189" s="25" t="s">
        <v>42</v>
      </c>
      <c r="B189" s="43" t="s">
        <v>18</v>
      </c>
      <c r="C189" s="156">
        <v>35760</v>
      </c>
      <c r="D189" s="56" t="s">
        <v>512</v>
      </c>
      <c r="E189" s="156">
        <v>35790</v>
      </c>
      <c r="F189" s="87">
        <v>0</v>
      </c>
      <c r="G189" s="43" t="s">
        <v>566</v>
      </c>
      <c r="H189" s="43" t="s">
        <v>455</v>
      </c>
      <c r="I189" s="45" t="s">
        <v>100</v>
      </c>
    </row>
    <row r="190" spans="1:9" hidden="1" x14ac:dyDescent="0.2">
      <c r="A190" s="155"/>
      <c r="B190" s="170" t="s">
        <v>10</v>
      </c>
      <c r="C190" s="61">
        <v>2000</v>
      </c>
      <c r="D190" s="173" t="s">
        <v>523</v>
      </c>
      <c r="E190" s="156">
        <v>2000</v>
      </c>
      <c r="F190" s="87">
        <v>0</v>
      </c>
      <c r="G190" s="56" t="s">
        <v>553</v>
      </c>
      <c r="H190" s="56" t="s">
        <v>518</v>
      </c>
      <c r="I190" s="45"/>
    </row>
    <row r="191" spans="1:9" hidden="1" x14ac:dyDescent="0.2">
      <c r="A191" s="155"/>
      <c r="B191" s="170" t="s">
        <v>532</v>
      </c>
      <c r="C191" s="61">
        <v>11915</v>
      </c>
      <c r="D191" s="173" t="s">
        <v>534</v>
      </c>
      <c r="E191" s="156">
        <v>5803.02</v>
      </c>
      <c r="F191" s="87">
        <v>6111.98</v>
      </c>
      <c r="G191" s="56" t="s">
        <v>565</v>
      </c>
      <c r="H191" s="56" t="s">
        <v>533</v>
      </c>
      <c r="I191" s="149" t="s">
        <v>100</v>
      </c>
    </row>
    <row r="192" spans="1:9" ht="12" hidden="1" customHeight="1" x14ac:dyDescent="0.2">
      <c r="A192" s="155"/>
      <c r="B192" s="170"/>
      <c r="C192" s="61"/>
      <c r="D192" s="173"/>
      <c r="E192" s="156"/>
      <c r="F192" s="87">
        <v>-6111.98</v>
      </c>
      <c r="G192" s="56"/>
      <c r="H192" s="56"/>
      <c r="I192" s="149" t="s">
        <v>67</v>
      </c>
    </row>
    <row r="193" spans="1:9" hidden="1" x14ac:dyDescent="0.2">
      <c r="A193" s="155"/>
      <c r="B193" s="170" t="s">
        <v>10</v>
      </c>
      <c r="C193" s="61">
        <v>20325.5</v>
      </c>
      <c r="D193" s="56" t="s">
        <v>536</v>
      </c>
      <c r="E193" s="156">
        <v>20325.5</v>
      </c>
      <c r="F193" s="87"/>
      <c r="G193" s="56" t="s">
        <v>545</v>
      </c>
      <c r="H193" s="56" t="s">
        <v>455</v>
      </c>
      <c r="I193" s="149"/>
    </row>
    <row r="194" spans="1:9" ht="13.5" hidden="1" thickBot="1" x14ac:dyDescent="0.25">
      <c r="A194" s="29" t="s">
        <v>43</v>
      </c>
      <c r="B194" s="30"/>
      <c r="C194" s="59">
        <f>SUM(C189:C193)</f>
        <v>70000.5</v>
      </c>
      <c r="D194" s="30"/>
      <c r="E194" s="59">
        <f>SUM(E189:E193)</f>
        <v>63918.520000000004</v>
      </c>
      <c r="F194" s="59">
        <f>SUM(F189:F193)</f>
        <v>0</v>
      </c>
      <c r="G194" s="30"/>
      <c r="H194" s="30"/>
      <c r="I194" s="31"/>
    </row>
    <row r="195" spans="1:9" ht="13.5" hidden="1" thickBot="1" x14ac:dyDescent="0.25">
      <c r="A195" s="220"/>
      <c r="B195" s="217"/>
      <c r="C195" s="218"/>
      <c r="D195" s="217"/>
      <c r="E195" s="218"/>
      <c r="F195" s="218"/>
      <c r="G195" s="217"/>
      <c r="H195" s="217"/>
      <c r="I195" s="219"/>
    </row>
    <row r="196" spans="1:9" ht="21" hidden="1" thickBot="1" x14ac:dyDescent="0.35">
      <c r="A196" s="525" t="s">
        <v>331</v>
      </c>
      <c r="B196" s="528"/>
      <c r="C196" s="528"/>
      <c r="D196" s="528"/>
      <c r="E196" s="528"/>
      <c r="F196" s="528"/>
      <c r="G196" s="528"/>
      <c r="H196" s="528"/>
      <c r="I196" s="529"/>
    </row>
    <row r="197" spans="1:9" ht="20.25" hidden="1" x14ac:dyDescent="0.3">
      <c r="A197" s="41"/>
      <c r="B197" s="13" t="s">
        <v>322</v>
      </c>
      <c r="C197" s="13" t="s">
        <v>323</v>
      </c>
      <c r="D197" s="13" t="s">
        <v>324</v>
      </c>
      <c r="E197" s="14"/>
      <c r="F197" s="14"/>
      <c r="G197" s="13"/>
      <c r="H197" s="13"/>
      <c r="I197" s="39"/>
    </row>
    <row r="198" spans="1:9" ht="20.25" hidden="1" x14ac:dyDescent="0.3">
      <c r="A198" s="41" t="s">
        <v>328</v>
      </c>
      <c r="B198" s="18">
        <v>34500</v>
      </c>
      <c r="C198" s="18">
        <v>34500</v>
      </c>
      <c r="D198" s="18">
        <v>70000</v>
      </c>
      <c r="E198" s="161"/>
      <c r="F198" s="14"/>
      <c r="G198" s="13"/>
      <c r="H198" s="13"/>
      <c r="I198" s="39"/>
    </row>
    <row r="199" spans="1:9" ht="20.25" hidden="1" x14ac:dyDescent="0.3">
      <c r="A199" s="41" t="s">
        <v>36</v>
      </c>
      <c r="B199" s="18">
        <f>IF(B228&gt;34500,34500,B228)</f>
        <v>0</v>
      </c>
      <c r="C199" s="18">
        <f>IF(C228&gt;34500,34500,C228)</f>
        <v>34500</v>
      </c>
      <c r="D199" s="18">
        <f>IF(D228&gt;70000,70000,D228)</f>
        <v>14215.650000000001</v>
      </c>
      <c r="E199" s="14"/>
      <c r="F199" s="14"/>
      <c r="G199" s="13"/>
      <c r="H199" s="13"/>
      <c r="I199" s="39"/>
    </row>
    <row r="200" spans="1:9" ht="20.25" hidden="1" x14ac:dyDescent="0.3">
      <c r="A200" s="41" t="s">
        <v>325</v>
      </c>
      <c r="B200" s="18">
        <f>SUM(B198:B199)</f>
        <v>34500</v>
      </c>
      <c r="C200" s="18">
        <f>SUM(C198:C199)</f>
        <v>69000</v>
      </c>
      <c r="D200" s="18">
        <f>SUM(D198:D199)</f>
        <v>84215.65</v>
      </c>
      <c r="E200" s="130" t="s">
        <v>107</v>
      </c>
      <c r="F200" s="14"/>
      <c r="G200" s="13"/>
      <c r="H200" s="13"/>
      <c r="I200" s="39"/>
    </row>
    <row r="201" spans="1:9" ht="20.25" hidden="1" x14ac:dyDescent="0.3">
      <c r="A201" s="41" t="s">
        <v>47</v>
      </c>
      <c r="B201" s="18">
        <f>IF(B229&gt;34500,30000,B229)</f>
        <v>0</v>
      </c>
      <c r="C201" s="18">
        <f>IF(C229&gt;34500,34500,C229)</f>
        <v>34500</v>
      </c>
      <c r="D201" s="18">
        <f>IF(D229&gt;70000,70000,D229)</f>
        <v>11797.11</v>
      </c>
      <c r="E201" s="14"/>
      <c r="F201" s="14"/>
      <c r="G201" s="13"/>
      <c r="H201" s="13"/>
      <c r="I201" s="39"/>
    </row>
    <row r="202" spans="1:9" ht="20.25" hidden="1" x14ac:dyDescent="0.3">
      <c r="A202" s="41" t="s">
        <v>45</v>
      </c>
      <c r="B202" s="18">
        <f>B201+B198</f>
        <v>34500</v>
      </c>
      <c r="C202" s="18">
        <f>C201+C198</f>
        <v>69000</v>
      </c>
      <c r="D202" s="18">
        <f>D201+D198</f>
        <v>81797.11</v>
      </c>
      <c r="E202" s="151" t="s">
        <v>108</v>
      </c>
      <c r="F202" s="14"/>
      <c r="G202" s="13"/>
      <c r="H202" s="13"/>
      <c r="I202" s="39"/>
    </row>
    <row r="203" spans="1:9" ht="20.25" hidden="1" x14ac:dyDescent="0.3">
      <c r="A203" s="41" t="s">
        <v>39</v>
      </c>
      <c r="B203" s="18">
        <f>B200-E208</f>
        <v>0</v>
      </c>
      <c r="C203" s="18">
        <f>C200-E211</f>
        <v>66185.19</v>
      </c>
      <c r="D203" s="18">
        <f>D200-E219</f>
        <v>2419.0399999999936</v>
      </c>
      <c r="E203" s="151" t="s">
        <v>109</v>
      </c>
      <c r="F203" s="14"/>
      <c r="G203" s="13"/>
      <c r="H203" s="13"/>
      <c r="I203" s="39"/>
    </row>
    <row r="204" spans="1:9" hidden="1" x14ac:dyDescent="0.2">
      <c r="A204" s="41" t="s">
        <v>35</v>
      </c>
      <c r="B204" s="40">
        <f>B202-E208-F208</f>
        <v>0</v>
      </c>
      <c r="C204" s="40">
        <f>C202-E211-F211</f>
        <v>66185.19</v>
      </c>
      <c r="D204" s="47">
        <f>D202-E219-F219</f>
        <v>0.5</v>
      </c>
      <c r="E204" s="493" t="s">
        <v>110</v>
      </c>
      <c r="F204" s="503"/>
      <c r="G204" s="503"/>
      <c r="H204" s="503"/>
      <c r="I204" s="146"/>
    </row>
    <row r="205" spans="1:9" ht="21" hidden="1" thickBot="1" x14ac:dyDescent="0.35">
      <c r="A205" s="41"/>
      <c r="B205" s="13"/>
      <c r="C205" s="13"/>
      <c r="D205" s="13"/>
      <c r="E205" s="14"/>
      <c r="F205" s="14"/>
      <c r="G205" s="13"/>
      <c r="H205" s="13"/>
      <c r="I205" s="39"/>
    </row>
    <row r="206" spans="1:9" ht="51" hidden="1" x14ac:dyDescent="0.2">
      <c r="A206" s="19" t="s">
        <v>41</v>
      </c>
      <c r="B206" s="20" t="s">
        <v>34</v>
      </c>
      <c r="C206" s="20" t="s">
        <v>64</v>
      </c>
      <c r="D206" s="20" t="s">
        <v>63</v>
      </c>
      <c r="E206" s="20" t="s">
        <v>37</v>
      </c>
      <c r="F206" s="20" t="s">
        <v>48</v>
      </c>
      <c r="G206" s="20" t="s">
        <v>40</v>
      </c>
      <c r="H206" s="20" t="s">
        <v>38</v>
      </c>
      <c r="I206" s="21" t="s">
        <v>5</v>
      </c>
    </row>
    <row r="207" spans="1:9" hidden="1" x14ac:dyDescent="0.2">
      <c r="A207" s="22" t="s">
        <v>10</v>
      </c>
      <c r="B207" s="23" t="s">
        <v>10</v>
      </c>
      <c r="C207" s="60">
        <v>34500</v>
      </c>
      <c r="D207" s="53">
        <v>42738</v>
      </c>
      <c r="E207" s="60">
        <v>34500</v>
      </c>
      <c r="F207" s="60">
        <f>IF(E207="",C207,0)</f>
        <v>0</v>
      </c>
      <c r="G207" s="23" t="s">
        <v>354</v>
      </c>
      <c r="H207" s="23" t="s">
        <v>355</v>
      </c>
      <c r="I207" s="24"/>
    </row>
    <row r="208" spans="1:9" hidden="1" x14ac:dyDescent="0.2">
      <c r="A208" s="25" t="s">
        <v>43</v>
      </c>
      <c r="B208" s="26"/>
      <c r="C208" s="64">
        <f>C207</f>
        <v>34500</v>
      </c>
      <c r="D208" s="26"/>
      <c r="E208" s="64">
        <f>E207</f>
        <v>34500</v>
      </c>
      <c r="F208" s="64">
        <f>F207</f>
        <v>0</v>
      </c>
      <c r="G208" s="26"/>
      <c r="H208" s="26"/>
      <c r="I208" s="27"/>
    </row>
    <row r="209" spans="1:9" hidden="1" x14ac:dyDescent="0.2">
      <c r="A209" s="34"/>
      <c r="B209" s="34"/>
      <c r="C209" s="62"/>
      <c r="D209" s="34"/>
      <c r="E209" s="62"/>
      <c r="F209" s="62"/>
      <c r="G209" s="34"/>
      <c r="H209" s="34"/>
      <c r="I209" s="34"/>
    </row>
    <row r="210" spans="1:9" hidden="1" x14ac:dyDescent="0.2">
      <c r="A210" s="25" t="s">
        <v>44</v>
      </c>
      <c r="B210" s="26" t="s">
        <v>18</v>
      </c>
      <c r="C210" s="61">
        <v>2814.81</v>
      </c>
      <c r="D210" s="58"/>
      <c r="E210" s="61">
        <v>2814.81</v>
      </c>
      <c r="F210" s="61">
        <f>IF(E210="",C210,0)</f>
        <v>0</v>
      </c>
      <c r="G210" s="26" t="s">
        <v>500</v>
      </c>
      <c r="H210" s="26" t="s">
        <v>501</v>
      </c>
      <c r="I210" s="84"/>
    </row>
    <row r="211" spans="1:9" hidden="1" x14ac:dyDescent="0.2">
      <c r="A211" s="25" t="s">
        <v>43</v>
      </c>
      <c r="B211" s="26"/>
      <c r="C211" s="63">
        <f>C210</f>
        <v>2814.81</v>
      </c>
      <c r="D211" s="26"/>
      <c r="E211" s="63">
        <f>E210</f>
        <v>2814.81</v>
      </c>
      <c r="F211" s="63">
        <f>F210</f>
        <v>0</v>
      </c>
      <c r="G211" s="26"/>
      <c r="H211" s="26"/>
      <c r="I211" s="27"/>
    </row>
    <row r="212" spans="1:9" hidden="1" x14ac:dyDescent="0.2">
      <c r="A212" s="34"/>
      <c r="B212" s="34"/>
      <c r="C212" s="62"/>
      <c r="D212" s="34"/>
      <c r="E212" s="62"/>
      <c r="F212" s="62"/>
      <c r="G212" s="34"/>
      <c r="H212" s="34"/>
      <c r="I212" s="34"/>
    </row>
    <row r="213" spans="1:9" hidden="1" x14ac:dyDescent="0.2">
      <c r="A213" s="25" t="s">
        <v>42</v>
      </c>
      <c r="B213" s="43"/>
      <c r="C213" s="56"/>
      <c r="D213" s="56"/>
      <c r="E213" s="56"/>
      <c r="F213" s="87">
        <f>C213-E213</f>
        <v>0</v>
      </c>
      <c r="G213" s="43"/>
      <c r="H213" s="43"/>
      <c r="I213" s="45"/>
    </row>
    <row r="214" spans="1:9" hidden="1" x14ac:dyDescent="0.2">
      <c r="A214" s="155"/>
      <c r="B214" s="170" t="s">
        <v>18</v>
      </c>
      <c r="C214" s="61">
        <v>40000</v>
      </c>
      <c r="D214" s="173" t="s">
        <v>379</v>
      </c>
      <c r="E214" s="156">
        <v>28223.61</v>
      </c>
      <c r="F214" s="87">
        <f>C214-E214</f>
        <v>11776.39</v>
      </c>
      <c r="G214" s="56" t="s">
        <v>439</v>
      </c>
      <c r="H214" s="56" t="s">
        <v>377</v>
      </c>
      <c r="I214" s="45"/>
    </row>
    <row r="215" spans="1:9" hidden="1" x14ac:dyDescent="0.2">
      <c r="A215" s="155"/>
      <c r="B215" s="170"/>
      <c r="C215" s="61"/>
      <c r="D215" s="173"/>
      <c r="E215" s="56"/>
      <c r="F215" s="87">
        <v>-11776.39</v>
      </c>
      <c r="G215" s="56"/>
      <c r="H215" s="56"/>
      <c r="I215" s="149"/>
    </row>
    <row r="216" spans="1:9" hidden="1" x14ac:dyDescent="0.2">
      <c r="A216" s="155"/>
      <c r="B216" s="170" t="s">
        <v>10</v>
      </c>
      <c r="C216" s="61">
        <v>40000</v>
      </c>
      <c r="D216" s="56" t="s">
        <v>378</v>
      </c>
      <c r="E216" s="156">
        <v>40000</v>
      </c>
      <c r="F216" s="87">
        <f>C216-E216</f>
        <v>0</v>
      </c>
      <c r="G216" s="56" t="s">
        <v>413</v>
      </c>
      <c r="H216" s="56" t="s">
        <v>377</v>
      </c>
      <c r="I216" s="149"/>
    </row>
    <row r="217" spans="1:9" hidden="1" x14ac:dyDescent="0.2">
      <c r="A217" s="504"/>
      <c r="B217" s="494" t="s">
        <v>10</v>
      </c>
      <c r="C217" s="502">
        <v>13573</v>
      </c>
      <c r="D217" s="498" t="s">
        <v>463</v>
      </c>
      <c r="E217" s="156">
        <v>6105</v>
      </c>
      <c r="F217" s="87">
        <f>C217-E217</f>
        <v>7468</v>
      </c>
      <c r="G217" s="150" t="s">
        <v>468</v>
      </c>
      <c r="H217" s="494" t="s">
        <v>455</v>
      </c>
      <c r="I217" s="221" t="s">
        <v>111</v>
      </c>
    </row>
    <row r="218" spans="1:9" hidden="1" x14ac:dyDescent="0.2">
      <c r="A218" s="506"/>
      <c r="B218" s="495"/>
      <c r="C218" s="497"/>
      <c r="D218" s="495"/>
      <c r="E218" s="156">
        <v>7468</v>
      </c>
      <c r="F218" s="87">
        <f>C218-E218</f>
        <v>-7468</v>
      </c>
      <c r="G218" s="224" t="s">
        <v>513</v>
      </c>
      <c r="H218" s="495"/>
      <c r="I218" s="222" t="s">
        <v>90</v>
      </c>
    </row>
    <row r="219" spans="1:9" ht="13.5" hidden="1" thickBot="1" x14ac:dyDescent="0.25">
      <c r="A219" s="29" t="s">
        <v>43</v>
      </c>
      <c r="B219" s="30"/>
      <c r="C219" s="59">
        <f>SUM(C213:C218)</f>
        <v>93573</v>
      </c>
      <c r="D219" s="30"/>
      <c r="E219" s="59">
        <f>SUM(E213:E218)</f>
        <v>81796.61</v>
      </c>
      <c r="F219" s="59">
        <f>SUM(F213:F218)</f>
        <v>0</v>
      </c>
      <c r="G219" s="30"/>
      <c r="H219" s="30"/>
      <c r="I219" s="31"/>
    </row>
    <row r="220" spans="1:9" ht="13.5" hidden="1" thickBot="1" x14ac:dyDescent="0.25"/>
    <row r="221" spans="1:9" ht="21" hidden="1" thickBot="1" x14ac:dyDescent="0.35">
      <c r="A221" s="525" t="s">
        <v>217</v>
      </c>
      <c r="B221" s="528"/>
      <c r="C221" s="528"/>
      <c r="D221" s="528"/>
      <c r="E221" s="528"/>
      <c r="F221" s="528"/>
      <c r="G221" s="528"/>
      <c r="H221" s="528"/>
      <c r="I221" s="529"/>
    </row>
    <row r="222" spans="1:9" ht="20.25" hidden="1" x14ac:dyDescent="0.3">
      <c r="A222" s="41"/>
      <c r="B222" s="13" t="s">
        <v>208</v>
      </c>
      <c r="C222" s="13" t="s">
        <v>209</v>
      </c>
      <c r="D222" s="13" t="s">
        <v>210</v>
      </c>
      <c r="E222" s="14"/>
      <c r="F222" s="14"/>
      <c r="G222" s="13"/>
      <c r="H222" s="13"/>
      <c r="I222" s="39"/>
    </row>
    <row r="223" spans="1:9" ht="20.25" hidden="1" x14ac:dyDescent="0.3">
      <c r="A223" s="41" t="s">
        <v>214</v>
      </c>
      <c r="B223" s="18">
        <v>34500</v>
      </c>
      <c r="C223" s="18">
        <v>34500</v>
      </c>
      <c r="D223" s="18">
        <v>70000</v>
      </c>
      <c r="E223" s="161"/>
      <c r="F223" s="14"/>
      <c r="G223" s="13"/>
      <c r="H223" s="13"/>
      <c r="I223" s="39"/>
    </row>
    <row r="224" spans="1:9" ht="20.25" hidden="1" x14ac:dyDescent="0.3">
      <c r="A224" s="41" t="s">
        <v>36</v>
      </c>
      <c r="B224" s="18">
        <f>IF(B257&gt;34500,34500,B257)</f>
        <v>0</v>
      </c>
      <c r="C224" s="18">
        <f>IF(C257&gt;34500,34500,C257)</f>
        <v>34500</v>
      </c>
      <c r="D224" s="18">
        <f>IF(D257&gt;70000,70000,D257)</f>
        <v>253.47</v>
      </c>
      <c r="E224" s="14"/>
      <c r="F224" s="14"/>
      <c r="G224" s="13"/>
      <c r="H224" s="13"/>
      <c r="I224" s="39"/>
    </row>
    <row r="225" spans="1:9" ht="20.25" hidden="1" x14ac:dyDescent="0.3">
      <c r="A225" s="41" t="s">
        <v>211</v>
      </c>
      <c r="B225" s="18">
        <f>SUM(B223:B224)</f>
        <v>34500</v>
      </c>
      <c r="C225" s="18">
        <f>SUM(C223:C224)</f>
        <v>69000</v>
      </c>
      <c r="D225" s="18">
        <f>SUM(D223:D224)</f>
        <v>70253.47</v>
      </c>
      <c r="E225" s="130" t="s">
        <v>107</v>
      </c>
      <c r="F225" s="14"/>
      <c r="G225" s="13"/>
      <c r="H225" s="13"/>
      <c r="I225" s="39"/>
    </row>
    <row r="226" spans="1:9" ht="20.25" hidden="1" x14ac:dyDescent="0.3">
      <c r="A226" s="41" t="s">
        <v>47</v>
      </c>
      <c r="B226" s="18">
        <f>IF(B258&gt;34500,30000,B258)</f>
        <v>0</v>
      </c>
      <c r="C226" s="18">
        <f>IF(C258&gt;34500,34500,C258)</f>
        <v>34500</v>
      </c>
      <c r="D226" s="18">
        <f>IF(D258&gt;70000,70000,D258)</f>
        <v>253.47000000000162</v>
      </c>
      <c r="E226" s="14"/>
      <c r="F226" s="14"/>
      <c r="G226" s="13"/>
      <c r="H226" s="13"/>
      <c r="I226" s="39"/>
    </row>
    <row r="227" spans="1:9" ht="20.25" hidden="1" x14ac:dyDescent="0.3">
      <c r="A227" s="41" t="s">
        <v>45</v>
      </c>
      <c r="B227" s="18">
        <f>B226+B223</f>
        <v>34500</v>
      </c>
      <c r="C227" s="18">
        <f>C226+C223</f>
        <v>69000</v>
      </c>
      <c r="D227" s="18">
        <f>D226+D223</f>
        <v>70253.47</v>
      </c>
      <c r="E227" s="151" t="s">
        <v>108</v>
      </c>
      <c r="F227" s="14"/>
      <c r="G227" s="13"/>
      <c r="H227" s="13"/>
      <c r="I227" s="39"/>
    </row>
    <row r="228" spans="1:9" ht="20.25" hidden="1" x14ac:dyDescent="0.3">
      <c r="A228" s="41" t="s">
        <v>39</v>
      </c>
      <c r="B228" s="18">
        <f>B225-E233</f>
        <v>0</v>
      </c>
      <c r="C228" s="18">
        <f>C225-E236</f>
        <v>69000</v>
      </c>
      <c r="D228" s="18">
        <f>D225-E248</f>
        <v>14215.650000000001</v>
      </c>
      <c r="E228" s="151" t="s">
        <v>109</v>
      </c>
      <c r="F228" s="14"/>
      <c r="G228" s="13"/>
      <c r="H228" s="13"/>
      <c r="I228" s="39"/>
    </row>
    <row r="229" spans="1:9" hidden="1" x14ac:dyDescent="0.2">
      <c r="A229" s="41" t="s">
        <v>35</v>
      </c>
      <c r="B229" s="40">
        <f>B227-E233-F233</f>
        <v>0</v>
      </c>
      <c r="C229" s="40">
        <f>C227-E236-F236</f>
        <v>67454.289999999994</v>
      </c>
      <c r="D229" s="47">
        <f>D227-E248-F248</f>
        <v>11797.11</v>
      </c>
      <c r="E229" s="493" t="s">
        <v>110</v>
      </c>
      <c r="F229" s="503"/>
      <c r="G229" s="503"/>
      <c r="H229" s="503"/>
      <c r="I229" s="146"/>
    </row>
    <row r="230" spans="1:9" ht="21" hidden="1" thickBot="1" x14ac:dyDescent="0.35">
      <c r="A230" s="41"/>
      <c r="B230" s="13"/>
      <c r="C230" s="13"/>
      <c r="D230" s="13"/>
      <c r="E230" s="14"/>
      <c r="F230" s="14"/>
      <c r="G230" s="13"/>
      <c r="H230" s="13"/>
      <c r="I230" s="39"/>
    </row>
    <row r="231" spans="1:9" ht="51" hidden="1" x14ac:dyDescent="0.2">
      <c r="A231" s="19" t="s">
        <v>41</v>
      </c>
      <c r="B231" s="20" t="s">
        <v>34</v>
      </c>
      <c r="C231" s="20" t="s">
        <v>64</v>
      </c>
      <c r="D231" s="20" t="s">
        <v>63</v>
      </c>
      <c r="E231" s="20" t="s">
        <v>37</v>
      </c>
      <c r="F231" s="20" t="s">
        <v>48</v>
      </c>
      <c r="G231" s="20" t="s">
        <v>40</v>
      </c>
      <c r="H231" s="20" t="s">
        <v>38</v>
      </c>
      <c r="I231" s="21" t="s">
        <v>5</v>
      </c>
    </row>
    <row r="232" spans="1:9" hidden="1" x14ac:dyDescent="0.2">
      <c r="A232" s="22" t="s">
        <v>10</v>
      </c>
      <c r="B232" s="23" t="s">
        <v>10</v>
      </c>
      <c r="C232" s="60">
        <v>34500</v>
      </c>
      <c r="D232" s="53">
        <v>42373</v>
      </c>
      <c r="E232" s="60">
        <v>34500</v>
      </c>
      <c r="F232" s="60">
        <f>IF(E232="",C232,0)</f>
        <v>0</v>
      </c>
      <c r="G232" s="23" t="s">
        <v>227</v>
      </c>
      <c r="H232" s="23" t="s">
        <v>228</v>
      </c>
      <c r="I232" s="24"/>
    </row>
    <row r="233" spans="1:9" hidden="1" x14ac:dyDescent="0.2">
      <c r="A233" s="25" t="s">
        <v>43</v>
      </c>
      <c r="B233" s="26"/>
      <c r="C233" s="64">
        <f>C232</f>
        <v>34500</v>
      </c>
      <c r="D233" s="26"/>
      <c r="E233" s="64">
        <f>E232</f>
        <v>34500</v>
      </c>
      <c r="F233" s="64">
        <f>F232</f>
        <v>0</v>
      </c>
      <c r="G233" s="26"/>
      <c r="H233" s="26"/>
      <c r="I233" s="27"/>
    </row>
    <row r="234" spans="1:9" hidden="1" x14ac:dyDescent="0.2">
      <c r="A234" s="34"/>
      <c r="B234" s="34"/>
      <c r="C234" s="62"/>
      <c r="D234" s="34"/>
      <c r="E234" s="62"/>
      <c r="F234" s="62"/>
      <c r="G234" s="34"/>
      <c r="H234" s="34"/>
      <c r="I234" s="34"/>
    </row>
    <row r="235" spans="1:9" hidden="1" x14ac:dyDescent="0.2">
      <c r="A235" s="25" t="s">
        <v>44</v>
      </c>
      <c r="B235" s="26" t="s">
        <v>18</v>
      </c>
      <c r="C235" s="61">
        <v>1545.71</v>
      </c>
      <c r="D235" s="58">
        <v>42818</v>
      </c>
      <c r="E235" s="61"/>
      <c r="F235" s="61">
        <f>IF(E235="",C235,0)</f>
        <v>1545.71</v>
      </c>
      <c r="G235" s="26" t="s">
        <v>398</v>
      </c>
      <c r="H235" s="26" t="s">
        <v>397</v>
      </c>
      <c r="I235" s="84"/>
    </row>
    <row r="236" spans="1:9" hidden="1" x14ac:dyDescent="0.2">
      <c r="A236" s="25" t="s">
        <v>43</v>
      </c>
      <c r="B236" s="26"/>
      <c r="C236" s="63">
        <f>C235</f>
        <v>1545.71</v>
      </c>
      <c r="D236" s="26"/>
      <c r="E236" s="63">
        <f>E235</f>
        <v>0</v>
      </c>
      <c r="F236" s="63">
        <f>F235</f>
        <v>1545.71</v>
      </c>
      <c r="G236" s="26"/>
      <c r="H236" s="26"/>
      <c r="I236" s="27"/>
    </row>
    <row r="237" spans="1:9" hidden="1" x14ac:dyDescent="0.2">
      <c r="A237" s="34"/>
      <c r="B237" s="34"/>
      <c r="C237" s="62"/>
      <c r="D237" s="34"/>
      <c r="E237" s="62"/>
      <c r="F237" s="62"/>
      <c r="G237" s="34"/>
      <c r="H237" s="34"/>
      <c r="I237" s="34"/>
    </row>
    <row r="238" spans="1:9" hidden="1" x14ac:dyDescent="0.2">
      <c r="A238" s="25" t="s">
        <v>42</v>
      </c>
      <c r="B238" s="43"/>
      <c r="C238" s="56"/>
      <c r="D238" s="56"/>
      <c r="E238" s="56"/>
      <c r="F238" s="87">
        <f>C238-E238</f>
        <v>0</v>
      </c>
      <c r="G238" s="43"/>
      <c r="H238" s="43"/>
      <c r="I238" s="45"/>
    </row>
    <row r="239" spans="1:9" hidden="1" x14ac:dyDescent="0.2">
      <c r="A239" s="155"/>
      <c r="B239" s="170" t="s">
        <v>10</v>
      </c>
      <c r="C239" s="61">
        <v>8000</v>
      </c>
      <c r="D239" s="173" t="s">
        <v>282</v>
      </c>
      <c r="E239" s="156">
        <v>5250</v>
      </c>
      <c r="F239" s="87">
        <f>C239-E239</f>
        <v>2750</v>
      </c>
      <c r="G239" s="56" t="s">
        <v>348</v>
      </c>
      <c r="H239" s="56" t="s">
        <v>226</v>
      </c>
      <c r="I239" s="45"/>
    </row>
    <row r="240" spans="1:9" hidden="1" x14ac:dyDescent="0.2">
      <c r="A240" s="155"/>
      <c r="B240" s="170"/>
      <c r="C240" s="61"/>
      <c r="D240" s="173"/>
      <c r="E240" s="56"/>
      <c r="F240" s="87">
        <v>-2750</v>
      </c>
      <c r="G240" s="56"/>
      <c r="H240" s="56"/>
      <c r="I240" s="149"/>
    </row>
    <row r="241" spans="1:9" hidden="1" x14ac:dyDescent="0.2">
      <c r="A241" s="155"/>
      <c r="B241" s="170" t="s">
        <v>18</v>
      </c>
      <c r="C241" s="61">
        <v>8000</v>
      </c>
      <c r="D241" s="56" t="s">
        <v>230</v>
      </c>
      <c r="E241" s="156">
        <v>5581.46</v>
      </c>
      <c r="F241" s="87">
        <f>C241-E241</f>
        <v>2418.54</v>
      </c>
      <c r="G241" s="56" t="s">
        <v>283</v>
      </c>
      <c r="H241" s="56" t="s">
        <v>226</v>
      </c>
      <c r="I241" s="149" t="s">
        <v>281</v>
      </c>
    </row>
    <row r="242" spans="1:9" hidden="1" x14ac:dyDescent="0.2">
      <c r="A242" s="155"/>
      <c r="B242" s="192"/>
      <c r="C242" s="156"/>
      <c r="D242" s="56"/>
      <c r="E242" s="156">
        <v>853.15</v>
      </c>
      <c r="F242" s="87">
        <f>C241-E241-E242</f>
        <v>1565.3899999999999</v>
      </c>
      <c r="G242" s="56" t="s">
        <v>352</v>
      </c>
      <c r="H242" s="56"/>
      <c r="I242" s="149" t="s">
        <v>100</v>
      </c>
    </row>
    <row r="243" spans="1:9" ht="25.5" hidden="1" x14ac:dyDescent="0.2">
      <c r="A243" s="155"/>
      <c r="B243" s="192"/>
      <c r="C243" s="156"/>
      <c r="D243" s="56"/>
      <c r="E243" s="156"/>
      <c r="F243" s="87">
        <v>-1565.39</v>
      </c>
      <c r="G243" s="56"/>
      <c r="H243" s="56"/>
      <c r="I243" s="149" t="s">
        <v>99</v>
      </c>
    </row>
    <row r="244" spans="1:9" ht="13.15" hidden="1" customHeight="1" x14ac:dyDescent="0.2">
      <c r="A244" s="504"/>
      <c r="B244" s="494" t="s">
        <v>10</v>
      </c>
      <c r="C244" s="502">
        <v>25000</v>
      </c>
      <c r="D244" s="498" t="s">
        <v>202</v>
      </c>
      <c r="E244" s="156">
        <v>20451</v>
      </c>
      <c r="F244" s="87"/>
      <c r="G244" s="150" t="s">
        <v>206</v>
      </c>
      <c r="H244" s="494" t="s">
        <v>200</v>
      </c>
      <c r="I244" s="530" t="s">
        <v>243</v>
      </c>
    </row>
    <row r="245" spans="1:9" ht="19.149999999999999" hidden="1" customHeight="1" x14ac:dyDescent="0.2">
      <c r="A245" s="506"/>
      <c r="B245" s="495"/>
      <c r="C245" s="497"/>
      <c r="D245" s="495"/>
      <c r="E245" s="156">
        <v>4549</v>
      </c>
      <c r="F245" s="87"/>
      <c r="G245" s="150" t="s">
        <v>242</v>
      </c>
      <c r="H245" s="495"/>
      <c r="I245" s="531"/>
    </row>
    <row r="246" spans="1:9" ht="18" hidden="1" customHeight="1" x14ac:dyDescent="0.2">
      <c r="A246" s="523"/>
      <c r="B246" s="494" t="s">
        <v>18</v>
      </c>
      <c r="C246" s="502">
        <v>25000</v>
      </c>
      <c r="D246" s="498" t="s">
        <v>203</v>
      </c>
      <c r="E246" s="502">
        <f>41353.21-22000</f>
        <v>19353.21</v>
      </c>
      <c r="F246" s="87">
        <f>C246-E246</f>
        <v>5646.7900000000009</v>
      </c>
      <c r="G246" s="494" t="s">
        <v>262</v>
      </c>
      <c r="H246" s="494" t="s">
        <v>200</v>
      </c>
      <c r="I246" s="166" t="s">
        <v>218</v>
      </c>
    </row>
    <row r="247" spans="1:9" hidden="1" x14ac:dyDescent="0.2">
      <c r="A247" s="524"/>
      <c r="B247" s="495"/>
      <c r="C247" s="497"/>
      <c r="D247" s="495"/>
      <c r="E247" s="497"/>
      <c r="F247" s="87">
        <v>-5646.79</v>
      </c>
      <c r="G247" s="495"/>
      <c r="H247" s="495"/>
      <c r="I247" s="139" t="s">
        <v>99</v>
      </c>
    </row>
    <row r="248" spans="1:9" ht="13.5" hidden="1" thickBot="1" x14ac:dyDescent="0.25">
      <c r="A248" s="29" t="s">
        <v>43</v>
      </c>
      <c r="B248" s="30"/>
      <c r="C248" s="59">
        <f>SUM(C238:C247)</f>
        <v>66000</v>
      </c>
      <c r="D248" s="30"/>
      <c r="E248" s="59">
        <f>SUM(E238:E247)</f>
        <v>56037.82</v>
      </c>
      <c r="F248" s="59">
        <f>SUM(F238:F247)</f>
        <v>2418.5400000000009</v>
      </c>
      <c r="G248" s="30"/>
      <c r="H248" s="30"/>
      <c r="I248" s="31"/>
    </row>
    <row r="249" spans="1:9" ht="13.5" hidden="1" thickBot="1" x14ac:dyDescent="0.25"/>
    <row r="250" spans="1:9" ht="21" hidden="1" thickBot="1" x14ac:dyDescent="0.35">
      <c r="A250" s="525" t="s">
        <v>127</v>
      </c>
      <c r="B250" s="528"/>
      <c r="C250" s="528"/>
      <c r="D250" s="528"/>
      <c r="E250" s="528"/>
      <c r="F250" s="528"/>
      <c r="G250" s="528"/>
      <c r="H250" s="528"/>
      <c r="I250" s="529"/>
    </row>
    <row r="251" spans="1:9" ht="20.25" hidden="1" x14ac:dyDescent="0.3">
      <c r="A251" s="41"/>
      <c r="B251" s="13" t="s">
        <v>118</v>
      </c>
      <c r="C251" s="13" t="s">
        <v>119</v>
      </c>
      <c r="D251" s="13" t="s">
        <v>120</v>
      </c>
      <c r="E251" s="14"/>
      <c r="F251" s="14"/>
      <c r="G251" s="13"/>
      <c r="H251" s="13"/>
      <c r="I251" s="39"/>
    </row>
    <row r="252" spans="1:9" ht="20.25" hidden="1" x14ac:dyDescent="0.3">
      <c r="A252" s="41" t="s">
        <v>124</v>
      </c>
      <c r="B252" s="18">
        <v>34500</v>
      </c>
      <c r="C252" s="18">
        <v>34500</v>
      </c>
      <c r="D252" s="18">
        <v>70000</v>
      </c>
      <c r="E252" s="161" t="s">
        <v>191</v>
      </c>
      <c r="F252" s="14"/>
      <c r="G252" s="13"/>
      <c r="H252" s="13"/>
      <c r="I252" s="39"/>
    </row>
    <row r="253" spans="1:9" ht="20.25" hidden="1" x14ac:dyDescent="0.3">
      <c r="A253" s="41" t="s">
        <v>36</v>
      </c>
      <c r="B253" s="18">
        <v>0</v>
      </c>
      <c r="C253" s="18">
        <v>34500</v>
      </c>
      <c r="D253" s="18">
        <v>4143.08</v>
      </c>
      <c r="E253" s="14"/>
      <c r="F253" s="14"/>
      <c r="G253" s="13"/>
      <c r="H253" s="13"/>
      <c r="I253" s="39"/>
    </row>
    <row r="254" spans="1:9" ht="20.25" hidden="1" x14ac:dyDescent="0.3">
      <c r="A254" s="41" t="s">
        <v>121</v>
      </c>
      <c r="B254" s="18">
        <f>SUM(B252:B253)</f>
        <v>34500</v>
      </c>
      <c r="C254" s="18">
        <f>SUM(C252:C253)</f>
        <v>69000</v>
      </c>
      <c r="D254" s="18">
        <f>SUM(D252:D253)</f>
        <v>74143.08</v>
      </c>
      <c r="E254" s="130" t="s">
        <v>107</v>
      </c>
      <c r="F254" s="14"/>
      <c r="G254" s="13"/>
      <c r="H254" s="13"/>
      <c r="I254" s="39"/>
    </row>
    <row r="255" spans="1:9" ht="20.25" hidden="1" x14ac:dyDescent="0.3">
      <c r="A255" s="41" t="s">
        <v>47</v>
      </c>
      <c r="B255" s="18">
        <v>0</v>
      </c>
      <c r="C255" s="18">
        <v>34500</v>
      </c>
      <c r="D255" s="18">
        <v>4143.08</v>
      </c>
      <c r="E255" s="14"/>
      <c r="F255" s="14"/>
      <c r="G255" s="13"/>
      <c r="H255" s="13"/>
      <c r="I255" s="39"/>
    </row>
    <row r="256" spans="1:9" ht="20.25" hidden="1" x14ac:dyDescent="0.3">
      <c r="A256" s="41" t="s">
        <v>45</v>
      </c>
      <c r="B256" s="18">
        <f>B255+B252</f>
        <v>34500</v>
      </c>
      <c r="C256" s="18">
        <f>C255+C252</f>
        <v>69000</v>
      </c>
      <c r="D256" s="18">
        <f>D255+D252</f>
        <v>74143.08</v>
      </c>
      <c r="E256" s="151" t="s">
        <v>108</v>
      </c>
      <c r="F256" s="14"/>
      <c r="G256" s="13"/>
      <c r="H256" s="13"/>
      <c r="I256" s="39"/>
    </row>
    <row r="257" spans="1:9" ht="20.25" hidden="1" x14ac:dyDescent="0.3">
      <c r="A257" s="41" t="s">
        <v>39</v>
      </c>
      <c r="B257" s="18">
        <f>B254-E262</f>
        <v>0</v>
      </c>
      <c r="C257" s="18">
        <f>C254-E265</f>
        <v>67273.94</v>
      </c>
      <c r="D257" s="18">
        <v>253.47</v>
      </c>
      <c r="E257" s="151" t="s">
        <v>109</v>
      </c>
      <c r="F257" s="14"/>
      <c r="G257" s="13"/>
      <c r="H257" s="13"/>
      <c r="I257" s="39"/>
    </row>
    <row r="258" spans="1:9" hidden="1" x14ac:dyDescent="0.2">
      <c r="A258" s="41" t="s">
        <v>35</v>
      </c>
      <c r="B258" s="40">
        <f>B256-E262-F262</f>
        <v>0</v>
      </c>
      <c r="C258" s="40">
        <f>C256-E265-F265</f>
        <v>67273.94</v>
      </c>
      <c r="D258" s="47">
        <f>D256-E273-F273</f>
        <v>253.47000000000162</v>
      </c>
      <c r="E258" s="493" t="s">
        <v>110</v>
      </c>
      <c r="F258" s="503"/>
      <c r="G258" s="503"/>
      <c r="H258" s="503"/>
      <c r="I258" s="146"/>
    </row>
    <row r="259" spans="1:9" ht="21" hidden="1" thickBot="1" x14ac:dyDescent="0.35">
      <c r="A259" s="41"/>
      <c r="B259" s="13"/>
      <c r="C259" s="13"/>
      <c r="D259" s="13"/>
      <c r="E259" s="14"/>
      <c r="F259" s="14"/>
      <c r="G259" s="13"/>
      <c r="H259" s="13"/>
      <c r="I259" s="39"/>
    </row>
    <row r="260" spans="1:9" ht="51" hidden="1" x14ac:dyDescent="0.2">
      <c r="A260" s="19" t="s">
        <v>41</v>
      </c>
      <c r="B260" s="20" t="s">
        <v>34</v>
      </c>
      <c r="C260" s="20" t="s">
        <v>64</v>
      </c>
      <c r="D260" s="20" t="s">
        <v>63</v>
      </c>
      <c r="E260" s="20" t="s">
        <v>37</v>
      </c>
      <c r="F260" s="20" t="s">
        <v>48</v>
      </c>
      <c r="G260" s="20" t="s">
        <v>40</v>
      </c>
      <c r="H260" s="20" t="s">
        <v>38</v>
      </c>
      <c r="I260" s="21" t="s">
        <v>5</v>
      </c>
    </row>
    <row r="261" spans="1:9" hidden="1" x14ac:dyDescent="0.2">
      <c r="A261" s="22" t="s">
        <v>10</v>
      </c>
      <c r="B261" s="23" t="s">
        <v>10</v>
      </c>
      <c r="C261" s="60">
        <v>34500</v>
      </c>
      <c r="D261" s="53">
        <v>42006</v>
      </c>
      <c r="E261" s="60">
        <v>34500</v>
      </c>
      <c r="F261" s="60">
        <f>IF(E261="",C261,0)</f>
        <v>0</v>
      </c>
      <c r="G261" s="23" t="s">
        <v>175</v>
      </c>
      <c r="H261" s="23" t="s">
        <v>136</v>
      </c>
      <c r="I261" s="24"/>
    </row>
    <row r="262" spans="1:9" hidden="1" x14ac:dyDescent="0.2">
      <c r="A262" s="25" t="s">
        <v>43</v>
      </c>
      <c r="B262" s="26"/>
      <c r="C262" s="64">
        <f>C261</f>
        <v>34500</v>
      </c>
      <c r="D262" s="26"/>
      <c r="E262" s="64">
        <f>E261</f>
        <v>34500</v>
      </c>
      <c r="F262" s="64">
        <f>F261</f>
        <v>0</v>
      </c>
      <c r="G262" s="26"/>
      <c r="H262" s="26"/>
      <c r="I262" s="27"/>
    </row>
    <row r="263" spans="1:9" hidden="1" x14ac:dyDescent="0.2">
      <c r="A263" s="34"/>
      <c r="B263" s="34"/>
      <c r="C263" s="62"/>
      <c r="D263" s="34"/>
      <c r="E263" s="62"/>
      <c r="F263" s="62"/>
      <c r="G263" s="34"/>
      <c r="H263" s="34"/>
      <c r="I263" s="34"/>
    </row>
    <row r="264" spans="1:9" hidden="1" x14ac:dyDescent="0.2">
      <c r="A264" s="25" t="s">
        <v>44</v>
      </c>
      <c r="B264" s="26" t="s">
        <v>18</v>
      </c>
      <c r="C264" s="61">
        <v>1726.03</v>
      </c>
      <c r="D264" s="58">
        <v>42425</v>
      </c>
      <c r="E264" s="61">
        <v>1726.06</v>
      </c>
      <c r="F264" s="61">
        <f>IF(E264="",C264,0)</f>
        <v>0</v>
      </c>
      <c r="G264" s="26" t="s">
        <v>258</v>
      </c>
      <c r="H264" s="26" t="s">
        <v>255</v>
      </c>
      <c r="I264" s="84"/>
    </row>
    <row r="265" spans="1:9" hidden="1" x14ac:dyDescent="0.2">
      <c r="A265" s="25" t="s">
        <v>43</v>
      </c>
      <c r="B265" s="26"/>
      <c r="C265" s="63">
        <f>C264</f>
        <v>1726.03</v>
      </c>
      <c r="D265" s="26"/>
      <c r="E265" s="63">
        <f>E264</f>
        <v>1726.06</v>
      </c>
      <c r="F265" s="63">
        <f>F264</f>
        <v>0</v>
      </c>
      <c r="G265" s="26"/>
      <c r="H265" s="26"/>
      <c r="I265" s="27"/>
    </row>
    <row r="266" spans="1:9" hidden="1" x14ac:dyDescent="0.2">
      <c r="A266" s="34"/>
      <c r="B266" s="34"/>
      <c r="C266" s="62"/>
      <c r="D266" s="34"/>
      <c r="E266" s="62"/>
      <c r="F266" s="62"/>
      <c r="G266" s="34"/>
      <c r="H266" s="34"/>
      <c r="I266" s="34"/>
    </row>
    <row r="267" spans="1:9" hidden="1" x14ac:dyDescent="0.2">
      <c r="A267" s="25" t="s">
        <v>42</v>
      </c>
      <c r="B267" s="43" t="s">
        <v>10</v>
      </c>
      <c r="C267" s="66">
        <v>17250</v>
      </c>
      <c r="D267" s="123" t="s">
        <v>115</v>
      </c>
      <c r="E267" s="66">
        <v>17250</v>
      </c>
      <c r="F267" s="87">
        <f>C267-E267</f>
        <v>0</v>
      </c>
      <c r="G267" s="43" t="s">
        <v>160</v>
      </c>
      <c r="H267" s="43" t="s">
        <v>114</v>
      </c>
      <c r="I267" s="45"/>
    </row>
    <row r="268" spans="1:9" hidden="1" x14ac:dyDescent="0.2">
      <c r="A268" s="155"/>
      <c r="B268" s="494" t="s">
        <v>18</v>
      </c>
      <c r="C268" s="502">
        <v>17250</v>
      </c>
      <c r="D268" s="498" t="s">
        <v>115</v>
      </c>
      <c r="E268" s="502">
        <v>14839.61</v>
      </c>
      <c r="F268" s="87">
        <f>C268-E268</f>
        <v>2410.3899999999994</v>
      </c>
      <c r="G268" s="494" t="s">
        <v>161</v>
      </c>
      <c r="H268" s="494" t="s">
        <v>114</v>
      </c>
      <c r="I268" s="45"/>
    </row>
    <row r="269" spans="1:9" hidden="1" x14ac:dyDescent="0.2">
      <c r="A269" s="155"/>
      <c r="B269" s="495"/>
      <c r="C269" s="497"/>
      <c r="D269" s="495"/>
      <c r="E269" s="497"/>
      <c r="F269" s="87">
        <v>-2410.39</v>
      </c>
      <c r="G269" s="495"/>
      <c r="H269" s="521"/>
      <c r="I269" s="149" t="s">
        <v>158</v>
      </c>
    </row>
    <row r="270" spans="1:9" ht="45" hidden="1" x14ac:dyDescent="0.2">
      <c r="A270" s="155"/>
      <c r="B270" s="150" t="s">
        <v>10</v>
      </c>
      <c r="C270" s="156">
        <v>19800</v>
      </c>
      <c r="D270" s="56" t="s">
        <v>202</v>
      </c>
      <c r="E270" s="156">
        <v>19800</v>
      </c>
      <c r="F270" s="87">
        <f>C270-E270</f>
        <v>0</v>
      </c>
      <c r="G270" s="150" t="s">
        <v>206</v>
      </c>
      <c r="H270" s="150" t="s">
        <v>200</v>
      </c>
      <c r="I270" s="167" t="s">
        <v>204</v>
      </c>
    </row>
    <row r="271" spans="1:9" ht="25.5" hidden="1" x14ac:dyDescent="0.2">
      <c r="A271" s="155"/>
      <c r="B271" s="150" t="s">
        <v>18</v>
      </c>
      <c r="C271" s="156">
        <v>22000</v>
      </c>
      <c r="D271" s="56" t="s">
        <v>203</v>
      </c>
      <c r="E271" s="156">
        <v>22000</v>
      </c>
      <c r="F271" s="87">
        <v>0</v>
      </c>
      <c r="G271" s="150" t="s">
        <v>262</v>
      </c>
      <c r="H271" s="150" t="s">
        <v>200</v>
      </c>
      <c r="I271" s="166" t="s">
        <v>201</v>
      </c>
    </row>
    <row r="272" spans="1:9" hidden="1" x14ac:dyDescent="0.2">
      <c r="A272" s="155"/>
      <c r="B272" s="150"/>
      <c r="C272" s="156"/>
      <c r="D272" s="56"/>
      <c r="E272" s="156"/>
      <c r="F272" s="87">
        <f>C272-E272</f>
        <v>0</v>
      </c>
      <c r="G272" s="150"/>
      <c r="H272" s="150"/>
      <c r="I272" s="149"/>
    </row>
    <row r="273" spans="1:14" ht="13.5" hidden="1" thickBot="1" x14ac:dyDescent="0.25">
      <c r="A273" s="29" t="s">
        <v>43</v>
      </c>
      <c r="B273" s="30"/>
      <c r="C273" s="59">
        <f>SUM(C267:C272)</f>
        <v>76300</v>
      </c>
      <c r="D273" s="30"/>
      <c r="E273" s="59">
        <f>SUM(E267:E272)</f>
        <v>73889.61</v>
      </c>
      <c r="F273" s="59">
        <f>SUM(F267:F272)</f>
        <v>-4.5474735088646412E-13</v>
      </c>
      <c r="G273" s="30"/>
      <c r="H273" s="30"/>
      <c r="I273" s="31"/>
    </row>
    <row r="275" spans="1:14" ht="18.75" customHeight="1" x14ac:dyDescent="0.3">
      <c r="A275" s="11"/>
      <c r="B275" s="11"/>
      <c r="C275" s="11"/>
      <c r="D275" s="11"/>
      <c r="E275" s="11"/>
      <c r="F275" s="11"/>
      <c r="G275" s="11"/>
      <c r="H275" s="11"/>
      <c r="I275" s="11"/>
      <c r="K275" s="9"/>
      <c r="L275" s="9"/>
      <c r="M275" s="9"/>
      <c r="N275" s="9"/>
    </row>
  </sheetData>
  <mergeCells count="43">
    <mergeCell ref="A2:I2"/>
    <mergeCell ref="A33:I33"/>
    <mergeCell ref="B268:B269"/>
    <mergeCell ref="C268:C269"/>
    <mergeCell ref="B246:B247"/>
    <mergeCell ref="A250:I250"/>
    <mergeCell ref="E258:H258"/>
    <mergeCell ref="E268:E269"/>
    <mergeCell ref="D268:D269"/>
    <mergeCell ref="C246:C247"/>
    <mergeCell ref="A246:A247"/>
    <mergeCell ref="D246:D247"/>
    <mergeCell ref="E246:E247"/>
    <mergeCell ref="G246:G247"/>
    <mergeCell ref="H246:H247"/>
    <mergeCell ref="H268:H269"/>
    <mergeCell ref="G268:G269"/>
    <mergeCell ref="H244:H245"/>
    <mergeCell ref="C244:C245"/>
    <mergeCell ref="D244:D245"/>
    <mergeCell ref="A145:I145"/>
    <mergeCell ref="E153:H153"/>
    <mergeCell ref="A221:I221"/>
    <mergeCell ref="E229:H229"/>
    <mergeCell ref="I244:I245"/>
    <mergeCell ref="A196:I196"/>
    <mergeCell ref="E204:H204"/>
    <mergeCell ref="H217:H218"/>
    <mergeCell ref="A244:A245"/>
    <mergeCell ref="B244:B245"/>
    <mergeCell ref="A171:I171"/>
    <mergeCell ref="A217:A218"/>
    <mergeCell ref="B217:B218"/>
    <mergeCell ref="C217:C218"/>
    <mergeCell ref="D217:D218"/>
    <mergeCell ref="A116:I116"/>
    <mergeCell ref="E124:H124"/>
    <mergeCell ref="E73:H73"/>
    <mergeCell ref="A65:I65"/>
    <mergeCell ref="E179:H179"/>
    <mergeCell ref="G109:G111"/>
    <mergeCell ref="A91:I91"/>
    <mergeCell ref="E99:H99"/>
  </mergeCells>
  <phoneticPr fontId="7" type="noConversion"/>
  <pageMargins left="0.69" right="0.28999999999999998" top="0.48" bottom="0.44" header="0.5" footer="0.5"/>
  <pageSetup scale="68" orientation="landscape" r:id="rId1"/>
  <headerFooter alignWithMargins="0">
    <oddFooter>&amp;CCurrent as of &amp;D</oddFooter>
  </headerFooter>
  <rowBreaks count="4" manualBreakCount="4">
    <brk id="169" max="16383" man="1"/>
    <brk id="195" max="16383" man="1"/>
    <brk id="219" max="16383" man="1"/>
    <brk id="249"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19"/>
  <sheetViews>
    <sheetView zoomScale="105" zoomScaleNormal="105" zoomScaleSheetLayoutView="75" workbookViewId="0">
      <selection activeCell="G5" sqref="G5"/>
    </sheetView>
  </sheetViews>
  <sheetFormatPr defaultRowHeight="12.75" x14ac:dyDescent="0.2"/>
  <cols>
    <col min="1" max="1" width="22.28515625" bestFit="1" customWidth="1"/>
    <col min="2" max="2" width="10.85546875" bestFit="1" customWidth="1"/>
    <col min="3" max="3" width="17" customWidth="1"/>
    <col min="4" max="4" width="12.85546875" customWidth="1"/>
    <col min="5" max="5" width="17.7109375" bestFit="1" customWidth="1"/>
    <col min="6" max="6" width="15.85546875" customWidth="1"/>
    <col min="7" max="7" width="14.28515625" customWidth="1"/>
    <col min="8" max="8" width="14.7109375" customWidth="1"/>
    <col min="9" max="9" width="16.28515625" customWidth="1"/>
    <col min="10" max="10" width="23" customWidth="1"/>
  </cols>
  <sheetData>
    <row r="1" spans="1:9" ht="13.5" thickBot="1" x14ac:dyDescent="0.25"/>
    <row r="2" spans="1:9" ht="21" thickBot="1" x14ac:dyDescent="0.25">
      <c r="A2" s="489" t="s">
        <v>1149</v>
      </c>
      <c r="B2" s="490"/>
      <c r="C2" s="490"/>
      <c r="D2" s="490"/>
      <c r="E2" s="490"/>
      <c r="F2" s="490"/>
      <c r="G2" s="490"/>
      <c r="H2" s="490"/>
      <c r="I2" s="491"/>
    </row>
    <row r="3" spans="1:9" ht="20.25" x14ac:dyDescent="0.3">
      <c r="A3" s="41"/>
      <c r="B3" s="13" t="s">
        <v>1140</v>
      </c>
      <c r="C3" s="13" t="s">
        <v>1142</v>
      </c>
      <c r="D3" s="13"/>
      <c r="E3" s="14"/>
      <c r="F3" s="14"/>
      <c r="G3" s="13"/>
      <c r="H3" s="13"/>
      <c r="I3" s="39"/>
    </row>
    <row r="4" spans="1:9" ht="20.25" x14ac:dyDescent="0.3">
      <c r="A4" s="41" t="s">
        <v>992</v>
      </c>
      <c r="B4" s="18">
        <v>33000</v>
      </c>
      <c r="C4" s="18">
        <v>31500</v>
      </c>
      <c r="D4" s="18"/>
      <c r="E4" s="14"/>
      <c r="F4" s="14"/>
      <c r="G4" s="13"/>
      <c r="H4" s="13"/>
      <c r="I4" s="39"/>
    </row>
    <row r="5" spans="1:9" ht="20.25" x14ac:dyDescent="0.3">
      <c r="A5" s="41" t="s">
        <v>36</v>
      </c>
      <c r="B5" s="18">
        <f>IF(B29&gt;B4,B4,B29)</f>
        <v>0</v>
      </c>
      <c r="C5" s="18">
        <f>IF(C26&gt;C4,C4,C26)</f>
        <v>31500</v>
      </c>
      <c r="D5" s="18"/>
      <c r="E5" s="14"/>
      <c r="F5" s="14"/>
      <c r="G5" s="13"/>
      <c r="H5" s="13"/>
      <c r="I5" s="39"/>
    </row>
    <row r="6" spans="1:9" ht="20.25" x14ac:dyDescent="0.3">
      <c r="A6" s="41" t="s">
        <v>993</v>
      </c>
      <c r="B6" s="18">
        <f>B4+B5</f>
        <v>33000</v>
      </c>
      <c r="C6" s="18">
        <f>SUM(C4:C5)</f>
        <v>63000</v>
      </c>
      <c r="D6" s="130" t="s">
        <v>107</v>
      </c>
      <c r="E6" s="14"/>
      <c r="F6" s="14"/>
      <c r="G6" s="13"/>
      <c r="H6" s="13"/>
      <c r="I6" s="39"/>
    </row>
    <row r="7" spans="1:9" ht="20.25" x14ac:dyDescent="0.3">
      <c r="A7" s="41" t="s">
        <v>47</v>
      </c>
      <c r="B7" s="18">
        <f>B27</f>
        <v>0</v>
      </c>
      <c r="C7" s="18">
        <f>IF(C27&gt;C4,C4,C27)</f>
        <v>31500</v>
      </c>
      <c r="D7" s="18"/>
      <c r="E7" s="14"/>
      <c r="F7" s="14"/>
      <c r="G7" s="13"/>
      <c r="H7" s="13"/>
      <c r="I7" s="39"/>
    </row>
    <row r="8" spans="1:9" ht="20.25" x14ac:dyDescent="0.3">
      <c r="A8" s="41" t="s">
        <v>479</v>
      </c>
      <c r="B8" s="18">
        <f>B7+B4</f>
        <v>33000</v>
      </c>
      <c r="C8" s="18">
        <f>C7+C4</f>
        <v>63000</v>
      </c>
      <c r="D8" s="151" t="s">
        <v>108</v>
      </c>
      <c r="E8" s="14"/>
      <c r="F8" s="14"/>
      <c r="G8" s="13"/>
      <c r="H8" s="13"/>
      <c r="I8" s="39"/>
    </row>
    <row r="9" spans="1:9" ht="20.25" x14ac:dyDescent="0.3">
      <c r="A9" s="41" t="s">
        <v>39</v>
      </c>
      <c r="B9" s="18">
        <f>B6-E14</f>
        <v>0</v>
      </c>
      <c r="C9" s="18">
        <f>C6-E20</f>
        <v>63000</v>
      </c>
      <c r="D9" s="151" t="s">
        <v>109</v>
      </c>
      <c r="E9" s="14"/>
      <c r="F9" s="14"/>
      <c r="G9" s="13"/>
      <c r="H9" s="13"/>
      <c r="I9" s="39"/>
    </row>
    <row r="10" spans="1:9" x14ac:dyDescent="0.2">
      <c r="A10" s="41" t="s">
        <v>799</v>
      </c>
      <c r="B10" s="40">
        <f>B8-E14-F14</f>
        <v>0</v>
      </c>
      <c r="C10" s="47">
        <f>C8-E20-F20</f>
        <v>63000</v>
      </c>
      <c r="D10" s="493" t="s">
        <v>110</v>
      </c>
      <c r="E10" s="503"/>
      <c r="F10" s="503"/>
      <c r="G10" s="503"/>
      <c r="H10" s="13"/>
      <c r="I10" s="39"/>
    </row>
    <row r="11" spans="1:9" ht="21" thickBot="1" x14ac:dyDescent="0.35">
      <c r="A11" s="41"/>
      <c r="B11" s="13"/>
      <c r="C11" s="13"/>
      <c r="D11" s="13"/>
      <c r="E11" s="14"/>
      <c r="F11" s="14"/>
      <c r="G11" s="13"/>
      <c r="H11" s="13"/>
      <c r="I11" s="39"/>
    </row>
    <row r="12" spans="1:9" ht="51" x14ac:dyDescent="0.2">
      <c r="A12" s="19" t="s">
        <v>41</v>
      </c>
      <c r="B12" s="20" t="s">
        <v>34</v>
      </c>
      <c r="C12" s="20" t="s">
        <v>64</v>
      </c>
      <c r="D12" s="20" t="s">
        <v>63</v>
      </c>
      <c r="E12" s="20" t="s">
        <v>37</v>
      </c>
      <c r="F12" s="20" t="s">
        <v>48</v>
      </c>
      <c r="G12" s="20" t="s">
        <v>40</v>
      </c>
      <c r="H12" s="20" t="s">
        <v>38</v>
      </c>
      <c r="I12" s="21" t="s">
        <v>5</v>
      </c>
    </row>
    <row r="13" spans="1:9" x14ac:dyDescent="0.2">
      <c r="A13" s="22" t="s">
        <v>10</v>
      </c>
      <c r="B13" s="23" t="s">
        <v>10</v>
      </c>
      <c r="C13" s="60">
        <v>33000</v>
      </c>
      <c r="D13" s="53">
        <v>45299</v>
      </c>
      <c r="E13" s="60">
        <v>33000</v>
      </c>
      <c r="F13" s="60"/>
      <c r="G13" s="23" t="s">
        <v>1157</v>
      </c>
      <c r="H13" s="23" t="s">
        <v>823</v>
      </c>
      <c r="I13" s="24"/>
    </row>
    <row r="14" spans="1:9" x14ac:dyDescent="0.2">
      <c r="A14" s="25" t="s">
        <v>43</v>
      </c>
      <c r="B14" s="26"/>
      <c r="C14" s="64">
        <f>C13</f>
        <v>33000</v>
      </c>
      <c r="D14" s="26"/>
      <c r="E14" s="64">
        <f>E13</f>
        <v>33000</v>
      </c>
      <c r="F14" s="64">
        <f>F13</f>
        <v>0</v>
      </c>
      <c r="G14" s="26"/>
      <c r="H14" s="26"/>
      <c r="I14" s="27"/>
    </row>
    <row r="15" spans="1:9" x14ac:dyDescent="0.2">
      <c r="A15" s="34"/>
      <c r="B15" s="34"/>
      <c r="C15" s="62"/>
      <c r="D15" s="34"/>
      <c r="E15" s="62"/>
      <c r="F15" s="62"/>
      <c r="G15" s="34"/>
      <c r="H15" s="34"/>
      <c r="I15" s="34"/>
    </row>
    <row r="16" spans="1:9" x14ac:dyDescent="0.2">
      <c r="A16" s="25" t="s">
        <v>42</v>
      </c>
      <c r="B16" s="143"/>
      <c r="C16" s="147"/>
      <c r="D16" s="141"/>
      <c r="E16" s="61"/>
      <c r="F16" s="87"/>
      <c r="G16" s="143"/>
      <c r="H16" s="140"/>
      <c r="I16" s="45"/>
    </row>
    <row r="17" spans="1:9" x14ac:dyDescent="0.2">
      <c r="A17" s="155"/>
      <c r="B17" s="140"/>
      <c r="C17" s="147"/>
      <c r="D17" s="141"/>
      <c r="E17" s="156"/>
      <c r="F17" s="86"/>
      <c r="G17" s="140"/>
      <c r="H17" s="140"/>
      <c r="I17" s="149"/>
    </row>
    <row r="18" spans="1:9" x14ac:dyDescent="0.2">
      <c r="A18" s="155"/>
      <c r="B18" s="253"/>
      <c r="C18" s="147"/>
      <c r="D18" s="255"/>
      <c r="E18" s="156"/>
      <c r="F18" s="86"/>
      <c r="G18" s="253"/>
      <c r="H18" s="253"/>
      <c r="I18" s="149" t="s">
        <v>1109</v>
      </c>
    </row>
    <row r="19" spans="1:9" x14ac:dyDescent="0.2">
      <c r="A19" s="155"/>
      <c r="B19" s="11"/>
      <c r="C19" s="147"/>
      <c r="D19" s="12"/>
      <c r="E19" s="86"/>
      <c r="F19" s="86"/>
      <c r="H19" s="11"/>
      <c r="I19" s="149"/>
    </row>
    <row r="20" spans="1:9" ht="13.5" thickBot="1" x14ac:dyDescent="0.25">
      <c r="A20" s="29" t="s">
        <v>43</v>
      </c>
      <c r="B20" s="30"/>
      <c r="C20" s="59">
        <f>SUM(C17:C19)</f>
        <v>0</v>
      </c>
      <c r="D20" s="30"/>
      <c r="E20" s="59">
        <f>SUM(E16:E17)</f>
        <v>0</v>
      </c>
      <c r="F20" s="59">
        <f>SUM(F16:F19)</f>
        <v>0</v>
      </c>
      <c r="G20" s="30"/>
      <c r="H20" s="30"/>
      <c r="I20" s="31"/>
    </row>
    <row r="21" spans="1:9" ht="13.5" thickBot="1" x14ac:dyDescent="0.25"/>
    <row r="22" spans="1:9" ht="21" thickBot="1" x14ac:dyDescent="0.25">
      <c r="A22" s="489" t="s">
        <v>980</v>
      </c>
      <c r="B22" s="490"/>
      <c r="C22" s="490"/>
      <c r="D22" s="490"/>
      <c r="E22" s="490"/>
      <c r="F22" s="490"/>
      <c r="G22" s="490"/>
      <c r="H22" s="490"/>
      <c r="I22" s="491"/>
    </row>
    <row r="23" spans="1:9" ht="20.25" x14ac:dyDescent="0.3">
      <c r="A23" s="41"/>
      <c r="B23" s="13" t="s">
        <v>964</v>
      </c>
      <c r="C23" s="13" t="s">
        <v>966</v>
      </c>
      <c r="D23" s="13"/>
      <c r="E23" s="14"/>
      <c r="F23" s="14"/>
      <c r="G23" s="13"/>
      <c r="H23" s="13"/>
      <c r="I23" s="39"/>
    </row>
    <row r="24" spans="1:9" ht="20.25" x14ac:dyDescent="0.3">
      <c r="A24" s="41" t="s">
        <v>971</v>
      </c>
      <c r="B24" s="18">
        <v>33000</v>
      </c>
      <c r="C24" s="18">
        <v>31500</v>
      </c>
      <c r="D24" s="18"/>
      <c r="E24" s="14"/>
      <c r="F24" s="14"/>
      <c r="G24" s="13"/>
      <c r="H24" s="13"/>
      <c r="I24" s="39"/>
    </row>
    <row r="25" spans="1:9" ht="20.25" x14ac:dyDescent="0.3">
      <c r="A25" s="41" t="s">
        <v>36</v>
      </c>
      <c r="B25" s="18">
        <f>IF(B49&gt;B24,B24,B49)</f>
        <v>0</v>
      </c>
      <c r="C25" s="18">
        <f>IF(C49&gt;C24,C24,C49)</f>
        <v>31500</v>
      </c>
      <c r="D25" s="18"/>
      <c r="E25" s="14"/>
      <c r="F25" s="14"/>
      <c r="G25" s="13"/>
      <c r="H25" s="13"/>
      <c r="I25" s="39"/>
    </row>
    <row r="26" spans="1:9" ht="20.25" x14ac:dyDescent="0.3">
      <c r="A26" s="41" t="s">
        <v>969</v>
      </c>
      <c r="B26" s="18">
        <f>B24+B25</f>
        <v>33000</v>
      </c>
      <c r="C26" s="18">
        <f>SUM(C24:C25)</f>
        <v>63000</v>
      </c>
      <c r="D26" s="130" t="s">
        <v>107</v>
      </c>
      <c r="E26" s="14"/>
      <c r="F26" s="14"/>
      <c r="G26" s="13"/>
      <c r="H26" s="13"/>
      <c r="I26" s="39"/>
    </row>
    <row r="27" spans="1:9" ht="20.25" x14ac:dyDescent="0.3">
      <c r="A27" s="41" t="s">
        <v>47</v>
      </c>
      <c r="B27" s="18">
        <f>B50</f>
        <v>0</v>
      </c>
      <c r="C27" s="18">
        <f>IF(C50&gt;C24,C24,C50)</f>
        <v>31500</v>
      </c>
      <c r="D27" s="18"/>
      <c r="E27" s="14"/>
      <c r="F27" s="14"/>
      <c r="G27" s="13"/>
      <c r="H27" s="13"/>
      <c r="I27" s="39"/>
    </row>
    <row r="28" spans="1:9" ht="20.25" x14ac:dyDescent="0.3">
      <c r="A28" s="41" t="s">
        <v>479</v>
      </c>
      <c r="B28" s="18">
        <f>B27+B24</f>
        <v>33000</v>
      </c>
      <c r="C28" s="18">
        <f>C27+C24</f>
        <v>63000</v>
      </c>
      <c r="D28" s="151" t="s">
        <v>108</v>
      </c>
      <c r="E28" s="14"/>
      <c r="F28" s="14"/>
      <c r="G28" s="13"/>
      <c r="H28" s="13"/>
      <c r="I28" s="39"/>
    </row>
    <row r="29" spans="1:9" ht="20.25" x14ac:dyDescent="0.3">
      <c r="A29" s="41" t="s">
        <v>39</v>
      </c>
      <c r="B29" s="18">
        <f>B26-E34</f>
        <v>0</v>
      </c>
      <c r="C29" s="18">
        <f>C26-E40</f>
        <v>62165.45</v>
      </c>
      <c r="D29" s="151" t="s">
        <v>109</v>
      </c>
      <c r="E29" s="14"/>
      <c r="F29" s="14"/>
      <c r="G29" s="13"/>
      <c r="H29" s="13"/>
      <c r="I29" s="39"/>
    </row>
    <row r="30" spans="1:9" x14ac:dyDescent="0.2">
      <c r="A30" s="41" t="s">
        <v>799</v>
      </c>
      <c r="B30" s="40">
        <f>B28-E34-F34</f>
        <v>0</v>
      </c>
      <c r="C30" s="47">
        <f>C28-E40-F40</f>
        <v>62165.45</v>
      </c>
      <c r="D30" s="493" t="s">
        <v>110</v>
      </c>
      <c r="E30" s="503"/>
      <c r="F30" s="503"/>
      <c r="G30" s="503"/>
      <c r="H30" s="13"/>
      <c r="I30" s="39"/>
    </row>
    <row r="31" spans="1:9" ht="21" thickBot="1" x14ac:dyDescent="0.35">
      <c r="A31" s="41"/>
      <c r="B31" s="13"/>
      <c r="C31" s="13"/>
      <c r="D31" s="13"/>
      <c r="E31" s="14"/>
      <c r="F31" s="14"/>
      <c r="G31" s="13"/>
      <c r="H31" s="13"/>
      <c r="I31" s="39"/>
    </row>
    <row r="32" spans="1:9" ht="51" x14ac:dyDescent="0.2">
      <c r="A32" s="19" t="s">
        <v>41</v>
      </c>
      <c r="B32" s="20" t="s">
        <v>34</v>
      </c>
      <c r="C32" s="20" t="s">
        <v>64</v>
      </c>
      <c r="D32" s="20" t="s">
        <v>63</v>
      </c>
      <c r="E32" s="20" t="s">
        <v>37</v>
      </c>
      <c r="F32" s="20" t="s">
        <v>48</v>
      </c>
      <c r="G32" s="20" t="s">
        <v>40</v>
      </c>
      <c r="H32" s="20" t="s">
        <v>38</v>
      </c>
      <c r="I32" s="21" t="s">
        <v>5</v>
      </c>
    </row>
    <row r="33" spans="1:9" x14ac:dyDescent="0.2">
      <c r="A33" s="22" t="s">
        <v>10</v>
      </c>
      <c r="B33" s="23" t="s">
        <v>10</v>
      </c>
      <c r="C33" s="60">
        <v>33000</v>
      </c>
      <c r="D33" s="53">
        <v>45000</v>
      </c>
      <c r="E33" s="60">
        <v>33000</v>
      </c>
      <c r="F33" s="60"/>
      <c r="G33" s="23" t="s">
        <v>1009</v>
      </c>
      <c r="H33" s="23" t="s">
        <v>823</v>
      </c>
      <c r="I33" s="24"/>
    </row>
    <row r="34" spans="1:9" x14ac:dyDescent="0.2">
      <c r="A34" s="25" t="s">
        <v>43</v>
      </c>
      <c r="B34" s="26"/>
      <c r="C34" s="64">
        <v>0</v>
      </c>
      <c r="D34" s="26"/>
      <c r="E34" s="64">
        <f>E33</f>
        <v>33000</v>
      </c>
      <c r="F34" s="64">
        <f>F33</f>
        <v>0</v>
      </c>
      <c r="G34" s="26"/>
      <c r="H34" s="26"/>
      <c r="I34" s="27"/>
    </row>
    <row r="35" spans="1:9" x14ac:dyDescent="0.2">
      <c r="A35" s="34"/>
      <c r="B35" s="34"/>
      <c r="C35" s="62"/>
      <c r="D35" s="34"/>
      <c r="E35" s="62"/>
      <c r="F35" s="62"/>
      <c r="G35" s="34"/>
      <c r="H35" s="34"/>
      <c r="I35" s="34"/>
    </row>
    <row r="36" spans="1:9" x14ac:dyDescent="0.2">
      <c r="A36" s="25" t="s">
        <v>42</v>
      </c>
      <c r="B36" s="143"/>
      <c r="C36" s="147"/>
      <c r="D36" s="141"/>
      <c r="E36" s="61"/>
      <c r="F36" s="87"/>
      <c r="G36" s="143"/>
      <c r="H36" s="140"/>
      <c r="I36" s="45"/>
    </row>
    <row r="37" spans="1:9" x14ac:dyDescent="0.2">
      <c r="A37" s="155"/>
      <c r="B37" s="140" t="s">
        <v>10</v>
      </c>
      <c r="C37" s="147">
        <v>10000</v>
      </c>
      <c r="D37" s="141" t="s">
        <v>1069</v>
      </c>
      <c r="E37" s="156">
        <v>834.55</v>
      </c>
      <c r="F37" s="86">
        <f>C37-E37</f>
        <v>9165.4500000000007</v>
      </c>
      <c r="G37" s="140" t="s">
        <v>1110</v>
      </c>
      <c r="H37" s="140" t="s">
        <v>1060</v>
      </c>
      <c r="I37" s="149"/>
    </row>
    <row r="38" spans="1:9" x14ac:dyDescent="0.2">
      <c r="A38" s="155"/>
      <c r="B38" s="253" t="s">
        <v>10</v>
      </c>
      <c r="C38" s="147"/>
      <c r="D38" s="255"/>
      <c r="E38" s="156"/>
      <c r="F38" s="86">
        <v>-9165.4500000000007</v>
      </c>
      <c r="G38" s="253"/>
      <c r="H38" s="253"/>
      <c r="I38" s="149" t="s">
        <v>1109</v>
      </c>
    </row>
    <row r="39" spans="1:9" x14ac:dyDescent="0.2">
      <c r="A39" s="155"/>
      <c r="B39" s="11"/>
      <c r="C39" s="147"/>
      <c r="D39" s="12"/>
      <c r="E39" s="86"/>
      <c r="F39" s="86"/>
      <c r="H39" s="11"/>
      <c r="I39" s="149"/>
    </row>
    <row r="40" spans="1:9" ht="13.5" thickBot="1" x14ac:dyDescent="0.25">
      <c r="A40" s="29" t="s">
        <v>43</v>
      </c>
      <c r="B40" s="30"/>
      <c r="C40" s="59">
        <f>SUM(C37:C39)</f>
        <v>10000</v>
      </c>
      <c r="D40" s="30"/>
      <c r="E40" s="59">
        <f>SUM(E36:E37)</f>
        <v>834.55</v>
      </c>
      <c r="F40" s="59">
        <f>SUM(F36:F39)</f>
        <v>0</v>
      </c>
      <c r="G40" s="30"/>
      <c r="H40" s="30"/>
      <c r="I40" s="31"/>
    </row>
    <row r="41" spans="1:9" ht="13.5" thickBot="1" x14ac:dyDescent="0.25"/>
    <row r="42" spans="1:9" ht="21" thickBot="1" x14ac:dyDescent="0.25">
      <c r="A42" s="489" t="s">
        <v>871</v>
      </c>
      <c r="B42" s="490"/>
      <c r="C42" s="490"/>
      <c r="D42" s="490"/>
      <c r="E42" s="490"/>
      <c r="F42" s="490"/>
      <c r="G42" s="490"/>
      <c r="H42" s="490"/>
      <c r="I42" s="491"/>
    </row>
    <row r="43" spans="1:9" ht="20.25" x14ac:dyDescent="0.3">
      <c r="A43" s="41"/>
      <c r="B43" s="13" t="s">
        <v>859</v>
      </c>
      <c r="C43" s="13" t="s">
        <v>861</v>
      </c>
      <c r="D43" s="13"/>
      <c r="E43" s="14"/>
      <c r="F43" s="14"/>
      <c r="G43" s="13"/>
      <c r="H43" s="13"/>
      <c r="I43" s="39"/>
    </row>
    <row r="44" spans="1:9" ht="20.25" x14ac:dyDescent="0.3">
      <c r="A44" s="41" t="s">
        <v>864</v>
      </c>
      <c r="B44" s="18">
        <v>33000</v>
      </c>
      <c r="C44" s="18">
        <v>31500</v>
      </c>
      <c r="D44" s="18"/>
      <c r="E44" s="14"/>
      <c r="F44" s="14"/>
      <c r="G44" s="13"/>
      <c r="H44" s="13"/>
      <c r="I44" s="39"/>
    </row>
    <row r="45" spans="1:9" ht="20.25" x14ac:dyDescent="0.3">
      <c r="A45" s="41" t="s">
        <v>36</v>
      </c>
      <c r="B45" s="18">
        <f>IF(B70&gt;B44,B44,B70)</f>
        <v>0</v>
      </c>
      <c r="C45" s="18">
        <f>IF(C70&gt;C44,C44,C70)</f>
        <v>31500</v>
      </c>
      <c r="D45" s="18"/>
      <c r="E45" s="14"/>
      <c r="F45" s="14"/>
      <c r="G45" s="13"/>
      <c r="H45" s="13"/>
      <c r="I45" s="39"/>
    </row>
    <row r="46" spans="1:9" ht="20.25" x14ac:dyDescent="0.3">
      <c r="A46" s="41" t="s">
        <v>862</v>
      </c>
      <c r="B46" s="18">
        <f>B44+B45</f>
        <v>33000</v>
      </c>
      <c r="C46" s="18">
        <f>SUM(C44:C45)</f>
        <v>63000</v>
      </c>
      <c r="D46" s="130" t="s">
        <v>107</v>
      </c>
      <c r="E46" s="14"/>
      <c r="F46" s="14"/>
      <c r="G46" s="13"/>
      <c r="H46" s="13"/>
      <c r="I46" s="39"/>
    </row>
    <row r="47" spans="1:9" ht="20.25" x14ac:dyDescent="0.3">
      <c r="A47" s="41" t="s">
        <v>47</v>
      </c>
      <c r="B47" s="18">
        <f>B70</f>
        <v>0</v>
      </c>
      <c r="C47" s="18">
        <f>IF(C71&gt;C65,C65,C71)</f>
        <v>31500</v>
      </c>
      <c r="D47" s="18"/>
      <c r="E47" s="14"/>
      <c r="F47" s="14"/>
      <c r="G47" s="13"/>
      <c r="H47" s="13"/>
      <c r="I47" s="39"/>
    </row>
    <row r="48" spans="1:9" ht="20.25" x14ac:dyDescent="0.3">
      <c r="A48" s="41" t="s">
        <v>479</v>
      </c>
      <c r="B48" s="18">
        <f>B47+B44</f>
        <v>33000</v>
      </c>
      <c r="C48" s="18">
        <f>C47+C44</f>
        <v>63000</v>
      </c>
      <c r="D48" s="151" t="s">
        <v>108</v>
      </c>
      <c r="E48" s="14"/>
      <c r="F48" s="14"/>
      <c r="G48" s="13"/>
      <c r="H48" s="13"/>
      <c r="I48" s="39"/>
    </row>
    <row r="49" spans="1:9" ht="20.25" x14ac:dyDescent="0.3">
      <c r="A49" s="41" t="s">
        <v>39</v>
      </c>
      <c r="B49" s="18">
        <f>B46-E54</f>
        <v>0</v>
      </c>
      <c r="C49" s="18">
        <f>C46-E61</f>
        <v>60730</v>
      </c>
      <c r="D49" s="151" t="s">
        <v>109</v>
      </c>
      <c r="E49" s="14"/>
      <c r="F49" s="14"/>
      <c r="G49" s="13"/>
      <c r="H49" s="13"/>
      <c r="I49" s="39"/>
    </row>
    <row r="50" spans="1:9" x14ac:dyDescent="0.2">
      <c r="A50" s="41" t="s">
        <v>799</v>
      </c>
      <c r="B50" s="40">
        <f>B48-E54-F54</f>
        <v>0</v>
      </c>
      <c r="C50" s="47">
        <f>C48-E61-F61</f>
        <v>60730</v>
      </c>
      <c r="D50" s="493" t="s">
        <v>110</v>
      </c>
      <c r="E50" s="503"/>
      <c r="F50" s="503"/>
      <c r="G50" s="503"/>
      <c r="H50" s="13"/>
      <c r="I50" s="39"/>
    </row>
    <row r="51" spans="1:9" ht="21" thickBot="1" x14ac:dyDescent="0.35">
      <c r="A51" s="41"/>
      <c r="B51" s="13"/>
      <c r="C51" s="13"/>
      <c r="D51" s="13"/>
      <c r="E51" s="14"/>
      <c r="F51" s="14"/>
      <c r="G51" s="13"/>
      <c r="H51" s="13"/>
      <c r="I51" s="39"/>
    </row>
    <row r="52" spans="1:9" ht="51" x14ac:dyDescent="0.2">
      <c r="A52" s="19" t="s">
        <v>41</v>
      </c>
      <c r="B52" s="20" t="s">
        <v>34</v>
      </c>
      <c r="C52" s="20" t="s">
        <v>64</v>
      </c>
      <c r="D52" s="20" t="s">
        <v>63</v>
      </c>
      <c r="E52" s="20" t="s">
        <v>37</v>
      </c>
      <c r="F52" s="20" t="s">
        <v>48</v>
      </c>
      <c r="G52" s="20" t="s">
        <v>40</v>
      </c>
      <c r="H52" s="20" t="s">
        <v>38</v>
      </c>
      <c r="I52" s="21" t="s">
        <v>5</v>
      </c>
    </row>
    <row r="53" spans="1:9" x14ac:dyDescent="0.2">
      <c r="A53" s="22" t="s">
        <v>10</v>
      </c>
      <c r="B53" s="23" t="s">
        <v>10</v>
      </c>
      <c r="C53" s="60">
        <v>33000</v>
      </c>
      <c r="D53" s="53">
        <v>44586</v>
      </c>
      <c r="E53" s="60">
        <v>33000</v>
      </c>
      <c r="F53" s="60"/>
      <c r="G53" s="23" t="s">
        <v>880</v>
      </c>
      <c r="H53" s="23" t="s">
        <v>823</v>
      </c>
      <c r="I53" s="24"/>
    </row>
    <row r="54" spans="1:9" x14ac:dyDescent="0.2">
      <c r="A54" s="25" t="s">
        <v>43</v>
      </c>
      <c r="B54" s="26"/>
      <c r="C54" s="64">
        <v>33000</v>
      </c>
      <c r="D54" s="26"/>
      <c r="E54" s="64">
        <f>E53</f>
        <v>33000</v>
      </c>
      <c r="F54" s="64">
        <f>F53</f>
        <v>0</v>
      </c>
      <c r="G54" s="26"/>
      <c r="H54" s="26"/>
      <c r="I54" s="27"/>
    </row>
    <row r="55" spans="1:9" x14ac:dyDescent="0.2">
      <c r="A55" s="34"/>
      <c r="B55" s="34"/>
      <c r="C55" s="62"/>
      <c r="D55" s="34"/>
      <c r="E55" s="62"/>
      <c r="F55" s="62"/>
      <c r="G55" s="34"/>
      <c r="H55" s="34"/>
      <c r="I55" s="34"/>
    </row>
    <row r="56" spans="1:9" x14ac:dyDescent="0.2">
      <c r="A56" s="25" t="s">
        <v>42</v>
      </c>
      <c r="B56" s="143"/>
      <c r="C56" s="147"/>
      <c r="D56" s="141"/>
      <c r="E56" s="61"/>
      <c r="F56" s="87"/>
      <c r="G56" s="143"/>
      <c r="H56" s="140"/>
      <c r="I56" s="45"/>
    </row>
    <row r="57" spans="1:9" x14ac:dyDescent="0.2">
      <c r="A57" s="155"/>
      <c r="B57" s="140" t="s">
        <v>10</v>
      </c>
      <c r="C57" s="147">
        <v>5000</v>
      </c>
      <c r="D57" s="141" t="s">
        <v>942</v>
      </c>
      <c r="E57" s="156">
        <v>2270</v>
      </c>
      <c r="F57" s="86">
        <f>C57-E57</f>
        <v>2730</v>
      </c>
      <c r="G57" s="140" t="s">
        <v>1099</v>
      </c>
      <c r="H57" s="140" t="s">
        <v>941</v>
      </c>
      <c r="I57" s="149"/>
    </row>
    <row r="58" spans="1:9" x14ac:dyDescent="0.2">
      <c r="A58" s="155"/>
      <c r="B58" s="253"/>
      <c r="C58" s="147"/>
      <c r="D58" s="255"/>
      <c r="E58" s="156"/>
      <c r="F58" s="86">
        <v>-2730</v>
      </c>
      <c r="G58" s="140" t="s">
        <v>1099</v>
      </c>
      <c r="H58" s="253" t="s">
        <v>941</v>
      </c>
      <c r="I58" s="149" t="s">
        <v>1097</v>
      </c>
    </row>
    <row r="59" spans="1:9" x14ac:dyDescent="0.2">
      <c r="A59" s="155"/>
      <c r="B59" s="253" t="s">
        <v>10</v>
      </c>
      <c r="C59" s="147">
        <v>20000</v>
      </c>
      <c r="D59" s="255" t="s">
        <v>961</v>
      </c>
      <c r="E59" s="156">
        <v>17780</v>
      </c>
      <c r="F59" s="86">
        <f>C59-E59</f>
        <v>2220</v>
      </c>
      <c r="G59" s="140" t="s">
        <v>1100</v>
      </c>
      <c r="H59" s="253" t="s">
        <v>958</v>
      </c>
      <c r="I59" s="149"/>
    </row>
    <row r="60" spans="1:9" ht="12.95" customHeight="1" x14ac:dyDescent="0.2">
      <c r="A60" s="155"/>
      <c r="B60" s="11"/>
      <c r="C60" s="147"/>
      <c r="D60" s="12"/>
      <c r="E60" s="86"/>
      <c r="F60" s="86">
        <v>-2220</v>
      </c>
      <c r="G60" s="140" t="s">
        <v>1100</v>
      </c>
      <c r="H60" s="11" t="s">
        <v>958</v>
      </c>
      <c r="I60" s="149" t="s">
        <v>1097</v>
      </c>
    </row>
    <row r="61" spans="1:9" ht="12.95" customHeight="1" thickBot="1" x14ac:dyDescent="0.25">
      <c r="A61" s="29" t="s">
        <v>43</v>
      </c>
      <c r="B61" s="30"/>
      <c r="C61" s="59">
        <f>SUM(C57:C60)</f>
        <v>25000</v>
      </c>
      <c r="D61" s="30"/>
      <c r="E61" s="59">
        <f>SUM(E56:E57)</f>
        <v>2270</v>
      </c>
      <c r="F61" s="59">
        <f>SUM(F56:F60)</f>
        <v>0</v>
      </c>
      <c r="G61" s="30"/>
      <c r="H61" s="30"/>
      <c r="I61" s="31"/>
    </row>
    <row r="62" spans="1:9" ht="12.95" customHeight="1" thickBot="1" x14ac:dyDescent="0.25"/>
    <row r="63" spans="1:9" ht="21" thickBot="1" x14ac:dyDescent="0.25">
      <c r="A63" s="489" t="s">
        <v>789</v>
      </c>
      <c r="B63" s="490"/>
      <c r="C63" s="490"/>
      <c r="D63" s="490"/>
      <c r="E63" s="490"/>
      <c r="F63" s="490"/>
      <c r="G63" s="490"/>
      <c r="H63" s="490"/>
      <c r="I63" s="491"/>
    </row>
    <row r="64" spans="1:9" ht="20.25" x14ac:dyDescent="0.3">
      <c r="A64" s="41"/>
      <c r="B64" s="13" t="s">
        <v>780</v>
      </c>
      <c r="C64" s="13" t="s">
        <v>782</v>
      </c>
      <c r="D64" s="13"/>
      <c r="E64" s="14"/>
      <c r="F64" s="14"/>
      <c r="G64" s="13"/>
      <c r="H64" s="13"/>
      <c r="I64" s="39"/>
    </row>
    <row r="65" spans="1:9" ht="20.25" x14ac:dyDescent="0.3">
      <c r="A65" s="41" t="s">
        <v>784</v>
      </c>
      <c r="B65" s="18">
        <v>33000</v>
      </c>
      <c r="C65" s="18">
        <v>31500</v>
      </c>
      <c r="D65" s="18"/>
      <c r="E65" s="14"/>
      <c r="F65" s="14"/>
      <c r="G65" s="13"/>
      <c r="H65" s="13"/>
      <c r="I65" s="39"/>
    </row>
    <row r="66" spans="1:9" ht="20.25" x14ac:dyDescent="0.3">
      <c r="A66" s="41" t="s">
        <v>36</v>
      </c>
      <c r="B66" s="18">
        <f>IF(B91&gt;B65,B65,B91)</f>
        <v>0</v>
      </c>
      <c r="C66" s="18">
        <f>IF(C91&gt;C65,C65,C91)</f>
        <v>31500</v>
      </c>
      <c r="D66" s="18"/>
      <c r="E66" s="14"/>
      <c r="F66" s="14"/>
      <c r="G66" s="13"/>
      <c r="H66" s="13"/>
      <c r="I66" s="39"/>
    </row>
    <row r="67" spans="1:9" ht="20.25" x14ac:dyDescent="0.3">
      <c r="A67" s="41" t="s">
        <v>785</v>
      </c>
      <c r="B67" s="18">
        <f>B65+B66</f>
        <v>33000</v>
      </c>
      <c r="C67" s="18">
        <f>SUM(C65:C66)</f>
        <v>63000</v>
      </c>
      <c r="D67" s="130" t="s">
        <v>107</v>
      </c>
      <c r="E67" s="14"/>
      <c r="F67" s="14"/>
      <c r="G67" s="13"/>
      <c r="H67" s="13"/>
      <c r="I67" s="39"/>
    </row>
    <row r="68" spans="1:9" ht="20.25" x14ac:dyDescent="0.3">
      <c r="A68" s="41" t="s">
        <v>47</v>
      </c>
      <c r="B68" s="18">
        <f>B91</f>
        <v>0</v>
      </c>
      <c r="C68" s="18">
        <f>IF(C92&gt;C86,C86,C92)</f>
        <v>31500</v>
      </c>
      <c r="D68" s="18"/>
      <c r="E68" s="14"/>
      <c r="F68" s="14"/>
      <c r="G68" s="13"/>
      <c r="H68" s="13"/>
      <c r="I68" s="39"/>
    </row>
    <row r="69" spans="1:9" ht="20.25" x14ac:dyDescent="0.3">
      <c r="A69" s="41" t="s">
        <v>479</v>
      </c>
      <c r="B69" s="18">
        <f>B68+B65</f>
        <v>33000</v>
      </c>
      <c r="C69" s="18">
        <f>C68+C65</f>
        <v>63000</v>
      </c>
      <c r="D69" s="151" t="s">
        <v>108</v>
      </c>
      <c r="E69" s="14"/>
      <c r="F69" s="14"/>
      <c r="G69" s="13"/>
      <c r="H69" s="13"/>
      <c r="I69" s="39"/>
    </row>
    <row r="70" spans="1:9" ht="20.25" x14ac:dyDescent="0.3">
      <c r="A70" s="41" t="s">
        <v>39</v>
      </c>
      <c r="B70" s="18">
        <f>B67-E75</f>
        <v>0</v>
      </c>
      <c r="C70" s="18">
        <f>C67-E82</f>
        <v>49493</v>
      </c>
      <c r="D70" s="151" t="s">
        <v>109</v>
      </c>
      <c r="E70" s="14"/>
      <c r="F70" s="14"/>
      <c r="G70" s="13"/>
      <c r="H70" s="13"/>
      <c r="I70" s="39"/>
    </row>
    <row r="71" spans="1:9" x14ac:dyDescent="0.2">
      <c r="A71" s="41" t="s">
        <v>799</v>
      </c>
      <c r="B71" s="40">
        <f>B69-E75-F75</f>
        <v>0</v>
      </c>
      <c r="C71" s="47">
        <f>C69-E82-F82</f>
        <v>49493</v>
      </c>
      <c r="D71" s="493" t="s">
        <v>110</v>
      </c>
      <c r="E71" s="503"/>
      <c r="F71" s="503"/>
      <c r="G71" s="503"/>
      <c r="H71" s="13"/>
      <c r="I71" s="39"/>
    </row>
    <row r="72" spans="1:9" ht="21" thickBot="1" x14ac:dyDescent="0.35">
      <c r="A72" s="41"/>
      <c r="B72" s="13"/>
      <c r="C72" s="13"/>
      <c r="D72" s="13"/>
      <c r="E72" s="14"/>
      <c r="F72" s="14"/>
      <c r="G72" s="13"/>
      <c r="H72" s="13"/>
      <c r="I72" s="39"/>
    </row>
    <row r="73" spans="1:9" ht="51" x14ac:dyDescent="0.2">
      <c r="A73" s="19" t="s">
        <v>41</v>
      </c>
      <c r="B73" s="20" t="s">
        <v>34</v>
      </c>
      <c r="C73" s="20" t="s">
        <v>64</v>
      </c>
      <c r="D73" s="20" t="s">
        <v>63</v>
      </c>
      <c r="E73" s="20" t="s">
        <v>37</v>
      </c>
      <c r="F73" s="20" t="s">
        <v>48</v>
      </c>
      <c r="G73" s="20" t="s">
        <v>40</v>
      </c>
      <c r="H73" s="20" t="s">
        <v>38</v>
      </c>
      <c r="I73" s="21" t="s">
        <v>5</v>
      </c>
    </row>
    <row r="74" spans="1:9" x14ac:dyDescent="0.2">
      <c r="A74" s="22" t="s">
        <v>10</v>
      </c>
      <c r="B74" s="23" t="s">
        <v>10</v>
      </c>
      <c r="C74" s="60">
        <v>33000</v>
      </c>
      <c r="D74" s="53">
        <v>44201</v>
      </c>
      <c r="E74" s="60">
        <v>33000</v>
      </c>
      <c r="F74" s="60"/>
      <c r="G74" s="23" t="s">
        <v>824</v>
      </c>
      <c r="H74" s="23" t="s">
        <v>823</v>
      </c>
      <c r="I74" s="24"/>
    </row>
    <row r="75" spans="1:9" x14ac:dyDescent="0.2">
      <c r="A75" s="25" t="s">
        <v>43</v>
      </c>
      <c r="B75" s="26"/>
      <c r="C75" s="64">
        <f>C74</f>
        <v>33000</v>
      </c>
      <c r="D75" s="26"/>
      <c r="E75" s="64">
        <f>E74</f>
        <v>33000</v>
      </c>
      <c r="F75" s="64">
        <f>F74</f>
        <v>0</v>
      </c>
      <c r="G75" s="26"/>
      <c r="H75" s="26"/>
      <c r="I75" s="27"/>
    </row>
    <row r="76" spans="1:9" x14ac:dyDescent="0.2">
      <c r="A76" s="34"/>
      <c r="B76" s="34"/>
      <c r="C76" s="62"/>
      <c r="D76" s="34"/>
      <c r="E76" s="62"/>
      <c r="F76" s="62"/>
      <c r="G76" s="34"/>
      <c r="H76" s="34"/>
      <c r="I76" s="34"/>
    </row>
    <row r="77" spans="1:9" x14ac:dyDescent="0.2">
      <c r="A77" s="25" t="s">
        <v>42</v>
      </c>
      <c r="B77" s="143"/>
      <c r="C77" s="147"/>
      <c r="D77" s="141"/>
      <c r="E77" s="61"/>
      <c r="F77" s="87"/>
      <c r="G77" s="143"/>
      <c r="H77" s="140"/>
      <c r="I77" s="45"/>
    </row>
    <row r="78" spans="1:9" x14ac:dyDescent="0.2">
      <c r="A78" s="155"/>
      <c r="B78" s="140" t="s">
        <v>10</v>
      </c>
      <c r="C78" s="147">
        <v>18000</v>
      </c>
      <c r="D78" s="141" t="s">
        <v>813</v>
      </c>
      <c r="E78" s="156">
        <v>13507</v>
      </c>
      <c r="F78" s="86">
        <f>C78-E78</f>
        <v>4493</v>
      </c>
      <c r="G78" s="140" t="s">
        <v>821</v>
      </c>
      <c r="H78" s="140" t="s">
        <v>811</v>
      </c>
      <c r="I78" s="149"/>
    </row>
    <row r="79" spans="1:9" x14ac:dyDescent="0.2">
      <c r="A79" s="155"/>
      <c r="B79" s="253"/>
      <c r="C79" s="147"/>
      <c r="D79" s="255"/>
      <c r="E79" s="156"/>
      <c r="F79" s="86">
        <v>-4493</v>
      </c>
      <c r="G79" s="253"/>
      <c r="H79" s="253"/>
      <c r="I79" s="149" t="s">
        <v>818</v>
      </c>
    </row>
    <row r="80" spans="1:9" x14ac:dyDescent="0.2">
      <c r="A80" s="155"/>
      <c r="B80" s="11" t="s">
        <v>10</v>
      </c>
      <c r="C80" s="147"/>
      <c r="D80" s="12"/>
      <c r="E80" s="86"/>
      <c r="F80" s="86"/>
      <c r="H80" s="11"/>
      <c r="I80" s="149"/>
    </row>
    <row r="81" spans="1:9" x14ac:dyDescent="0.2">
      <c r="A81" s="155"/>
      <c r="C81" s="147"/>
      <c r="D81" s="12"/>
      <c r="E81" s="86"/>
      <c r="F81" s="86"/>
      <c r="H81" s="11"/>
      <c r="I81" s="149"/>
    </row>
    <row r="82" spans="1:9" ht="13.5" thickBot="1" x14ac:dyDescent="0.25">
      <c r="A82" s="29" t="s">
        <v>43</v>
      </c>
      <c r="B82" s="30"/>
      <c r="C82" s="59">
        <f>SUM(C78:C80)</f>
        <v>18000</v>
      </c>
      <c r="D82" s="30"/>
      <c r="E82" s="59">
        <f>SUM(E77:E78)</f>
        <v>13507</v>
      </c>
      <c r="F82" s="59">
        <f>SUM(F77:F80)</f>
        <v>0</v>
      </c>
      <c r="G82" s="30"/>
      <c r="H82" s="30"/>
      <c r="I82" s="31"/>
    </row>
    <row r="83" spans="1:9" ht="13.5" hidden="1" thickBot="1" x14ac:dyDescent="0.25">
      <c r="A83" s="277"/>
      <c r="B83" s="217"/>
      <c r="C83" s="218"/>
      <c r="D83" s="217"/>
      <c r="E83" s="218"/>
      <c r="F83" s="218"/>
      <c r="G83" s="217"/>
      <c r="H83" s="217"/>
      <c r="I83" s="217"/>
    </row>
    <row r="84" spans="1:9" ht="21" hidden="1" thickBot="1" x14ac:dyDescent="0.25">
      <c r="A84" s="489" t="s">
        <v>705</v>
      </c>
      <c r="B84" s="490"/>
      <c r="C84" s="490"/>
      <c r="D84" s="490"/>
      <c r="E84" s="490"/>
      <c r="F84" s="490"/>
      <c r="G84" s="490"/>
      <c r="H84" s="490"/>
      <c r="I84" s="491"/>
    </row>
    <row r="85" spans="1:9" ht="20.25" hidden="1" x14ac:dyDescent="0.3">
      <c r="A85" s="41"/>
      <c r="B85" s="13" t="s">
        <v>697</v>
      </c>
      <c r="C85" s="13" t="s">
        <v>699</v>
      </c>
      <c r="D85" s="13"/>
      <c r="E85" s="14"/>
      <c r="F85" s="14"/>
      <c r="G85" s="13"/>
      <c r="H85" s="13"/>
      <c r="I85" s="39"/>
    </row>
    <row r="86" spans="1:9" ht="20.25" hidden="1" x14ac:dyDescent="0.3">
      <c r="A86" s="41" t="s">
        <v>701</v>
      </c>
      <c r="B86" s="18">
        <v>31500</v>
      </c>
      <c r="C86" s="18">
        <v>31500</v>
      </c>
      <c r="D86" s="18"/>
      <c r="E86" s="14"/>
      <c r="F86" s="14"/>
      <c r="G86" s="13"/>
      <c r="H86" s="13"/>
      <c r="I86" s="39"/>
    </row>
    <row r="87" spans="1:9" ht="20.25" hidden="1" x14ac:dyDescent="0.3">
      <c r="A87" s="41" t="s">
        <v>36</v>
      </c>
      <c r="B87" s="18">
        <f xml:space="preserve"> IF(B112&gt;30000,30000,B112)</f>
        <v>0</v>
      </c>
      <c r="C87" s="18">
        <f xml:space="preserve"> IF(C112&gt;31500,31500,C112)</f>
        <v>31500</v>
      </c>
      <c r="D87" s="18"/>
      <c r="E87" s="14"/>
      <c r="F87" s="14"/>
      <c r="G87" s="13"/>
      <c r="H87" s="13"/>
      <c r="I87" s="39"/>
    </row>
    <row r="88" spans="1:9" ht="20.25" hidden="1" x14ac:dyDescent="0.3">
      <c r="A88" s="41" t="s">
        <v>702</v>
      </c>
      <c r="B88" s="18">
        <f>SUM(B86:B87)</f>
        <v>31500</v>
      </c>
      <c r="C88" s="18">
        <f>SUM(C86:C87)</f>
        <v>63000</v>
      </c>
      <c r="D88" s="130" t="s">
        <v>107</v>
      </c>
      <c r="E88" s="14"/>
      <c r="F88" s="14"/>
      <c r="G88" s="13"/>
      <c r="H88" s="13"/>
      <c r="I88" s="39"/>
    </row>
    <row r="89" spans="1:9" ht="20.25" hidden="1" x14ac:dyDescent="0.3">
      <c r="A89" s="41" t="s">
        <v>47</v>
      </c>
      <c r="B89" s="18">
        <f>IF(B113&gt;30000,30000,B113)</f>
        <v>0</v>
      </c>
      <c r="C89" s="18">
        <f>IF(C113&gt;31500,31500,C113)</f>
        <v>31500</v>
      </c>
      <c r="D89" s="18"/>
      <c r="E89" s="14"/>
      <c r="F89" s="14"/>
      <c r="G89" s="13"/>
      <c r="H89" s="13"/>
      <c r="I89" s="39"/>
    </row>
    <row r="90" spans="1:9" ht="20.25" hidden="1" x14ac:dyDescent="0.3">
      <c r="A90" s="41" t="s">
        <v>45</v>
      </c>
      <c r="B90" s="18">
        <f>B89+B86</f>
        <v>31500</v>
      </c>
      <c r="C90" s="18">
        <f>C89+C86</f>
        <v>63000</v>
      </c>
      <c r="D90" s="151" t="s">
        <v>108</v>
      </c>
      <c r="E90" s="14"/>
      <c r="F90" s="14"/>
      <c r="G90" s="13"/>
      <c r="H90" s="13"/>
      <c r="I90" s="39"/>
    </row>
    <row r="91" spans="1:9" ht="20.25" hidden="1" x14ac:dyDescent="0.3">
      <c r="A91" s="41" t="s">
        <v>39</v>
      </c>
      <c r="B91" s="18">
        <f>B88-E96</f>
        <v>0</v>
      </c>
      <c r="C91" s="18">
        <f>C88-E103</f>
        <v>62336</v>
      </c>
      <c r="D91" s="151" t="s">
        <v>109</v>
      </c>
      <c r="E91" s="14"/>
      <c r="F91" s="14"/>
      <c r="G91" s="13"/>
      <c r="H91" s="13"/>
      <c r="I91" s="39"/>
    </row>
    <row r="92" spans="1:9" hidden="1" x14ac:dyDescent="0.2">
      <c r="A92" s="41" t="s">
        <v>35</v>
      </c>
      <c r="B92" s="40">
        <f>B90-E96-F96</f>
        <v>0</v>
      </c>
      <c r="C92" s="47">
        <f>C90-E103-F103</f>
        <v>58516</v>
      </c>
      <c r="D92" s="493" t="s">
        <v>110</v>
      </c>
      <c r="E92" s="503"/>
      <c r="F92" s="503"/>
      <c r="G92" s="503"/>
      <c r="H92" s="13"/>
      <c r="I92" s="39"/>
    </row>
    <row r="93" spans="1:9" ht="21" hidden="1" thickBot="1" x14ac:dyDescent="0.35">
      <c r="A93" s="41"/>
      <c r="B93" s="13"/>
      <c r="C93" s="13"/>
      <c r="D93" s="13"/>
      <c r="E93" s="14"/>
      <c r="F93" s="14"/>
      <c r="G93" s="13"/>
      <c r="H93" s="13"/>
      <c r="I93" s="39"/>
    </row>
    <row r="94" spans="1:9" ht="51" hidden="1" x14ac:dyDescent="0.2">
      <c r="A94" s="19" t="s">
        <v>41</v>
      </c>
      <c r="B94" s="20" t="s">
        <v>34</v>
      </c>
      <c r="C94" s="20" t="s">
        <v>64</v>
      </c>
      <c r="D94" s="20" t="s">
        <v>63</v>
      </c>
      <c r="E94" s="20" t="s">
        <v>37</v>
      </c>
      <c r="F94" s="20" t="s">
        <v>48</v>
      </c>
      <c r="G94" s="20" t="s">
        <v>40</v>
      </c>
      <c r="H94" s="20" t="s">
        <v>38</v>
      </c>
      <c r="I94" s="21" t="s">
        <v>5</v>
      </c>
    </row>
    <row r="95" spans="1:9" hidden="1" x14ac:dyDescent="0.2">
      <c r="A95" s="22" t="s">
        <v>10</v>
      </c>
      <c r="B95" s="23" t="s">
        <v>10</v>
      </c>
      <c r="C95" s="60">
        <v>31500</v>
      </c>
      <c r="D95" s="53">
        <v>43832</v>
      </c>
      <c r="E95" s="60">
        <v>31500</v>
      </c>
      <c r="F95" s="60"/>
      <c r="G95" s="23" t="s">
        <v>709</v>
      </c>
      <c r="H95" s="23" t="s">
        <v>706</v>
      </c>
      <c r="I95" s="24"/>
    </row>
    <row r="96" spans="1:9" hidden="1" x14ac:dyDescent="0.2">
      <c r="A96" s="25" t="s">
        <v>43</v>
      </c>
      <c r="B96" s="26"/>
      <c r="C96" s="64">
        <f>C95</f>
        <v>31500</v>
      </c>
      <c r="D96" s="26"/>
      <c r="E96" s="64">
        <f>E95</f>
        <v>31500</v>
      </c>
      <c r="F96" s="64">
        <f>F95</f>
        <v>0</v>
      </c>
      <c r="G96" s="26"/>
      <c r="H96" s="26"/>
      <c r="I96" s="27"/>
    </row>
    <row r="97" spans="1:9" hidden="1" x14ac:dyDescent="0.2">
      <c r="A97" s="34"/>
      <c r="B97" s="34"/>
      <c r="C97" s="62"/>
      <c r="D97" s="34"/>
      <c r="E97" s="62"/>
      <c r="F97" s="62"/>
      <c r="G97" s="34"/>
      <c r="H97" s="34"/>
      <c r="I97" s="34"/>
    </row>
    <row r="98" spans="1:9" hidden="1" x14ac:dyDescent="0.2">
      <c r="A98" s="25" t="s">
        <v>42</v>
      </c>
      <c r="B98" s="143"/>
      <c r="C98" s="147"/>
      <c r="D98" s="141"/>
      <c r="E98" s="61"/>
      <c r="F98" s="87"/>
      <c r="G98" s="143"/>
      <c r="H98" s="140"/>
      <c r="I98" s="45"/>
    </row>
    <row r="99" spans="1:9" hidden="1" x14ac:dyDescent="0.2">
      <c r="A99" s="155"/>
      <c r="B99" s="140" t="s">
        <v>10</v>
      </c>
      <c r="C99" s="147">
        <v>1333</v>
      </c>
      <c r="D99" s="141" t="s">
        <v>726</v>
      </c>
      <c r="E99" s="156">
        <v>664</v>
      </c>
      <c r="F99" s="86">
        <f>C99-E99</f>
        <v>669</v>
      </c>
      <c r="G99" s="140" t="s">
        <v>778</v>
      </c>
      <c r="H99" s="140" t="s">
        <v>719</v>
      </c>
      <c r="I99" s="149" t="s">
        <v>100</v>
      </c>
    </row>
    <row r="100" spans="1:9" hidden="1" x14ac:dyDescent="0.2">
      <c r="A100" s="155"/>
      <c r="B100" s="253"/>
      <c r="C100" s="147"/>
      <c r="D100" s="255"/>
      <c r="E100" s="156"/>
      <c r="F100" s="86">
        <v>-669</v>
      </c>
      <c r="G100" s="253"/>
      <c r="H100" s="253"/>
      <c r="I100" s="149" t="s">
        <v>767</v>
      </c>
    </row>
    <row r="101" spans="1:9" hidden="1" x14ac:dyDescent="0.2">
      <c r="A101" s="155"/>
      <c r="B101" t="s">
        <v>10</v>
      </c>
      <c r="C101" s="147">
        <v>15000</v>
      </c>
      <c r="D101" s="12" t="s">
        <v>746</v>
      </c>
      <c r="E101" s="86">
        <v>11180</v>
      </c>
      <c r="F101" s="86">
        <f>15000-E101</f>
        <v>3820</v>
      </c>
      <c r="G101" t="s">
        <v>778</v>
      </c>
      <c r="H101" s="11" t="s">
        <v>745</v>
      </c>
      <c r="I101" s="149" t="s">
        <v>100</v>
      </c>
    </row>
    <row r="102" spans="1:9" hidden="1" x14ac:dyDescent="0.2">
      <c r="A102" s="155"/>
      <c r="C102" s="147"/>
      <c r="D102" s="12"/>
      <c r="E102" s="86"/>
      <c r="F102" s="86">
        <v>-3820</v>
      </c>
      <c r="H102" s="11"/>
      <c r="I102" s="149" t="s">
        <v>767</v>
      </c>
    </row>
    <row r="103" spans="1:9" ht="13.5" hidden="1" thickBot="1" x14ac:dyDescent="0.25">
      <c r="A103" s="29" t="s">
        <v>43</v>
      </c>
      <c r="B103" s="30"/>
      <c r="C103" s="59">
        <f>SUM(C99:C101)</f>
        <v>16333</v>
      </c>
      <c r="D103" s="30"/>
      <c r="E103" s="59">
        <f>SUM(E98:E99)</f>
        <v>664</v>
      </c>
      <c r="F103" s="59">
        <f>SUM(F98:F101)</f>
        <v>3820</v>
      </c>
      <c r="G103" s="30"/>
      <c r="H103" s="30"/>
      <c r="I103" s="31"/>
    </row>
    <row r="104" spans="1:9" ht="13.5" hidden="1" thickBot="1" x14ac:dyDescent="0.25"/>
    <row r="105" spans="1:9" ht="21" hidden="1" thickBot="1" x14ac:dyDescent="0.25">
      <c r="A105" s="489" t="s">
        <v>610</v>
      </c>
      <c r="B105" s="490"/>
      <c r="C105" s="490"/>
      <c r="D105" s="490"/>
      <c r="E105" s="490"/>
      <c r="F105" s="490"/>
      <c r="G105" s="490"/>
      <c r="H105" s="490"/>
      <c r="I105" s="491"/>
    </row>
    <row r="106" spans="1:9" ht="20.25" hidden="1" x14ac:dyDescent="0.3">
      <c r="A106" s="41"/>
      <c r="B106" s="13" t="s">
        <v>600</v>
      </c>
      <c r="C106" s="13" t="s">
        <v>602</v>
      </c>
      <c r="D106" s="13"/>
      <c r="E106" s="14"/>
      <c r="F106" s="14"/>
      <c r="G106" s="13"/>
      <c r="H106" s="13"/>
      <c r="I106" s="39"/>
    </row>
    <row r="107" spans="1:9" ht="20.25" hidden="1" x14ac:dyDescent="0.3">
      <c r="A107" s="41" t="s">
        <v>606</v>
      </c>
      <c r="B107" s="18">
        <v>31500</v>
      </c>
      <c r="C107" s="18">
        <v>31500</v>
      </c>
      <c r="D107" s="18"/>
      <c r="E107" s="14"/>
      <c r="F107" s="14"/>
      <c r="G107" s="13"/>
      <c r="H107" s="13"/>
      <c r="I107" s="39"/>
    </row>
    <row r="108" spans="1:9" ht="20.25" hidden="1" x14ac:dyDescent="0.3">
      <c r="A108" s="41" t="s">
        <v>36</v>
      </c>
      <c r="B108" s="18">
        <f xml:space="preserve"> IF(B132&gt;30000,30000,B132)</f>
        <v>0</v>
      </c>
      <c r="C108" s="18">
        <f xml:space="preserve"> IF(C132&gt;31500,31500,C132)</f>
        <v>31500</v>
      </c>
      <c r="D108" s="18"/>
      <c r="E108" s="14"/>
      <c r="F108" s="14"/>
      <c r="G108" s="13"/>
      <c r="H108" s="13"/>
      <c r="I108" s="39"/>
    </row>
    <row r="109" spans="1:9" ht="20.25" hidden="1" x14ac:dyDescent="0.3">
      <c r="A109" s="41" t="s">
        <v>603</v>
      </c>
      <c r="B109" s="18">
        <f>SUM(B107:B108)</f>
        <v>31500</v>
      </c>
      <c r="C109" s="18">
        <f>SUM(C107:C108)</f>
        <v>63000</v>
      </c>
      <c r="D109" s="130" t="s">
        <v>107</v>
      </c>
      <c r="E109" s="14"/>
      <c r="F109" s="14"/>
      <c r="G109" s="13"/>
      <c r="H109" s="13"/>
      <c r="I109" s="39"/>
    </row>
    <row r="110" spans="1:9" ht="20.25" hidden="1" x14ac:dyDescent="0.3">
      <c r="A110" s="41" t="s">
        <v>47</v>
      </c>
      <c r="B110" s="18">
        <f>IF(B133&gt;30000,30000,B133)</f>
        <v>0</v>
      </c>
      <c r="C110" s="18">
        <f>IF(C133&gt;31500,31500,C133)</f>
        <v>31500</v>
      </c>
      <c r="D110" s="18"/>
      <c r="E110" s="14"/>
      <c r="F110" s="14"/>
      <c r="G110" s="13"/>
      <c r="H110" s="13"/>
      <c r="I110" s="39"/>
    </row>
    <row r="111" spans="1:9" ht="20.25" hidden="1" x14ac:dyDescent="0.3">
      <c r="A111" s="41" t="s">
        <v>45</v>
      </c>
      <c r="B111" s="18">
        <f>B110+B107</f>
        <v>31500</v>
      </c>
      <c r="C111" s="18">
        <f>C110+C107</f>
        <v>63000</v>
      </c>
      <c r="D111" s="151" t="s">
        <v>108</v>
      </c>
      <c r="E111" s="14"/>
      <c r="F111" s="14"/>
      <c r="G111" s="13"/>
      <c r="H111" s="13"/>
      <c r="I111" s="39"/>
    </row>
    <row r="112" spans="1:9" ht="20.25" hidden="1" x14ac:dyDescent="0.3">
      <c r="A112" s="41" t="s">
        <v>39</v>
      </c>
      <c r="B112" s="18">
        <f>B109-E117</f>
        <v>0</v>
      </c>
      <c r="C112" s="18">
        <f>C109-E123</f>
        <v>57700</v>
      </c>
      <c r="D112" s="151" t="s">
        <v>109</v>
      </c>
      <c r="E112" s="14"/>
      <c r="F112" s="14"/>
      <c r="G112" s="13"/>
      <c r="H112" s="13"/>
      <c r="I112" s="39"/>
    </row>
    <row r="113" spans="1:9" hidden="1" x14ac:dyDescent="0.2">
      <c r="A113" s="41" t="s">
        <v>35</v>
      </c>
      <c r="B113" s="40">
        <f>B111-E117-F117</f>
        <v>0</v>
      </c>
      <c r="C113" s="47">
        <f>C111-E123-F123</f>
        <v>57700</v>
      </c>
      <c r="D113" s="493" t="s">
        <v>110</v>
      </c>
      <c r="E113" s="503"/>
      <c r="F113" s="503"/>
      <c r="G113" s="503"/>
      <c r="H113" s="13"/>
      <c r="I113" s="39"/>
    </row>
    <row r="114" spans="1:9" ht="21" hidden="1" thickBot="1" x14ac:dyDescent="0.35">
      <c r="A114" s="41"/>
      <c r="B114" s="13"/>
      <c r="C114" s="13"/>
      <c r="D114" s="13"/>
      <c r="E114" s="14"/>
      <c r="F114" s="14"/>
      <c r="G114" s="13"/>
      <c r="H114" s="13"/>
      <c r="I114" s="39"/>
    </row>
    <row r="115" spans="1:9" ht="51" hidden="1" x14ac:dyDescent="0.2">
      <c r="A115" s="19" t="s">
        <v>41</v>
      </c>
      <c r="B115" s="20" t="s">
        <v>34</v>
      </c>
      <c r="C115" s="20" t="s">
        <v>64</v>
      </c>
      <c r="D115" s="20" t="s">
        <v>63</v>
      </c>
      <c r="E115" s="20" t="s">
        <v>37</v>
      </c>
      <c r="F115" s="20" t="s">
        <v>48</v>
      </c>
      <c r="G115" s="20" t="s">
        <v>40</v>
      </c>
      <c r="H115" s="20" t="s">
        <v>38</v>
      </c>
      <c r="I115" s="21" t="s">
        <v>5</v>
      </c>
    </row>
    <row r="116" spans="1:9" hidden="1" x14ac:dyDescent="0.2">
      <c r="A116" s="22" t="s">
        <v>10</v>
      </c>
      <c r="B116" s="23" t="s">
        <v>10</v>
      </c>
      <c r="C116" s="60">
        <v>31500</v>
      </c>
      <c r="D116" s="53">
        <v>43467</v>
      </c>
      <c r="E116" s="60">
        <v>31500</v>
      </c>
      <c r="F116" s="60"/>
      <c r="G116" s="23" t="s">
        <v>621</v>
      </c>
      <c r="H116" s="23" t="s">
        <v>622</v>
      </c>
      <c r="I116" s="24"/>
    </row>
    <row r="117" spans="1:9" hidden="1" x14ac:dyDescent="0.2">
      <c r="A117" s="25" t="s">
        <v>43</v>
      </c>
      <c r="B117" s="26"/>
      <c r="C117" s="64">
        <f>C116</f>
        <v>31500</v>
      </c>
      <c r="D117" s="26"/>
      <c r="E117" s="64">
        <f>E116</f>
        <v>31500</v>
      </c>
      <c r="F117" s="64">
        <f>F116</f>
        <v>0</v>
      </c>
      <c r="G117" s="26"/>
      <c r="H117" s="26"/>
      <c r="I117" s="27"/>
    </row>
    <row r="118" spans="1:9" hidden="1" x14ac:dyDescent="0.2">
      <c r="A118" s="34"/>
      <c r="B118" s="34"/>
      <c r="C118" s="62"/>
      <c r="D118" s="34"/>
      <c r="E118" s="62"/>
      <c r="F118" s="62"/>
      <c r="G118" s="34"/>
      <c r="H118" s="34"/>
      <c r="I118" s="34"/>
    </row>
    <row r="119" spans="1:9" hidden="1" x14ac:dyDescent="0.2">
      <c r="A119" s="25" t="s">
        <v>42</v>
      </c>
      <c r="B119" s="143"/>
      <c r="C119" s="147"/>
      <c r="D119" s="141"/>
      <c r="E119" s="61"/>
      <c r="F119" s="87"/>
      <c r="G119" s="143"/>
      <c r="H119" s="140"/>
      <c r="I119" s="45"/>
    </row>
    <row r="120" spans="1:9" hidden="1" x14ac:dyDescent="0.2">
      <c r="A120" s="155"/>
      <c r="B120" s="140" t="s">
        <v>10</v>
      </c>
      <c r="C120" s="147">
        <v>7500</v>
      </c>
      <c r="D120" s="141" t="s">
        <v>625</v>
      </c>
      <c r="E120" s="156">
        <v>2000</v>
      </c>
      <c r="F120" s="86"/>
      <c r="G120" s="140" t="s">
        <v>648</v>
      </c>
      <c r="H120" s="140" t="s">
        <v>624</v>
      </c>
      <c r="I120" s="149" t="s">
        <v>188</v>
      </c>
    </row>
    <row r="121" spans="1:9" hidden="1" x14ac:dyDescent="0.2">
      <c r="A121" s="155"/>
      <c r="B121" s="253"/>
      <c r="C121" s="254"/>
      <c r="D121" s="255">
        <v>43941</v>
      </c>
      <c r="E121" s="256">
        <v>3300</v>
      </c>
      <c r="F121" s="131">
        <f>C120-E120-E121</f>
        <v>2200</v>
      </c>
      <c r="G121" s="253" t="s">
        <v>744</v>
      </c>
      <c r="H121" s="253"/>
      <c r="I121" s="149" t="s">
        <v>100</v>
      </c>
    </row>
    <row r="122" spans="1:9" hidden="1" x14ac:dyDescent="0.2">
      <c r="A122" s="155"/>
      <c r="D122" s="8"/>
      <c r="F122" s="257">
        <v>-2200</v>
      </c>
      <c r="I122" s="149"/>
    </row>
    <row r="123" spans="1:9" ht="13.5" hidden="1" thickBot="1" x14ac:dyDescent="0.25">
      <c r="A123" s="29" t="s">
        <v>43</v>
      </c>
      <c r="B123" s="30"/>
      <c r="C123" s="59">
        <f>SUM(C120:C120)</f>
        <v>7500</v>
      </c>
      <c r="D123" s="30"/>
      <c r="E123" s="59">
        <f>SUM(E119:E121)</f>
        <v>5300</v>
      </c>
      <c r="F123" s="59">
        <f>SUM(F119:F122)</f>
        <v>0</v>
      </c>
      <c r="G123" s="30"/>
      <c r="H123" s="30"/>
      <c r="I123" s="31"/>
    </row>
    <row r="124" spans="1:9" ht="13.5" hidden="1" thickBot="1" x14ac:dyDescent="0.25"/>
    <row r="125" spans="1:9" ht="21" hidden="1" thickBot="1" x14ac:dyDescent="0.25">
      <c r="A125" s="489" t="s">
        <v>489</v>
      </c>
      <c r="B125" s="490"/>
      <c r="C125" s="490"/>
      <c r="D125" s="490"/>
      <c r="E125" s="490"/>
      <c r="F125" s="490"/>
      <c r="G125" s="490"/>
      <c r="H125" s="490"/>
      <c r="I125" s="491"/>
    </row>
    <row r="126" spans="1:9" ht="20.25" hidden="1" x14ac:dyDescent="0.3">
      <c r="A126" s="41"/>
      <c r="B126" s="13" t="s">
        <v>472</v>
      </c>
      <c r="C126" s="13" t="s">
        <v>474</v>
      </c>
      <c r="D126" s="13"/>
      <c r="E126" s="14"/>
      <c r="F126" s="14"/>
      <c r="G126" s="13"/>
      <c r="H126" s="13"/>
      <c r="I126" s="39"/>
    </row>
    <row r="127" spans="1:9" ht="20.25" hidden="1" x14ac:dyDescent="0.3">
      <c r="A127" s="41" t="s">
        <v>477</v>
      </c>
      <c r="B127" s="18">
        <v>31500</v>
      </c>
      <c r="C127" s="18">
        <v>31500</v>
      </c>
      <c r="D127" s="18"/>
      <c r="E127" s="14"/>
      <c r="F127" s="14"/>
      <c r="G127" s="13"/>
      <c r="H127" s="13"/>
      <c r="I127" s="39"/>
    </row>
    <row r="128" spans="1:9" ht="20.25" hidden="1" x14ac:dyDescent="0.3">
      <c r="A128" s="41" t="s">
        <v>36</v>
      </c>
      <c r="B128" s="18">
        <f xml:space="preserve"> IF(B150&gt;30000,30000,B150)</f>
        <v>0</v>
      </c>
      <c r="C128" s="18">
        <f xml:space="preserve"> IF(C150&gt;30000,30000,C150)</f>
        <v>26965.42</v>
      </c>
      <c r="D128" s="18"/>
      <c r="E128" s="14"/>
      <c r="F128" s="14"/>
      <c r="G128" s="13"/>
      <c r="H128" s="13"/>
      <c r="I128" s="39"/>
    </row>
    <row r="129" spans="1:9" ht="20.25" hidden="1" x14ac:dyDescent="0.3">
      <c r="A129" s="41" t="s">
        <v>475</v>
      </c>
      <c r="B129" s="18">
        <f>SUM(B127:B128)</f>
        <v>31500</v>
      </c>
      <c r="C129" s="18">
        <f>SUM(C127:C128)</f>
        <v>58465.42</v>
      </c>
      <c r="D129" s="130" t="s">
        <v>107</v>
      </c>
      <c r="E129" s="14"/>
      <c r="F129" s="14"/>
      <c r="G129" s="13"/>
      <c r="H129" s="13"/>
      <c r="I129" s="39"/>
    </row>
    <row r="130" spans="1:9" ht="20.25" hidden="1" x14ac:dyDescent="0.3">
      <c r="A130" s="41" t="s">
        <v>47</v>
      </c>
      <c r="B130" s="18">
        <f>IF(B151&gt;30000,30000,B151)</f>
        <v>0</v>
      </c>
      <c r="C130" s="18">
        <f>IF(C151&gt;30000,30000,C151)</f>
        <v>16260.419999999998</v>
      </c>
      <c r="D130" s="18"/>
      <c r="E130" s="14"/>
      <c r="F130" s="14"/>
      <c r="G130" s="13"/>
      <c r="H130" s="13"/>
      <c r="I130" s="39"/>
    </row>
    <row r="131" spans="1:9" ht="20.25" hidden="1" x14ac:dyDescent="0.3">
      <c r="A131" s="41" t="s">
        <v>45</v>
      </c>
      <c r="B131" s="18">
        <f>B130+B127</f>
        <v>31500</v>
      </c>
      <c r="C131" s="18">
        <f>C130+C127</f>
        <v>47760.42</v>
      </c>
      <c r="D131" s="151" t="s">
        <v>108</v>
      </c>
      <c r="E131" s="14"/>
      <c r="F131" s="14"/>
      <c r="G131" s="13"/>
      <c r="H131" s="13"/>
      <c r="I131" s="39"/>
    </row>
    <row r="132" spans="1:9" ht="20.25" hidden="1" x14ac:dyDescent="0.3">
      <c r="A132" s="41" t="s">
        <v>39</v>
      </c>
      <c r="B132" s="18">
        <f>B129-E137</f>
        <v>0</v>
      </c>
      <c r="C132" s="18">
        <f>C129-E141</f>
        <v>56465.42</v>
      </c>
      <c r="D132" s="151" t="s">
        <v>109</v>
      </c>
      <c r="E132" s="14"/>
      <c r="F132" s="14"/>
      <c r="G132" s="13"/>
      <c r="H132" s="13"/>
      <c r="I132" s="39"/>
    </row>
    <row r="133" spans="1:9" hidden="1" x14ac:dyDescent="0.2">
      <c r="A133" s="41" t="s">
        <v>35</v>
      </c>
      <c r="B133" s="40">
        <f>B131-E137-F137</f>
        <v>0</v>
      </c>
      <c r="C133" s="47">
        <f>C131-E141-F141</f>
        <v>45760.42</v>
      </c>
      <c r="D133" s="493" t="s">
        <v>110</v>
      </c>
      <c r="E133" s="503"/>
      <c r="F133" s="503"/>
      <c r="G133" s="503"/>
      <c r="H133" s="13"/>
      <c r="I133" s="39"/>
    </row>
    <row r="134" spans="1:9" ht="11.65" hidden="1" customHeight="1" thickBot="1" x14ac:dyDescent="0.35">
      <c r="A134" s="41"/>
      <c r="B134" s="13"/>
      <c r="C134" s="13"/>
      <c r="D134" s="13"/>
      <c r="E134" s="14"/>
      <c r="F134" s="14"/>
      <c r="G134" s="13"/>
      <c r="H134" s="13"/>
      <c r="I134" s="39"/>
    </row>
    <row r="135" spans="1:9" ht="55.5" hidden="1" customHeight="1" x14ac:dyDescent="0.2">
      <c r="A135" s="19" t="s">
        <v>41</v>
      </c>
      <c r="B135" s="20" t="s">
        <v>34</v>
      </c>
      <c r="C135" s="20" t="s">
        <v>64</v>
      </c>
      <c r="D135" s="20" t="s">
        <v>63</v>
      </c>
      <c r="E135" s="20" t="s">
        <v>37</v>
      </c>
      <c r="F135" s="20" t="s">
        <v>48</v>
      </c>
      <c r="G135" s="20" t="s">
        <v>40</v>
      </c>
      <c r="H135" s="20" t="s">
        <v>38</v>
      </c>
      <c r="I135" s="21" t="s">
        <v>5</v>
      </c>
    </row>
    <row r="136" spans="1:9" ht="11.65" hidden="1" customHeight="1" x14ac:dyDescent="0.2">
      <c r="A136" s="22" t="s">
        <v>10</v>
      </c>
      <c r="B136" s="23" t="s">
        <v>10</v>
      </c>
      <c r="C136" s="60">
        <v>31500</v>
      </c>
      <c r="D136" s="53"/>
      <c r="E136" s="60">
        <v>31500</v>
      </c>
      <c r="F136" s="60"/>
      <c r="G136" s="23" t="s">
        <v>492</v>
      </c>
      <c r="H136" s="23" t="s">
        <v>493</v>
      </c>
      <c r="I136" s="24"/>
    </row>
    <row r="137" spans="1:9" ht="11.65" hidden="1" customHeight="1" x14ac:dyDescent="0.2">
      <c r="A137" s="25" t="s">
        <v>43</v>
      </c>
      <c r="B137" s="26"/>
      <c r="C137" s="64">
        <f>C136</f>
        <v>31500</v>
      </c>
      <c r="D137" s="26"/>
      <c r="E137" s="64">
        <f>E136</f>
        <v>31500</v>
      </c>
      <c r="F137" s="64">
        <f>F136</f>
        <v>0</v>
      </c>
      <c r="G137" s="26"/>
      <c r="H137" s="26"/>
      <c r="I137" s="27"/>
    </row>
    <row r="138" spans="1:9" ht="11.65" hidden="1" customHeight="1" x14ac:dyDescent="0.2">
      <c r="A138" s="34"/>
      <c r="B138" s="34"/>
      <c r="C138" s="62"/>
      <c r="D138" s="34"/>
      <c r="E138" s="62"/>
      <c r="F138" s="62"/>
      <c r="G138" s="34"/>
      <c r="H138" s="34"/>
      <c r="I138" s="34"/>
    </row>
    <row r="139" spans="1:9" ht="25.5" hidden="1" customHeight="1" x14ac:dyDescent="0.2">
      <c r="A139" s="25" t="s">
        <v>42</v>
      </c>
      <c r="B139" s="143"/>
      <c r="C139" s="147"/>
      <c r="D139" s="141"/>
      <c r="E139" s="61"/>
      <c r="F139" s="87"/>
      <c r="G139" s="143"/>
      <c r="H139" s="140"/>
      <c r="I139" s="45" t="s">
        <v>584</v>
      </c>
    </row>
    <row r="140" spans="1:9" ht="11.65" hidden="1" customHeight="1" x14ac:dyDescent="0.2">
      <c r="A140" s="155"/>
      <c r="B140" s="140" t="s">
        <v>10</v>
      </c>
      <c r="C140" s="147">
        <v>2000</v>
      </c>
      <c r="D140" s="141" t="s">
        <v>523</v>
      </c>
      <c r="E140" s="156">
        <v>2000</v>
      </c>
      <c r="F140" s="86">
        <v>0</v>
      </c>
      <c r="G140" s="140" t="s">
        <v>553</v>
      </c>
      <c r="H140" s="140" t="s">
        <v>518</v>
      </c>
      <c r="I140" s="149"/>
    </row>
    <row r="141" spans="1:9" ht="13.5" hidden="1" thickBot="1" x14ac:dyDescent="0.25">
      <c r="A141" s="29" t="s">
        <v>43</v>
      </c>
      <c r="B141" s="30"/>
      <c r="C141" s="59">
        <f>SUM(C140:C140)</f>
        <v>2000</v>
      </c>
      <c r="D141" s="30"/>
      <c r="E141" s="59">
        <f>SUM(E139:E140)</f>
        <v>2000</v>
      </c>
      <c r="F141" s="59">
        <f>SUM(F139:F140)</f>
        <v>0</v>
      </c>
      <c r="G141" s="30"/>
      <c r="H141" s="30"/>
      <c r="I141" s="31"/>
    </row>
    <row r="142" spans="1:9" ht="13.5" hidden="1" thickBot="1" x14ac:dyDescent="0.25"/>
    <row r="143" spans="1:9" ht="21" hidden="1" thickBot="1" x14ac:dyDescent="0.25">
      <c r="A143" s="489" t="s">
        <v>332</v>
      </c>
      <c r="B143" s="490"/>
      <c r="C143" s="490"/>
      <c r="D143" s="490"/>
      <c r="E143" s="490"/>
      <c r="F143" s="490"/>
      <c r="G143" s="490"/>
      <c r="H143" s="490"/>
      <c r="I143" s="491"/>
    </row>
    <row r="144" spans="1:9" ht="20.25" hidden="1" x14ac:dyDescent="0.3">
      <c r="A144" s="41"/>
      <c r="B144" s="13" t="s">
        <v>322</v>
      </c>
      <c r="C144" s="13" t="s">
        <v>324</v>
      </c>
      <c r="D144" s="13"/>
      <c r="E144" s="14"/>
      <c r="F144" s="14"/>
      <c r="G144" s="13"/>
      <c r="H144" s="13"/>
      <c r="I144" s="39"/>
    </row>
    <row r="145" spans="1:9" ht="20.25" hidden="1" x14ac:dyDescent="0.3">
      <c r="A145" s="41" t="s">
        <v>328</v>
      </c>
      <c r="B145" s="18">
        <v>31500</v>
      </c>
      <c r="C145" s="18">
        <v>31500</v>
      </c>
      <c r="D145" s="18"/>
      <c r="E145" s="14"/>
      <c r="F145" s="14"/>
      <c r="G145" s="13"/>
      <c r="H145" s="13"/>
      <c r="I145" s="39"/>
    </row>
    <row r="146" spans="1:9" ht="20.25" hidden="1" x14ac:dyDescent="0.3">
      <c r="A146" s="41" t="s">
        <v>36</v>
      </c>
      <c r="B146" s="18">
        <f xml:space="preserve"> IF(B182&gt;30000,30000,B182)</f>
        <v>0</v>
      </c>
      <c r="C146" s="18">
        <f xml:space="preserve"> IF(C182&gt;30000,30000,C182)</f>
        <v>26324.42</v>
      </c>
      <c r="D146" s="18"/>
      <c r="E146" s="14"/>
      <c r="F146" s="14"/>
      <c r="G146" s="13"/>
      <c r="H146" s="13"/>
      <c r="I146" s="39"/>
    </row>
    <row r="147" spans="1:9" ht="20.25" hidden="1" x14ac:dyDescent="0.3">
      <c r="A147" s="41" t="s">
        <v>325</v>
      </c>
      <c r="B147" s="18">
        <f>SUM(B145:B146)</f>
        <v>31500</v>
      </c>
      <c r="C147" s="18">
        <f>SUM(C145:C146)</f>
        <v>57824.42</v>
      </c>
      <c r="D147" s="130" t="s">
        <v>107</v>
      </c>
      <c r="E147" s="14"/>
      <c r="F147" s="14"/>
      <c r="G147" s="13"/>
      <c r="H147" s="13"/>
      <c r="I147" s="39"/>
    </row>
    <row r="148" spans="1:9" ht="20.25" hidden="1" x14ac:dyDescent="0.3">
      <c r="A148" s="41" t="s">
        <v>47</v>
      </c>
      <c r="B148" s="18">
        <f>IF(B183&gt;30000,30000,B183)</f>
        <v>0</v>
      </c>
      <c r="C148" s="18">
        <f>IF(C183&gt;30000,30000,C183)</f>
        <v>26324.42</v>
      </c>
      <c r="D148" s="18"/>
      <c r="E148" s="14"/>
      <c r="F148" s="14"/>
      <c r="G148" s="13"/>
      <c r="H148" s="13"/>
      <c r="I148" s="39"/>
    </row>
    <row r="149" spans="1:9" ht="20.25" hidden="1" x14ac:dyDescent="0.3">
      <c r="A149" s="41" t="s">
        <v>45</v>
      </c>
      <c r="B149" s="18">
        <f>B148+B145</f>
        <v>31500</v>
      </c>
      <c r="C149" s="18">
        <f>C148+C145</f>
        <v>57824.42</v>
      </c>
      <c r="D149" s="151" t="s">
        <v>108</v>
      </c>
      <c r="E149" s="14"/>
      <c r="F149" s="14"/>
      <c r="G149" s="13"/>
      <c r="H149" s="13"/>
      <c r="I149" s="39"/>
    </row>
    <row r="150" spans="1:9" ht="20.25" hidden="1" x14ac:dyDescent="0.3">
      <c r="A150" s="41" t="s">
        <v>39</v>
      </c>
      <c r="B150" s="18">
        <f>B147-E155</f>
        <v>0</v>
      </c>
      <c r="C150" s="18">
        <f>C147-E173</f>
        <v>26965.42</v>
      </c>
      <c r="D150" s="151" t="s">
        <v>109</v>
      </c>
      <c r="E150" s="14"/>
      <c r="F150" s="14"/>
      <c r="G150" s="13"/>
      <c r="H150" s="13"/>
      <c r="I150" s="39"/>
    </row>
    <row r="151" spans="1:9" hidden="1" x14ac:dyDescent="0.2">
      <c r="A151" s="41" t="s">
        <v>35</v>
      </c>
      <c r="B151" s="40">
        <f>B149-E155-F155</f>
        <v>0</v>
      </c>
      <c r="C151" s="47">
        <f>C149-E173-F173</f>
        <v>16260.419999999998</v>
      </c>
      <c r="D151" s="493" t="s">
        <v>110</v>
      </c>
      <c r="E151" s="503"/>
      <c r="F151" s="503"/>
      <c r="G151" s="503"/>
      <c r="H151" s="13"/>
      <c r="I151" s="39"/>
    </row>
    <row r="152" spans="1:9" ht="21" hidden="1" thickBot="1" x14ac:dyDescent="0.35">
      <c r="A152" s="41"/>
      <c r="B152" s="13"/>
      <c r="C152" s="13"/>
      <c r="D152" s="13"/>
      <c r="E152" s="14"/>
      <c r="F152" s="14"/>
      <c r="G152" s="13"/>
      <c r="H152" s="13"/>
      <c r="I152" s="39"/>
    </row>
    <row r="153" spans="1:9" ht="51" hidden="1" x14ac:dyDescent="0.2">
      <c r="A153" s="19" t="s">
        <v>41</v>
      </c>
      <c r="B153" s="20" t="s">
        <v>34</v>
      </c>
      <c r="C153" s="20" t="s">
        <v>64</v>
      </c>
      <c r="D153" s="20" t="s">
        <v>63</v>
      </c>
      <c r="E153" s="20" t="s">
        <v>37</v>
      </c>
      <c r="F153" s="20" t="s">
        <v>48</v>
      </c>
      <c r="G153" s="20" t="s">
        <v>40</v>
      </c>
      <c r="H153" s="20" t="s">
        <v>38</v>
      </c>
      <c r="I153" s="21" t="s">
        <v>5</v>
      </c>
    </row>
    <row r="154" spans="1:9" hidden="1" x14ac:dyDescent="0.2">
      <c r="A154" s="22" t="s">
        <v>10</v>
      </c>
      <c r="B154" s="23" t="s">
        <v>10</v>
      </c>
      <c r="C154" s="60">
        <v>31500</v>
      </c>
      <c r="D154" s="53">
        <v>42740</v>
      </c>
      <c r="E154" s="60">
        <v>31500</v>
      </c>
      <c r="F154" s="60"/>
      <c r="G154" s="23" t="s">
        <v>356</v>
      </c>
      <c r="H154" s="23" t="s">
        <v>357</v>
      </c>
      <c r="I154" s="24"/>
    </row>
    <row r="155" spans="1:9" hidden="1" x14ac:dyDescent="0.2">
      <c r="A155" s="25" t="s">
        <v>43</v>
      </c>
      <c r="B155" s="26"/>
      <c r="C155" s="64">
        <f>C154</f>
        <v>31500</v>
      </c>
      <c r="D155" s="26"/>
      <c r="E155" s="64">
        <f>E154</f>
        <v>31500</v>
      </c>
      <c r="F155" s="64">
        <f>F154</f>
        <v>0</v>
      </c>
      <c r="G155" s="26"/>
      <c r="H155" s="26"/>
      <c r="I155" s="27"/>
    </row>
    <row r="156" spans="1:9" hidden="1" x14ac:dyDescent="0.2">
      <c r="A156" s="34"/>
      <c r="B156" s="34"/>
      <c r="C156" s="62"/>
      <c r="D156" s="34"/>
      <c r="E156" s="62"/>
      <c r="F156" s="62"/>
      <c r="G156" s="34"/>
      <c r="H156" s="34"/>
      <c r="I156" s="34"/>
    </row>
    <row r="157" spans="1:9" hidden="1" x14ac:dyDescent="0.2">
      <c r="A157" s="25" t="s">
        <v>42</v>
      </c>
      <c r="B157" s="143"/>
      <c r="C157" s="147"/>
      <c r="D157" s="141"/>
      <c r="E157" s="61"/>
      <c r="F157" s="87"/>
      <c r="G157" s="143"/>
      <c r="H157" s="140"/>
      <c r="I157" s="84"/>
    </row>
    <row r="158" spans="1:9" hidden="1" x14ac:dyDescent="0.2">
      <c r="A158" s="155"/>
      <c r="B158" s="140" t="s">
        <v>10</v>
      </c>
      <c r="C158" s="147">
        <v>5000</v>
      </c>
      <c r="D158" s="141" t="s">
        <v>369</v>
      </c>
      <c r="E158" s="156">
        <v>591</v>
      </c>
      <c r="F158" s="86">
        <f>C158-E158</f>
        <v>4409</v>
      </c>
      <c r="G158" s="140" t="s">
        <v>447</v>
      </c>
      <c r="H158" s="140" t="s">
        <v>364</v>
      </c>
      <c r="I158" s="149"/>
    </row>
    <row r="159" spans="1:9" hidden="1" x14ac:dyDescent="0.2">
      <c r="A159" s="155"/>
      <c r="B159" s="140"/>
      <c r="C159" s="147"/>
      <c r="D159" s="141"/>
      <c r="E159" s="156"/>
      <c r="F159" s="86">
        <v>-4409</v>
      </c>
      <c r="G159" s="140"/>
      <c r="H159" s="140"/>
      <c r="I159" s="149" t="s">
        <v>444</v>
      </c>
    </row>
    <row r="160" spans="1:9" hidden="1" x14ac:dyDescent="0.2">
      <c r="A160" s="155"/>
      <c r="B160" s="140" t="s">
        <v>10</v>
      </c>
      <c r="C160" s="147">
        <v>3000</v>
      </c>
      <c r="D160" s="141" t="s">
        <v>371</v>
      </c>
      <c r="E160" s="156">
        <v>3000</v>
      </c>
      <c r="F160" s="86">
        <f>C160-E160</f>
        <v>0</v>
      </c>
      <c r="G160" s="223" t="s">
        <v>506</v>
      </c>
      <c r="H160" s="140" t="s">
        <v>365</v>
      </c>
      <c r="I160" s="85"/>
    </row>
    <row r="161" spans="1:9" hidden="1" x14ac:dyDescent="0.2">
      <c r="A161" s="155"/>
      <c r="B161" s="140" t="s">
        <v>10</v>
      </c>
      <c r="C161" s="147">
        <v>4000</v>
      </c>
      <c r="D161" s="141" t="s">
        <v>372</v>
      </c>
      <c r="E161" s="147">
        <v>4000</v>
      </c>
      <c r="F161" s="86">
        <f>C161-E161</f>
        <v>0</v>
      </c>
      <c r="G161" s="140" t="s">
        <v>426</v>
      </c>
      <c r="H161" s="140" t="s">
        <v>366</v>
      </c>
      <c r="I161" s="149"/>
    </row>
    <row r="162" spans="1:9" hidden="1" x14ac:dyDescent="0.2">
      <c r="A162" s="155"/>
      <c r="B162" s="172" t="s">
        <v>10</v>
      </c>
      <c r="C162" s="147">
        <v>10000</v>
      </c>
      <c r="D162" s="172" t="s">
        <v>422</v>
      </c>
      <c r="E162" s="147">
        <v>4003</v>
      </c>
      <c r="F162" s="86">
        <f>C162-E162</f>
        <v>5997</v>
      </c>
      <c r="G162" s="172" t="s">
        <v>433</v>
      </c>
      <c r="H162" s="172" t="s">
        <v>420</v>
      </c>
      <c r="I162" s="149"/>
    </row>
    <row r="163" spans="1:9" hidden="1" x14ac:dyDescent="0.2">
      <c r="A163" s="155"/>
      <c r="B163" s="176"/>
      <c r="C163" s="147"/>
      <c r="D163" s="176"/>
      <c r="E163" s="197"/>
      <c r="F163" s="86">
        <v>-5997</v>
      </c>
      <c r="G163" s="176"/>
      <c r="H163" s="176"/>
      <c r="I163" s="149"/>
    </row>
    <row r="164" spans="1:9" hidden="1" x14ac:dyDescent="0.2">
      <c r="A164" s="155"/>
      <c r="B164" s="176" t="s">
        <v>10</v>
      </c>
      <c r="C164" s="147">
        <v>4800</v>
      </c>
      <c r="D164" s="176" t="s">
        <v>423</v>
      </c>
      <c r="E164" s="147">
        <v>4440</v>
      </c>
      <c r="F164" s="86">
        <f>C164-E164</f>
        <v>360</v>
      </c>
      <c r="G164" s="176" t="s">
        <v>430</v>
      </c>
      <c r="H164" s="176" t="s">
        <v>421</v>
      </c>
      <c r="I164" s="149"/>
    </row>
    <row r="165" spans="1:9" hidden="1" x14ac:dyDescent="0.2">
      <c r="A165" s="155"/>
      <c r="B165" s="176"/>
      <c r="C165" s="147"/>
      <c r="D165" s="176"/>
      <c r="E165" s="147"/>
      <c r="F165" s="86">
        <v>-360</v>
      </c>
      <c r="G165" s="176"/>
      <c r="H165" s="176"/>
      <c r="I165" s="149"/>
    </row>
    <row r="166" spans="1:9" hidden="1" x14ac:dyDescent="0.2">
      <c r="A166" s="155"/>
      <c r="B166" s="176" t="s">
        <v>10</v>
      </c>
      <c r="C166" s="147">
        <v>15000</v>
      </c>
      <c r="D166" s="176" t="s">
        <v>466</v>
      </c>
      <c r="E166" s="147">
        <v>3920</v>
      </c>
      <c r="F166" s="86">
        <f>C166-E166</f>
        <v>11080</v>
      </c>
      <c r="G166" s="176" t="s">
        <v>547</v>
      </c>
      <c r="H166" s="176" t="s">
        <v>465</v>
      </c>
      <c r="I166" s="149"/>
    </row>
    <row r="167" spans="1:9" hidden="1" x14ac:dyDescent="0.2">
      <c r="A167" s="155"/>
      <c r="B167" s="176"/>
      <c r="C167" s="147"/>
      <c r="D167" s="176"/>
      <c r="E167" s="147"/>
      <c r="F167" s="86">
        <v>-11080</v>
      </c>
      <c r="G167" s="176"/>
      <c r="H167" s="176"/>
      <c r="I167" s="149" t="s">
        <v>444</v>
      </c>
    </row>
    <row r="168" spans="1:9" hidden="1" x14ac:dyDescent="0.2">
      <c r="A168" s="155"/>
      <c r="B168" s="178" t="s">
        <v>10</v>
      </c>
      <c r="C168" s="147">
        <v>4000</v>
      </c>
      <c r="D168" s="178" t="s">
        <v>502</v>
      </c>
      <c r="E168" s="147">
        <v>1610</v>
      </c>
      <c r="F168" s="86">
        <v>2390</v>
      </c>
      <c r="G168" s="176" t="s">
        <v>593</v>
      </c>
      <c r="H168" s="178" t="s">
        <v>503</v>
      </c>
      <c r="I168" s="149"/>
    </row>
    <row r="169" spans="1:9" hidden="1" x14ac:dyDescent="0.2">
      <c r="A169" s="155"/>
      <c r="B169" s="178"/>
      <c r="C169" s="147"/>
      <c r="D169" s="178"/>
      <c r="E169" s="147"/>
      <c r="F169" s="86">
        <v>-2390</v>
      </c>
      <c r="G169" s="176"/>
      <c r="H169" s="178"/>
      <c r="I169" s="149" t="s">
        <v>444</v>
      </c>
    </row>
    <row r="170" spans="1:9" hidden="1" x14ac:dyDescent="0.2">
      <c r="A170" s="155"/>
      <c r="B170" s="176" t="s">
        <v>10</v>
      </c>
      <c r="C170" s="147">
        <v>20000</v>
      </c>
      <c r="D170" s="176" t="s">
        <v>437</v>
      </c>
      <c r="E170" s="147">
        <v>9295</v>
      </c>
      <c r="F170" s="86">
        <f>C170-E170</f>
        <v>10705</v>
      </c>
      <c r="G170" s="176" t="s">
        <v>467</v>
      </c>
      <c r="H170" s="176" t="s">
        <v>436</v>
      </c>
      <c r="I170" s="149" t="s">
        <v>281</v>
      </c>
    </row>
    <row r="171" spans="1:9" hidden="1" x14ac:dyDescent="0.2">
      <c r="A171" s="155"/>
      <c r="B171" s="176"/>
      <c r="C171" s="147"/>
      <c r="D171" s="176"/>
      <c r="E171" s="147">
        <v>4510</v>
      </c>
      <c r="F171" s="86">
        <f>F170-E171</f>
        <v>6195</v>
      </c>
      <c r="G171" s="178" t="s">
        <v>544</v>
      </c>
      <c r="H171" s="176"/>
      <c r="I171" s="149" t="s">
        <v>543</v>
      </c>
    </row>
    <row r="172" spans="1:9" hidden="1" x14ac:dyDescent="0.2">
      <c r="A172" s="155"/>
      <c r="B172" s="176"/>
      <c r="C172" s="147"/>
      <c r="D172" s="176"/>
      <c r="E172" s="147"/>
      <c r="F172" s="86">
        <v>-6195</v>
      </c>
      <c r="G172" s="176"/>
      <c r="H172" s="176"/>
      <c r="I172" s="149" t="s">
        <v>515</v>
      </c>
    </row>
    <row r="173" spans="1:9" ht="13.5" hidden="1" thickBot="1" x14ac:dyDescent="0.25">
      <c r="A173" s="29" t="s">
        <v>43</v>
      </c>
      <c r="B173" s="30"/>
      <c r="C173" s="59">
        <f>SUM(C158:C170)</f>
        <v>65800</v>
      </c>
      <c r="D173" s="30"/>
      <c r="E173" s="59">
        <f>SUM(E157:E170)</f>
        <v>30859</v>
      </c>
      <c r="F173" s="59">
        <f>SUM(F157:F170)</f>
        <v>10705</v>
      </c>
      <c r="G173" s="30"/>
      <c r="H173" s="30"/>
      <c r="I173" s="31"/>
    </row>
    <row r="174" spans="1:9" ht="13.5" hidden="1" thickBot="1" x14ac:dyDescent="0.25"/>
    <row r="175" spans="1:9" ht="21" hidden="1" thickBot="1" x14ac:dyDescent="0.25">
      <c r="A175" s="489" t="s">
        <v>219</v>
      </c>
      <c r="B175" s="490"/>
      <c r="C175" s="490"/>
      <c r="D175" s="490"/>
      <c r="E175" s="490"/>
      <c r="F175" s="490"/>
      <c r="G175" s="490"/>
      <c r="H175" s="490"/>
      <c r="I175" s="491"/>
    </row>
    <row r="176" spans="1:9" ht="20.25" hidden="1" x14ac:dyDescent="0.3">
      <c r="A176" s="41"/>
      <c r="B176" s="13" t="s">
        <v>208</v>
      </c>
      <c r="C176" s="13" t="s">
        <v>210</v>
      </c>
      <c r="D176" s="13"/>
      <c r="E176" s="14"/>
      <c r="F176" s="14"/>
      <c r="G176" s="13"/>
      <c r="H176" s="13"/>
      <c r="I176" s="39"/>
    </row>
    <row r="177" spans="1:9" ht="20.25" hidden="1" x14ac:dyDescent="0.3">
      <c r="A177" s="41" t="s">
        <v>214</v>
      </c>
      <c r="B177" s="18">
        <v>31500</v>
      </c>
      <c r="C177" s="18">
        <v>31500</v>
      </c>
      <c r="D177" s="18"/>
      <c r="E177" s="14"/>
      <c r="F177" s="14"/>
      <c r="G177" s="13"/>
      <c r="H177" s="13"/>
      <c r="I177" s="39"/>
    </row>
    <row r="178" spans="1:9" ht="20.25" hidden="1" x14ac:dyDescent="0.3">
      <c r="A178" s="41" t="s">
        <v>36</v>
      </c>
      <c r="B178" s="18">
        <f>IF(B204&gt;30000,30000, B204)</f>
        <v>0</v>
      </c>
      <c r="C178" s="18">
        <f>IF(C205&gt;30000,30000, C205)</f>
        <v>30000</v>
      </c>
      <c r="D178" s="18"/>
      <c r="E178" s="14"/>
      <c r="F178" s="14"/>
      <c r="G178" s="13"/>
      <c r="H178" s="13"/>
      <c r="I178" s="39"/>
    </row>
    <row r="179" spans="1:9" ht="20.25" hidden="1" x14ac:dyDescent="0.3">
      <c r="A179" s="41" t="s">
        <v>211</v>
      </c>
      <c r="B179" s="18">
        <f>SUM(B177:B178)</f>
        <v>31500</v>
      </c>
      <c r="C179" s="18">
        <f>SUM(C177:C178)</f>
        <v>61500</v>
      </c>
      <c r="D179" s="130" t="s">
        <v>107</v>
      </c>
      <c r="E179" s="14"/>
      <c r="F179" s="14"/>
      <c r="G179" s="13"/>
      <c r="H179" s="13"/>
      <c r="I179" s="39"/>
    </row>
    <row r="180" spans="1:9" ht="20.25" hidden="1" x14ac:dyDescent="0.3">
      <c r="A180" s="41" t="s">
        <v>47</v>
      </c>
      <c r="B180" s="18">
        <f>IF(B205&gt;30000,30000,B205)</f>
        <v>0</v>
      </c>
      <c r="C180" s="18">
        <f>IF(C205&gt;30000,30000,C205)</f>
        <v>30000</v>
      </c>
      <c r="D180" s="18"/>
      <c r="E180" s="14"/>
      <c r="F180" s="14"/>
      <c r="G180" s="13"/>
      <c r="H180" s="13"/>
      <c r="I180" s="39"/>
    </row>
    <row r="181" spans="1:9" ht="20.25" hidden="1" x14ac:dyDescent="0.3">
      <c r="A181" s="41" t="s">
        <v>45</v>
      </c>
      <c r="B181" s="18">
        <f>B180+B177</f>
        <v>31500</v>
      </c>
      <c r="C181" s="18">
        <f>C180+C177</f>
        <v>61500</v>
      </c>
      <c r="D181" s="151" t="s">
        <v>108</v>
      </c>
      <c r="E181" s="14"/>
      <c r="F181" s="14"/>
      <c r="G181" s="13"/>
      <c r="H181" s="13"/>
      <c r="I181" s="39"/>
    </row>
    <row r="182" spans="1:9" ht="20.25" hidden="1" x14ac:dyDescent="0.3">
      <c r="A182" s="41" t="s">
        <v>39</v>
      </c>
      <c r="B182" s="18">
        <f>B179-E187</f>
        <v>0</v>
      </c>
      <c r="C182" s="18">
        <f>C179-E195</f>
        <v>26324.42</v>
      </c>
      <c r="D182" s="151" t="s">
        <v>109</v>
      </c>
      <c r="E182" s="14"/>
      <c r="F182" s="14"/>
      <c r="G182" s="13"/>
      <c r="H182" s="13"/>
      <c r="I182" s="39"/>
    </row>
    <row r="183" spans="1:9" hidden="1" x14ac:dyDescent="0.2">
      <c r="A183" s="41" t="s">
        <v>35</v>
      </c>
      <c r="B183" s="40">
        <f>B181-E187-F187</f>
        <v>0</v>
      </c>
      <c r="C183" s="47">
        <f>C181-E195-F195</f>
        <v>26324.42</v>
      </c>
      <c r="D183" s="493" t="s">
        <v>110</v>
      </c>
      <c r="E183" s="503"/>
      <c r="F183" s="503"/>
      <c r="G183" s="503"/>
      <c r="H183" s="13"/>
      <c r="I183" s="39"/>
    </row>
    <row r="184" spans="1:9" ht="21" hidden="1" thickBot="1" x14ac:dyDescent="0.35">
      <c r="A184" s="41"/>
      <c r="B184" s="13"/>
      <c r="C184" s="13"/>
      <c r="D184" s="13"/>
      <c r="E184" s="14"/>
      <c r="F184" s="14"/>
      <c r="G184" s="13"/>
      <c r="H184" s="13"/>
      <c r="I184" s="39"/>
    </row>
    <row r="185" spans="1:9" ht="51" hidden="1" x14ac:dyDescent="0.2">
      <c r="A185" s="19" t="s">
        <v>41</v>
      </c>
      <c r="B185" s="20" t="s">
        <v>34</v>
      </c>
      <c r="C185" s="20" t="s">
        <v>64</v>
      </c>
      <c r="D185" s="20" t="s">
        <v>63</v>
      </c>
      <c r="E185" s="20" t="s">
        <v>37</v>
      </c>
      <c r="F185" s="20" t="s">
        <v>48</v>
      </c>
      <c r="G185" s="20" t="s">
        <v>40</v>
      </c>
      <c r="H185" s="20" t="s">
        <v>38</v>
      </c>
      <c r="I185" s="21" t="s">
        <v>5</v>
      </c>
    </row>
    <row r="186" spans="1:9" hidden="1" x14ac:dyDescent="0.2">
      <c r="A186" s="22" t="s">
        <v>10</v>
      </c>
      <c r="B186" s="23" t="s">
        <v>10</v>
      </c>
      <c r="C186" s="60">
        <v>31500</v>
      </c>
      <c r="D186" s="53">
        <v>42403</v>
      </c>
      <c r="E186" s="60">
        <v>31500</v>
      </c>
      <c r="F186" s="60">
        <v>0</v>
      </c>
      <c r="G186" s="23" t="s">
        <v>294</v>
      </c>
      <c r="H186" s="23" t="s">
        <v>237</v>
      </c>
      <c r="I186" s="24"/>
    </row>
    <row r="187" spans="1:9" hidden="1" x14ac:dyDescent="0.2">
      <c r="A187" s="25" t="s">
        <v>43</v>
      </c>
      <c r="B187" s="26"/>
      <c r="C187" s="64">
        <f>C186</f>
        <v>31500</v>
      </c>
      <c r="D187" s="26"/>
      <c r="E187" s="64">
        <f>E186</f>
        <v>31500</v>
      </c>
      <c r="F187" s="64">
        <f>F186</f>
        <v>0</v>
      </c>
      <c r="G187" s="26"/>
      <c r="H187" s="26"/>
      <c r="I187" s="27"/>
    </row>
    <row r="188" spans="1:9" hidden="1" x14ac:dyDescent="0.2">
      <c r="A188" s="34"/>
      <c r="B188" s="34"/>
      <c r="C188" s="62"/>
      <c r="D188" s="34"/>
      <c r="E188" s="62"/>
      <c r="F188" s="62"/>
      <c r="G188" s="34"/>
      <c r="H188" s="34"/>
      <c r="I188" s="34"/>
    </row>
    <row r="189" spans="1:9" hidden="1" x14ac:dyDescent="0.2">
      <c r="A189" s="25" t="s">
        <v>42</v>
      </c>
      <c r="B189" s="143"/>
      <c r="C189" s="147"/>
      <c r="D189" s="141"/>
      <c r="E189" s="61"/>
      <c r="F189" s="87"/>
      <c r="G189" s="143"/>
      <c r="H189" s="140"/>
      <c r="I189" s="84"/>
    </row>
    <row r="190" spans="1:9" hidden="1" x14ac:dyDescent="0.2">
      <c r="A190" s="155"/>
      <c r="B190" s="140" t="s">
        <v>10</v>
      </c>
      <c r="C190" s="147">
        <v>30000</v>
      </c>
      <c r="D190" s="141" t="s">
        <v>279</v>
      </c>
      <c r="E190" s="156">
        <v>30000</v>
      </c>
      <c r="F190" s="86">
        <f>C190-E190</f>
        <v>0</v>
      </c>
      <c r="G190" s="140" t="s">
        <v>292</v>
      </c>
      <c r="H190" s="140" t="s">
        <v>245</v>
      </c>
      <c r="I190" s="149" t="s">
        <v>100</v>
      </c>
    </row>
    <row r="191" spans="1:9" hidden="1" x14ac:dyDescent="0.2">
      <c r="A191" s="155"/>
      <c r="B191" s="140" t="s">
        <v>10</v>
      </c>
      <c r="C191" s="147">
        <v>6000</v>
      </c>
      <c r="D191" s="141" t="s">
        <v>248</v>
      </c>
      <c r="E191" s="156">
        <v>2774.58</v>
      </c>
      <c r="F191" s="86">
        <f>C191-E191-E192</f>
        <v>2768.42</v>
      </c>
      <c r="G191" s="140" t="s">
        <v>451</v>
      </c>
      <c r="H191" s="140" t="s">
        <v>247</v>
      </c>
      <c r="I191" s="149" t="s">
        <v>188</v>
      </c>
    </row>
    <row r="192" spans="1:9" hidden="1" x14ac:dyDescent="0.2">
      <c r="A192" s="155"/>
      <c r="B192" s="140"/>
      <c r="C192" s="147"/>
      <c r="D192" s="141"/>
      <c r="E192" s="156">
        <v>457</v>
      </c>
      <c r="F192" s="86">
        <v>-2768.42</v>
      </c>
      <c r="G192" s="232" t="s">
        <v>580</v>
      </c>
      <c r="H192" s="140"/>
      <c r="I192" s="149" t="s">
        <v>578</v>
      </c>
    </row>
    <row r="193" spans="1:9" hidden="1" x14ac:dyDescent="0.2">
      <c r="A193" s="155"/>
      <c r="B193" s="494" t="s">
        <v>10</v>
      </c>
      <c r="C193" s="502">
        <v>2000</v>
      </c>
      <c r="D193" s="498" t="s">
        <v>249</v>
      </c>
      <c r="E193" s="502">
        <v>1944</v>
      </c>
      <c r="F193" s="86">
        <f>C193-E193</f>
        <v>56</v>
      </c>
      <c r="G193" s="494" t="s">
        <v>290</v>
      </c>
      <c r="H193" s="494" t="s">
        <v>193</v>
      </c>
      <c r="I193" s="149" t="s">
        <v>287</v>
      </c>
    </row>
    <row r="194" spans="1:9" hidden="1" x14ac:dyDescent="0.2">
      <c r="A194" s="155"/>
      <c r="B194" s="495"/>
      <c r="C194" s="497"/>
      <c r="D194" s="495"/>
      <c r="E194" s="497"/>
      <c r="F194" s="86">
        <v>-56</v>
      </c>
      <c r="G194" s="495"/>
      <c r="H194" s="495"/>
      <c r="I194" s="149" t="s">
        <v>288</v>
      </c>
    </row>
    <row r="195" spans="1:9" ht="13.5" hidden="1" thickBot="1" x14ac:dyDescent="0.25">
      <c r="A195" s="29" t="s">
        <v>43</v>
      </c>
      <c r="B195" s="30"/>
      <c r="C195" s="59">
        <f>SUM(C190:C194)</f>
        <v>38000</v>
      </c>
      <c r="D195" s="30"/>
      <c r="E195" s="59">
        <f>SUM(E189:E194)</f>
        <v>35175.58</v>
      </c>
      <c r="F195" s="59">
        <f>SUM(F189:F194)</f>
        <v>0</v>
      </c>
      <c r="G195" s="30"/>
      <c r="H195" s="30"/>
      <c r="I195" s="31"/>
    </row>
    <row r="196" spans="1:9" ht="13.5" hidden="1" thickBot="1" x14ac:dyDescent="0.25"/>
    <row r="197" spans="1:9" ht="21" hidden="1" thickBot="1" x14ac:dyDescent="0.25">
      <c r="A197" s="489" t="s">
        <v>128</v>
      </c>
      <c r="B197" s="490"/>
      <c r="C197" s="490"/>
      <c r="D197" s="490"/>
      <c r="E197" s="490"/>
      <c r="F197" s="490"/>
      <c r="G197" s="490"/>
      <c r="H197" s="490"/>
      <c r="I197" s="491"/>
    </row>
    <row r="198" spans="1:9" ht="20.25" hidden="1" x14ac:dyDescent="0.3">
      <c r="A198" s="41"/>
      <c r="B198" s="13" t="s">
        <v>118</v>
      </c>
      <c r="C198" s="13" t="s">
        <v>120</v>
      </c>
      <c r="D198" s="13"/>
      <c r="E198" s="14"/>
      <c r="F198" s="14"/>
      <c r="G198" s="13"/>
      <c r="H198" s="13"/>
      <c r="I198" s="39"/>
    </row>
    <row r="199" spans="1:9" ht="20.25" hidden="1" x14ac:dyDescent="0.3">
      <c r="A199" s="41" t="s">
        <v>124</v>
      </c>
      <c r="B199" s="18">
        <v>30000</v>
      </c>
      <c r="C199" s="18">
        <v>30000</v>
      </c>
      <c r="D199" s="18"/>
      <c r="E199" s="14"/>
      <c r="F199" s="14"/>
      <c r="G199" s="13"/>
      <c r="H199" s="13"/>
      <c r="I199" s="39"/>
    </row>
    <row r="200" spans="1:9" ht="20.25" hidden="1" x14ac:dyDescent="0.3">
      <c r="A200" s="41" t="s">
        <v>36</v>
      </c>
      <c r="B200" s="18">
        <v>0</v>
      </c>
      <c r="C200" s="18">
        <v>30000</v>
      </c>
      <c r="D200" s="18"/>
      <c r="E200" s="14"/>
      <c r="F200" s="14"/>
      <c r="G200" s="13"/>
      <c r="H200" s="13"/>
      <c r="I200" s="39"/>
    </row>
    <row r="201" spans="1:9" ht="20.25" hidden="1" x14ac:dyDescent="0.3">
      <c r="A201" s="41" t="s">
        <v>121</v>
      </c>
      <c r="B201" s="18">
        <f>SUM(B199:B200)</f>
        <v>30000</v>
      </c>
      <c r="C201" s="18">
        <f>SUM(C199:C200)</f>
        <v>60000</v>
      </c>
      <c r="D201" s="130" t="s">
        <v>107</v>
      </c>
      <c r="E201" s="14"/>
      <c r="F201" s="14"/>
      <c r="G201" s="13"/>
      <c r="H201" s="13"/>
      <c r="I201" s="39"/>
    </row>
    <row r="202" spans="1:9" ht="20.25" hidden="1" x14ac:dyDescent="0.3">
      <c r="A202" s="41" t="s">
        <v>47</v>
      </c>
      <c r="B202" s="18">
        <v>0</v>
      </c>
      <c r="C202" s="18">
        <v>30000</v>
      </c>
      <c r="D202" s="18"/>
      <c r="E202" s="14"/>
      <c r="F202" s="14"/>
      <c r="G202" s="13"/>
      <c r="H202" s="13"/>
      <c r="I202" s="39"/>
    </row>
    <row r="203" spans="1:9" ht="20.25" hidden="1" x14ac:dyDescent="0.3">
      <c r="A203" s="41" t="s">
        <v>45</v>
      </c>
      <c r="B203" s="18">
        <f>B202+B199</f>
        <v>30000</v>
      </c>
      <c r="C203" s="18">
        <f>C202+C199</f>
        <v>60000</v>
      </c>
      <c r="D203" s="151" t="s">
        <v>108</v>
      </c>
      <c r="E203" s="14"/>
      <c r="F203" s="14"/>
      <c r="G203" s="13"/>
      <c r="H203" s="13"/>
      <c r="I203" s="39"/>
    </row>
    <row r="204" spans="1:9" ht="20.25" hidden="1" x14ac:dyDescent="0.3">
      <c r="A204" s="41" t="s">
        <v>39</v>
      </c>
      <c r="B204" s="18">
        <f>B201-E209</f>
        <v>0</v>
      </c>
      <c r="C204" s="18">
        <f>C201-E215</f>
        <v>49216</v>
      </c>
      <c r="D204" s="151" t="s">
        <v>109</v>
      </c>
      <c r="E204" s="14"/>
      <c r="F204" s="14"/>
      <c r="G204" s="13"/>
      <c r="H204" s="13"/>
      <c r="I204" s="39"/>
    </row>
    <row r="205" spans="1:9" hidden="1" x14ac:dyDescent="0.2">
      <c r="A205" s="41" t="s">
        <v>35</v>
      </c>
      <c r="B205" s="40">
        <f>B203-E209-F209</f>
        <v>0</v>
      </c>
      <c r="C205" s="47">
        <f>C203-E215-F215</f>
        <v>49216</v>
      </c>
      <c r="D205" s="493" t="s">
        <v>110</v>
      </c>
      <c r="E205" s="503"/>
      <c r="F205" s="503"/>
      <c r="G205" s="503"/>
      <c r="H205" s="13"/>
      <c r="I205" s="39"/>
    </row>
    <row r="206" spans="1:9" ht="21" hidden="1" thickBot="1" x14ac:dyDescent="0.35">
      <c r="A206" s="41"/>
      <c r="B206" s="13"/>
      <c r="C206" s="13"/>
      <c r="D206" s="13"/>
      <c r="E206" s="14"/>
      <c r="F206" s="14"/>
      <c r="G206" s="13"/>
      <c r="H206" s="13"/>
      <c r="I206" s="39"/>
    </row>
    <row r="207" spans="1:9" ht="51" hidden="1" x14ac:dyDescent="0.2">
      <c r="A207" s="19" t="s">
        <v>41</v>
      </c>
      <c r="B207" s="20" t="s">
        <v>34</v>
      </c>
      <c r="C207" s="20" t="s">
        <v>64</v>
      </c>
      <c r="D207" s="20" t="s">
        <v>63</v>
      </c>
      <c r="E207" s="20" t="s">
        <v>37</v>
      </c>
      <c r="F207" s="20" t="s">
        <v>48</v>
      </c>
      <c r="G207" s="20" t="s">
        <v>40</v>
      </c>
      <c r="H207" s="20" t="s">
        <v>38</v>
      </c>
      <c r="I207" s="21" t="s">
        <v>5</v>
      </c>
    </row>
    <row r="208" spans="1:9" hidden="1" x14ac:dyDescent="0.2">
      <c r="A208" s="22" t="s">
        <v>10</v>
      </c>
      <c r="B208" s="23" t="s">
        <v>10</v>
      </c>
      <c r="C208" s="60">
        <v>30000</v>
      </c>
      <c r="D208" s="53">
        <v>42006</v>
      </c>
      <c r="E208" s="60">
        <v>30000</v>
      </c>
      <c r="F208" s="60"/>
      <c r="G208" s="23" t="s">
        <v>140</v>
      </c>
      <c r="H208" s="23" t="s">
        <v>137</v>
      </c>
      <c r="I208" s="24"/>
    </row>
    <row r="209" spans="1:14" hidden="1" x14ac:dyDescent="0.2">
      <c r="A209" s="25" t="s">
        <v>43</v>
      </c>
      <c r="B209" s="26"/>
      <c r="C209" s="64">
        <f>C208</f>
        <v>30000</v>
      </c>
      <c r="D209" s="26"/>
      <c r="E209" s="64">
        <f>E208</f>
        <v>30000</v>
      </c>
      <c r="F209" s="64">
        <f>F208</f>
        <v>0</v>
      </c>
      <c r="G209" s="26"/>
      <c r="H209" s="26"/>
      <c r="I209" s="27"/>
    </row>
    <row r="210" spans="1:14" hidden="1" x14ac:dyDescent="0.2">
      <c r="A210" s="34"/>
      <c r="B210" s="34"/>
      <c r="C210" s="62"/>
      <c r="D210" s="34"/>
      <c r="E210" s="62"/>
      <c r="F210" s="62"/>
      <c r="G210" s="34"/>
      <c r="H210" s="34"/>
      <c r="I210" s="34"/>
    </row>
    <row r="211" spans="1:14" hidden="1" x14ac:dyDescent="0.2">
      <c r="A211" s="25" t="s">
        <v>42</v>
      </c>
      <c r="B211" s="143"/>
      <c r="C211" s="147"/>
      <c r="D211" s="141"/>
      <c r="E211" s="61"/>
      <c r="F211" s="87"/>
      <c r="G211" s="143"/>
      <c r="H211" s="140"/>
      <c r="I211" s="84"/>
    </row>
    <row r="212" spans="1:14" hidden="1" x14ac:dyDescent="0.2">
      <c r="A212" s="155"/>
      <c r="B212" s="494" t="s">
        <v>10</v>
      </c>
      <c r="C212" s="502">
        <v>15000</v>
      </c>
      <c r="D212" s="498" t="s">
        <v>176</v>
      </c>
      <c r="E212" s="502">
        <v>7784</v>
      </c>
      <c r="F212" s="174">
        <f>C212-E212</f>
        <v>7216</v>
      </c>
      <c r="G212" s="494" t="s">
        <v>293</v>
      </c>
      <c r="H212" s="494" t="s">
        <v>174</v>
      </c>
      <c r="I212" s="175" t="s">
        <v>100</v>
      </c>
    </row>
    <row r="213" spans="1:14" hidden="1" x14ac:dyDescent="0.2">
      <c r="A213" s="155"/>
      <c r="B213" s="495"/>
      <c r="C213" s="497"/>
      <c r="D213" s="495"/>
      <c r="E213" s="497"/>
      <c r="F213" s="174">
        <v>-7216</v>
      </c>
      <c r="G213" s="495"/>
      <c r="H213" s="495"/>
      <c r="I213" s="175" t="s">
        <v>286</v>
      </c>
    </row>
    <row r="214" spans="1:14" hidden="1" x14ac:dyDescent="0.2">
      <c r="A214" s="155"/>
      <c r="B214" s="140" t="s">
        <v>10</v>
      </c>
      <c r="C214" s="147">
        <v>3000</v>
      </c>
      <c r="D214" s="141" t="s">
        <v>148</v>
      </c>
      <c r="E214" s="156">
        <v>3000</v>
      </c>
      <c r="F214" s="86">
        <f>C214-E214</f>
        <v>0</v>
      </c>
      <c r="G214" s="140" t="s">
        <v>183</v>
      </c>
      <c r="H214" s="140" t="s">
        <v>106</v>
      </c>
      <c r="I214" s="85"/>
    </row>
    <row r="215" spans="1:14" ht="13.5" hidden="1" thickBot="1" x14ac:dyDescent="0.25">
      <c r="A215" s="29" t="s">
        <v>43</v>
      </c>
      <c r="B215" s="30"/>
      <c r="C215" s="59">
        <f>SUM(C212:C214)</f>
        <v>18000</v>
      </c>
      <c r="D215" s="30"/>
      <c r="E215" s="59">
        <f>SUM(E211:E214)</f>
        <v>10784</v>
      </c>
      <c r="F215" s="59">
        <f>SUM(F211:F214)</f>
        <v>0</v>
      </c>
      <c r="G215" s="30"/>
      <c r="H215" s="30"/>
      <c r="I215" s="31"/>
    </row>
    <row r="216" spans="1:14" ht="13.5" hidden="1" thickBot="1" x14ac:dyDescent="0.25"/>
    <row r="219" spans="1:14" ht="18.75" customHeight="1" x14ac:dyDescent="0.3">
      <c r="A219" s="11"/>
      <c r="B219" s="11"/>
      <c r="C219" s="11"/>
      <c r="D219" s="11"/>
      <c r="E219" s="11"/>
      <c r="F219" s="11"/>
      <c r="G219" s="11"/>
      <c r="H219" s="11"/>
      <c r="I219" s="11"/>
      <c r="K219" s="9"/>
      <c r="L219" s="9"/>
      <c r="M219" s="9"/>
      <c r="N219" s="9"/>
    </row>
  </sheetData>
  <mergeCells count="32">
    <mergeCell ref="A2:I2"/>
    <mergeCell ref="D10:G10"/>
    <mergeCell ref="G212:G213"/>
    <mergeCell ref="H212:H213"/>
    <mergeCell ref="B193:B194"/>
    <mergeCell ref="B212:B213"/>
    <mergeCell ref="C212:C213"/>
    <mergeCell ref="D212:D213"/>
    <mergeCell ref="E212:E213"/>
    <mergeCell ref="H193:H194"/>
    <mergeCell ref="G193:G194"/>
    <mergeCell ref="E193:E194"/>
    <mergeCell ref="D193:D194"/>
    <mergeCell ref="C193:C194"/>
    <mergeCell ref="A197:I197"/>
    <mergeCell ref="D205:G205"/>
    <mergeCell ref="D183:G183"/>
    <mergeCell ref="A22:I22"/>
    <mergeCell ref="D30:G30"/>
    <mergeCell ref="A42:I42"/>
    <mergeCell ref="D50:G50"/>
    <mergeCell ref="A63:I63"/>
    <mergeCell ref="D151:G151"/>
    <mergeCell ref="A175:I175"/>
    <mergeCell ref="A105:I105"/>
    <mergeCell ref="D113:G113"/>
    <mergeCell ref="D71:G71"/>
    <mergeCell ref="A84:I84"/>
    <mergeCell ref="D92:G92"/>
    <mergeCell ref="A143:I143"/>
    <mergeCell ref="A125:I125"/>
    <mergeCell ref="D133:G133"/>
  </mergeCells>
  <pageMargins left="0.69" right="0.28999999999999998" top="0.48" bottom="0.44" header="0.5" footer="0.5"/>
  <pageSetup scale="68" orientation="landscape" r:id="rId1"/>
  <headerFooter alignWithMargins="0">
    <oddFooter>&amp;CCurrent as of &amp;D</oddFooter>
  </headerFooter>
  <rowBreaks count="4" manualBreakCount="4">
    <brk id="123" max="16383" man="1"/>
    <brk id="141" max="16383" man="1"/>
    <brk id="173" max="16383" man="1"/>
    <brk id="215"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6"/>
  <sheetViews>
    <sheetView topLeftCell="A13" workbookViewId="0">
      <selection activeCell="C37" sqref="C37"/>
    </sheetView>
  </sheetViews>
  <sheetFormatPr defaultRowHeight="12.75" x14ac:dyDescent="0.2"/>
  <cols>
    <col min="2" max="2" width="17" customWidth="1"/>
    <col min="3" max="3" width="40.7109375" customWidth="1"/>
    <col min="4" max="4" width="11.140625" customWidth="1"/>
    <col min="5" max="5" width="11.28515625" customWidth="1"/>
    <col min="6" max="6" width="11.7109375" customWidth="1"/>
  </cols>
  <sheetData>
    <row r="1" spans="1:7" ht="26.25" x14ac:dyDescent="0.4">
      <c r="A1" s="1" t="s">
        <v>0</v>
      </c>
      <c r="B1" s="1"/>
      <c r="C1" s="1"/>
      <c r="D1" s="1"/>
      <c r="E1" s="1"/>
      <c r="F1" s="1"/>
    </row>
    <row r="2" spans="1:7" ht="13.5" thickBot="1" x14ac:dyDescent="0.25"/>
    <row r="3" spans="1:7" ht="24.75" thickTop="1" thickBot="1" x14ac:dyDescent="0.4">
      <c r="A3" s="4"/>
      <c r="B3" s="5" t="s">
        <v>6</v>
      </c>
      <c r="C3" s="6"/>
      <c r="D3" s="6"/>
      <c r="E3" s="6"/>
      <c r="F3" s="6"/>
      <c r="G3" s="7"/>
    </row>
    <row r="4" spans="1:7" ht="13.5" thickTop="1" x14ac:dyDescent="0.2">
      <c r="B4" s="2" t="s">
        <v>9</v>
      </c>
      <c r="C4" s="3" t="s">
        <v>1</v>
      </c>
      <c r="D4" s="3" t="s">
        <v>2</v>
      </c>
      <c r="E4" s="3" t="s">
        <v>3</v>
      </c>
      <c r="F4" s="3" t="s">
        <v>4</v>
      </c>
      <c r="G4" s="3" t="s">
        <v>5</v>
      </c>
    </row>
    <row r="5" spans="1:7" x14ac:dyDescent="0.2">
      <c r="B5" s="10">
        <v>2003</v>
      </c>
      <c r="C5" s="10" t="s">
        <v>10</v>
      </c>
      <c r="D5" s="10" t="s">
        <v>30</v>
      </c>
      <c r="E5" s="10"/>
      <c r="F5" s="10"/>
      <c r="G5" s="10" t="s">
        <v>21</v>
      </c>
    </row>
    <row r="6" spans="1:7" x14ac:dyDescent="0.2">
      <c r="B6" s="11">
        <v>2003</v>
      </c>
      <c r="C6" s="11" t="s">
        <v>11</v>
      </c>
      <c r="D6" s="11" t="s">
        <v>12</v>
      </c>
      <c r="E6" s="12">
        <v>37854</v>
      </c>
      <c r="F6" s="11" t="s">
        <v>13</v>
      </c>
      <c r="G6" s="11" t="s">
        <v>21</v>
      </c>
    </row>
    <row r="7" spans="1:7" x14ac:dyDescent="0.2">
      <c r="B7" s="11">
        <v>2004</v>
      </c>
      <c r="C7" s="11" t="s">
        <v>18</v>
      </c>
      <c r="D7" s="11" t="s">
        <v>19</v>
      </c>
      <c r="E7" s="12">
        <v>38020</v>
      </c>
      <c r="F7" s="11" t="s">
        <v>20</v>
      </c>
      <c r="G7" s="11" t="s">
        <v>21</v>
      </c>
    </row>
    <row r="8" spans="1:7" ht="13.5" thickBot="1" x14ac:dyDescent="0.25"/>
    <row r="9" spans="1:7" ht="24.75" thickTop="1" thickBot="1" x14ac:dyDescent="0.4">
      <c r="A9" s="4"/>
      <c r="B9" s="5" t="s">
        <v>7</v>
      </c>
      <c r="C9" s="6"/>
      <c r="D9" s="6"/>
      <c r="E9" s="6"/>
      <c r="F9" s="6"/>
      <c r="G9" s="7"/>
    </row>
    <row r="10" spans="1:7" ht="13.5" thickTop="1" x14ac:dyDescent="0.2">
      <c r="B10" s="2" t="s">
        <v>9</v>
      </c>
      <c r="C10" s="3" t="s">
        <v>1</v>
      </c>
      <c r="D10" s="3" t="s">
        <v>2</v>
      </c>
      <c r="E10" s="3" t="s">
        <v>3</v>
      </c>
      <c r="F10" s="3" t="s">
        <v>4</v>
      </c>
      <c r="G10" s="3" t="s">
        <v>5</v>
      </c>
    </row>
    <row r="11" spans="1:7" x14ac:dyDescent="0.2">
      <c r="B11">
        <v>2004</v>
      </c>
      <c r="C11" t="s">
        <v>22</v>
      </c>
      <c r="D11" t="s">
        <v>23</v>
      </c>
      <c r="E11" s="8">
        <v>38134</v>
      </c>
      <c r="F11" t="s">
        <v>24</v>
      </c>
      <c r="G11" t="s">
        <v>21</v>
      </c>
    </row>
    <row r="12" spans="1:7" x14ac:dyDescent="0.2">
      <c r="B12">
        <v>2004</v>
      </c>
      <c r="C12" t="s">
        <v>25</v>
      </c>
      <c r="D12" t="s">
        <v>26</v>
      </c>
      <c r="E12" s="8">
        <v>38313</v>
      </c>
      <c r="F12" t="s">
        <v>27</v>
      </c>
      <c r="G12" t="s">
        <v>28</v>
      </c>
    </row>
    <row r="13" spans="1:7" ht="25.5" x14ac:dyDescent="0.2">
      <c r="B13">
        <v>2005</v>
      </c>
      <c r="C13" s="51" t="s">
        <v>70</v>
      </c>
      <c r="D13" t="s">
        <v>33</v>
      </c>
      <c r="E13" s="8">
        <v>38428</v>
      </c>
      <c r="F13" t="s">
        <v>31</v>
      </c>
      <c r="G13" t="s">
        <v>21</v>
      </c>
    </row>
    <row r="14" spans="1:7" x14ac:dyDescent="0.2">
      <c r="B14">
        <v>2005</v>
      </c>
      <c r="C14" s="51" t="s">
        <v>32</v>
      </c>
      <c r="D14" t="s">
        <v>33</v>
      </c>
      <c r="E14" s="8">
        <v>38428</v>
      </c>
      <c r="F14" t="s">
        <v>71</v>
      </c>
      <c r="G14" t="s">
        <v>28</v>
      </c>
    </row>
    <row r="15" spans="1:7" x14ac:dyDescent="0.2">
      <c r="B15">
        <v>2006</v>
      </c>
      <c r="C15" t="s">
        <v>68</v>
      </c>
      <c r="D15" t="s">
        <v>69</v>
      </c>
      <c r="E15" s="8">
        <v>38873</v>
      </c>
      <c r="F15" t="s">
        <v>49</v>
      </c>
      <c r="G15" t="s">
        <v>21</v>
      </c>
    </row>
    <row r="16" spans="1:7" x14ac:dyDescent="0.2">
      <c r="B16">
        <v>2006</v>
      </c>
      <c r="C16" s="51" t="s">
        <v>95</v>
      </c>
      <c r="D16" t="s">
        <v>50</v>
      </c>
      <c r="E16" s="8">
        <v>38869</v>
      </c>
      <c r="F16" t="s">
        <v>51</v>
      </c>
      <c r="G16" t="s">
        <v>21</v>
      </c>
    </row>
    <row r="17" spans="1:7" x14ac:dyDescent="0.2">
      <c r="B17">
        <v>2008</v>
      </c>
      <c r="C17" s="51" t="s">
        <v>68</v>
      </c>
      <c r="D17" t="s">
        <v>89</v>
      </c>
      <c r="E17" s="8">
        <v>39616</v>
      </c>
      <c r="F17" t="s">
        <v>83</v>
      </c>
      <c r="G17" t="s">
        <v>21</v>
      </c>
    </row>
    <row r="18" spans="1:7" x14ac:dyDescent="0.2">
      <c r="B18">
        <v>2009</v>
      </c>
      <c r="C18" s="51" t="s">
        <v>95</v>
      </c>
      <c r="D18" t="s">
        <v>96</v>
      </c>
      <c r="E18" s="8">
        <v>39947</v>
      </c>
      <c r="F18" t="s">
        <v>94</v>
      </c>
      <c r="G18" t="s">
        <v>21</v>
      </c>
    </row>
    <row r="19" spans="1:7" ht="13.5" thickBot="1" x14ac:dyDescent="0.25"/>
    <row r="20" spans="1:7" ht="24.75" thickTop="1" thickBot="1" x14ac:dyDescent="0.4">
      <c r="A20" s="4"/>
      <c r="B20" s="5" t="s">
        <v>8</v>
      </c>
      <c r="C20" s="6"/>
      <c r="D20" s="6"/>
      <c r="E20" s="6"/>
      <c r="F20" s="6"/>
      <c r="G20" s="7"/>
    </row>
    <row r="21" spans="1:7" ht="13.5" thickTop="1" x14ac:dyDescent="0.2">
      <c r="B21" s="2" t="s">
        <v>9</v>
      </c>
      <c r="C21" s="3" t="s">
        <v>1</v>
      </c>
      <c r="D21" s="3" t="s">
        <v>2</v>
      </c>
      <c r="E21" s="3" t="s">
        <v>3</v>
      </c>
      <c r="F21" s="3" t="s">
        <v>4</v>
      </c>
      <c r="G21" s="3" t="s">
        <v>5</v>
      </c>
    </row>
    <row r="22" spans="1:7" x14ac:dyDescent="0.2">
      <c r="B22">
        <v>2003</v>
      </c>
      <c r="C22" t="s">
        <v>14</v>
      </c>
      <c r="D22" t="s">
        <v>15</v>
      </c>
      <c r="E22" s="8">
        <v>37881</v>
      </c>
      <c r="F22" t="s">
        <v>16</v>
      </c>
      <c r="G22" t="s">
        <v>17</v>
      </c>
    </row>
    <row r="23" spans="1:7" x14ac:dyDescent="0.2">
      <c r="B23">
        <v>2003</v>
      </c>
      <c r="C23" t="s">
        <v>52</v>
      </c>
      <c r="D23" t="s">
        <v>73</v>
      </c>
      <c r="E23" s="8">
        <v>37881</v>
      </c>
      <c r="F23" t="s">
        <v>72</v>
      </c>
    </row>
    <row r="24" spans="1:7" x14ac:dyDescent="0.2">
      <c r="B24">
        <v>2003</v>
      </c>
      <c r="C24" t="s">
        <v>74</v>
      </c>
      <c r="D24" t="s">
        <v>75</v>
      </c>
      <c r="E24" s="8">
        <v>37881</v>
      </c>
      <c r="F24" t="s">
        <v>76</v>
      </c>
    </row>
    <row r="25" spans="1:7" x14ac:dyDescent="0.2">
      <c r="B25">
        <v>2007</v>
      </c>
      <c r="C25" t="s">
        <v>77</v>
      </c>
      <c r="D25" t="s">
        <v>82</v>
      </c>
      <c r="E25" s="8">
        <v>39338</v>
      </c>
      <c r="F25" t="s">
        <v>81</v>
      </c>
    </row>
    <row r="26" spans="1:7" x14ac:dyDescent="0.2">
      <c r="B26">
        <v>2008</v>
      </c>
      <c r="C26" t="s">
        <v>78</v>
      </c>
      <c r="D26" t="s">
        <v>80</v>
      </c>
      <c r="E26" s="8">
        <v>39463</v>
      </c>
      <c r="F26" t="s">
        <v>79</v>
      </c>
    </row>
  </sheetData>
  <phoneticPr fontId="7" type="noConversion"/>
  <pageMargins left="0.75" right="0.75" top="1" bottom="1" header="0.5" footer="0.5"/>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C6E65439289B49842E9D68E4FD2FFD" ma:contentTypeVersion="13" ma:contentTypeDescription="Create a new document." ma:contentTypeScope="" ma:versionID="2fd89f40cfc0e7b5be6321c2e36d6a68">
  <xsd:schema xmlns:xsd="http://www.w3.org/2001/XMLSchema" xmlns:xs="http://www.w3.org/2001/XMLSchema" xmlns:p="http://schemas.microsoft.com/office/2006/metadata/properties" xmlns:ns2="80851251-1218-4690-997c-3003e58129e1" xmlns:ns3="1260122e-a5cf-4948-b44c-360fafba4997" targetNamespace="http://schemas.microsoft.com/office/2006/metadata/properties" ma:root="true" ma:fieldsID="b6fed21245f625de8e81a8fe03ff165f" ns2:_="" ns3:_="">
    <xsd:import namespace="80851251-1218-4690-997c-3003e58129e1"/>
    <xsd:import namespace="1260122e-a5cf-4948-b44c-360fafba4997"/>
    <xsd:element name="properties">
      <xsd:complexType>
        <xsd:sequence>
          <xsd:element name="documentManagement">
            <xsd:complexType>
              <xsd:all>
                <xsd:element ref="ns2:Document_x0020_Name"/>
                <xsd:element ref="ns2:Date_x0020_Modified"/>
                <xsd:element ref="ns2:Form_x0020_or_x0020_Report"/>
                <xsd:element ref="ns2:Division"/>
                <xsd:element ref="ns2:Form_x0020_or_x0020_Report_x0020__x0023_" minOccurs="0"/>
                <xsd:element ref="ns2:Topic"/>
                <xsd:element ref="ns2:Search_x0020_words"/>
                <xsd:element ref="ns2:Description0" minOccurs="0"/>
                <xsd:element ref="ns2:Utility_x0020_Typ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51251-1218-4690-997c-3003e58129e1" elementFormDefault="qualified">
    <xsd:import namespace="http://schemas.microsoft.com/office/2006/documentManagement/types"/>
    <xsd:import namespace="http://schemas.microsoft.com/office/infopath/2007/PartnerControls"/>
    <xsd:element name="Document_x0020_Name" ma:index="2" ma:displayName="Document Name" ma:description="Form or report name" ma:internalName="Document_x0020_Name" ma:readOnly="false">
      <xsd:simpleType>
        <xsd:restriction base="dms:Text">
          <xsd:maxLength value="255"/>
        </xsd:restriction>
      </xsd:simpleType>
    </xsd:element>
    <xsd:element name="Date_x0020_Modified" ma:index="3" ma:displayName="Date Modified" ma:description="Date and time entry modified" ma:format="DateTime" ma:internalName="Date_x0020_Modified" ma:readOnly="false">
      <xsd:simpleType>
        <xsd:restriction base="dms:DateTime"/>
      </xsd:simpleType>
    </xsd:element>
    <xsd:element name="Form_x0020_or_x0020_Report" ma:index="4" ma:displayName="Form or Report" ma:description="Is the document a form or report?" ma:internalName="Form_x0020_or_x0020_Report" ma:readOnly="false">
      <xsd:simpleType>
        <xsd:restriction base="dms:Text">
          <xsd:maxLength value="255"/>
        </xsd:restriction>
      </xsd:simpleType>
    </xsd:element>
    <xsd:element name="Division" ma:index="5" ma:displayName="Section" ma:description="Section using the form/report" ma:internalName="Division" ma:readOnly="false">
      <xsd:simpleType>
        <xsd:restriction base="dms:Text">
          <xsd:maxLength value="255"/>
        </xsd:restriction>
      </xsd:simpleType>
    </xsd:element>
    <xsd:element name="Form_x0020_or_x0020_Report_x0020__x0023_" ma:index="6" nillable="true" ma:displayName="Form or Report #" ma:description="Number assigned to differentiate the form or report" ma:internalName="Form_x0020_or_x0020_Report_x0020__x0023_" ma:readOnly="false">
      <xsd:simpleType>
        <xsd:restriction base="dms:Text">
          <xsd:maxLength value="255"/>
        </xsd:restriction>
      </xsd:simpleType>
    </xsd:element>
    <xsd:element name="Topic" ma:index="7" ma:displayName="Topic" ma:description="Topic of the form or report" ma:internalName="Topic" ma:readOnly="false">
      <xsd:simpleType>
        <xsd:restriction base="dms:Note">
          <xsd:maxLength value="255"/>
        </xsd:restriction>
      </xsd:simpleType>
    </xsd:element>
    <xsd:element name="Search_x0020_words" ma:index="8" ma:displayName="Search words" ma:description="List key words for search function" ma:internalName="Search_x0020_words" ma:readOnly="false">
      <xsd:simpleType>
        <xsd:restriction base="dms:Note">
          <xsd:maxLength value="255"/>
        </xsd:restriction>
      </xsd:simpleType>
    </xsd:element>
    <xsd:element name="Description0" ma:index="9" nillable="true" ma:displayName="Description" ma:internalName="Description0" ma:readOnly="false">
      <xsd:simpleType>
        <xsd:restriction base="dms:Text">
          <xsd:maxLength value="255"/>
        </xsd:restriction>
      </xsd:simpleType>
    </xsd:element>
    <xsd:element name="Utility_x0020_Type" ma:index="10" nillable="true" ma:displayName="Utility Type" ma:format="Dropdown" ma:internalName="Utility_x0020_Type" ma:readOnly="false">
      <xsd:simpleType>
        <xsd:union memberTypes="dms:Text">
          <xsd:simpleType>
            <xsd:restriction base="dms:Choice">
              <xsd:enumeration value="Electric"/>
              <xsd:enumeration value="Filing Center"/>
              <xsd:enumeration value="Natural Gas"/>
              <xsd:enumeration value="Oregon Universal Service Fund"/>
              <xsd:enumeration value="Safety"/>
              <xsd:enumeration value="Telecom"/>
              <xsd:enumeration value="Wat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1260122e-a5cf-4948-b44c-360fafba499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arch_x0020_words xmlns="80851251-1218-4690-997c-3003e58129e1">Intervenor Funding Summary, Filing Center, PUC</Search_x0020_words>
    <Document_x0020_Name xmlns="80851251-1218-4690-997c-3003e58129e1">Intervenor Funding Summary</Document_x0020_Name>
    <Description0 xmlns="80851251-1218-4690-997c-3003e58129e1">Intervenor Funding Summary</Description0>
    <Division xmlns="80851251-1218-4690-997c-3003e58129e1">Filing Center</Division>
    <Date_x0020_Modified xmlns="80851251-1218-4690-997c-3003e58129e1">2024-01-12T16:05:00+00:00</Date_x0020_Modified>
    <Form_x0020_or_x0020_Report_x0020__x0023_ xmlns="80851251-1218-4690-997c-3003e58129e1" xsi:nil="true"/>
    <Form_x0020_or_x0020_Report xmlns="80851251-1218-4690-997c-3003e58129e1">Report</Form_x0020_or_x0020_Report>
    <Utility_x0020_Type xmlns="80851251-1218-4690-997c-3003e58129e1" xsi:nil="true"/>
    <Topic xmlns="80851251-1218-4690-997c-3003e58129e1">Intervenor Funding Summary</Topi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7FA5CC-952B-4F60-AF86-0004BD7EE871}"/>
</file>

<file path=customXml/itemProps2.xml><?xml version="1.0" encoding="utf-8"?>
<ds:datastoreItem xmlns:ds="http://schemas.openxmlformats.org/officeDocument/2006/customXml" ds:itemID="{F13895CD-6EF7-4E4C-AD64-D1B63AAE5849}">
  <ds:schemaRefs>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 ds:uri="a03af407-be50-4c23-b68a-333ee039c66c"/>
    <ds:schemaRef ds:uri="6b3af962-88ed-4e59-9575-e9b444a7dd93"/>
    <ds:schemaRef ds:uri="http://schemas.microsoft.com/office/2006/metadata/properties"/>
  </ds:schemaRefs>
</ds:datastoreItem>
</file>

<file path=customXml/itemProps3.xml><?xml version="1.0" encoding="utf-8"?>
<ds:datastoreItem xmlns:ds="http://schemas.openxmlformats.org/officeDocument/2006/customXml" ds:itemID="{329EEFA8-5112-4FD2-B188-353E2E83F3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Summary</vt:lpstr>
      <vt:lpstr>Usage</vt:lpstr>
      <vt:lpstr>PGE</vt:lpstr>
      <vt:lpstr>PACIFIC</vt:lpstr>
      <vt:lpstr>NWN</vt:lpstr>
      <vt:lpstr>CASCADE</vt:lpstr>
      <vt:lpstr>AVISTA</vt:lpstr>
      <vt:lpstr>IDAHO POWER</vt:lpstr>
      <vt:lpstr>Certifications</vt:lpstr>
      <vt:lpstr>PACIFICORP MSP</vt:lpstr>
      <vt:lpstr>Justice Funding (HB 2475)</vt:lpstr>
      <vt:lpstr>Notices of Intent</vt:lpstr>
      <vt:lpstr>Eligibility +Certification </vt:lpstr>
      <vt:lpstr>PACIFICORP SB978</vt:lpstr>
      <vt:lpstr>PGE SB978</vt:lpstr>
      <vt:lpstr>Usage!Print_Area</vt:lpstr>
    </vt:vector>
  </TitlesOfParts>
  <Company>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Intervenor Funding Summary</dc:title>
  <dc:creator>%username%</dc:creator>
  <cp:lastModifiedBy>INTVELD Marilyn * PUC</cp:lastModifiedBy>
  <cp:lastPrinted>2023-07-19T14:56:44Z</cp:lastPrinted>
  <dcterms:created xsi:type="dcterms:W3CDTF">2005-08-11T17:41:40Z</dcterms:created>
  <dcterms:modified xsi:type="dcterms:W3CDTF">2024-01-12T16:04:26Z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0x01010013C6E65439289B49842E9D68E4FD2FFD</vt:lpwstr>
  </property>
  <property fmtid="{D5CDD505-2E9C-101B-9397-08002B2CF9AE}" pid="3" name="MSIP_Label_09b73270-2993-4076-be47-9c78f42a1e84_Enabled">
    <vt:lpwstr>true</vt:lpwstr>
  </property>
  <property fmtid="{D5CDD505-2E9C-101B-9397-08002B2CF9AE}" pid="4" name="MSIP_Label_09b73270-2993-4076-be47-9c78f42a1e84_SetDate">
    <vt:lpwstr>2023-10-16T21:21:03Z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7b509700-478e-43a8-82b3-be5da9c0ff81</vt:lpwstr>
  </property>
  <property fmtid="{D5CDD505-2E9C-101B-9397-08002B2CF9AE}" pid="9" name="MSIP_Label_09b73270-2993-4076-be47-9c78f42a1e84_ContentBits">
    <vt:lpwstr>0</vt:lpwstr>
  </property>
</Properties>
</file>