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K:\_All Grants Programs; Documents pertaining to\FORMS\"/>
    </mc:Choice>
  </mc:AlternateContent>
  <xr:revisionPtr revIDLastSave="0" documentId="13_ncr:1_{4D410E19-9B96-4E84-8932-6303EC641F54}" xr6:coauthVersionLast="36" xr6:coauthVersionMax="38" xr10:uidLastSave="{00000000-0000-0000-0000-000000000000}"/>
  <bookViews>
    <workbookView xWindow="0" yWindow="0" windowWidth="48585" windowHeight="28035" xr2:uid="{00000000-000D-0000-FFFF-FFFF00000000}"/>
  </bookViews>
  <sheets>
    <sheet name="Summary" sheetId="1" r:id="rId1"/>
    <sheet name="Detail" sheetId="2" r:id="rId2"/>
    <sheet name="Markup" sheetId="4" r:id="rId3"/>
    <sheet name="Assumptions" sheetId="3" r:id="rId4"/>
  </sheets>
  <definedNames>
    <definedName name="_xlnm.Print_Area" localSheetId="3">Assumptions!$A$1:$B$7</definedName>
    <definedName name="_xlnm.Print_Area" localSheetId="1">Detail!$A$1:$G$533</definedName>
    <definedName name="_xlnm.Print_Area" localSheetId="0">Summary!$A$1:$K$166</definedName>
    <definedName name="_xlnm.Print_Titles" localSheetId="0">Summary!$5:$5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9" i="2" l="1"/>
  <c r="H82" i="1"/>
  <c r="H81" i="1"/>
  <c r="H79" i="1"/>
  <c r="H78" i="1"/>
  <c r="H76" i="1"/>
  <c r="H75" i="1"/>
  <c r="H72" i="1"/>
  <c r="G49" i="2" l="1"/>
  <c r="G51" i="2" l="1"/>
  <c r="G53" i="2" s="1"/>
  <c r="E16" i="1"/>
  <c r="B121" i="1"/>
  <c r="B119" i="1"/>
  <c r="B117" i="1"/>
  <c r="B115" i="1"/>
  <c r="G410" i="2"/>
  <c r="G403" i="2"/>
  <c r="G402" i="2"/>
  <c r="G394" i="2"/>
  <c r="G393" i="2"/>
  <c r="G421" i="2"/>
  <c r="G420" i="2"/>
  <c r="G412" i="2"/>
  <c r="G411" i="2"/>
  <c r="G75" i="2"/>
  <c r="E24" i="1"/>
  <c r="G84" i="2"/>
  <c r="G78" i="2"/>
  <c r="G76" i="2"/>
  <c r="G288" i="2"/>
  <c r="G292" i="2"/>
  <c r="E77" i="1"/>
  <c r="G35" i="2"/>
  <c r="H11" i="1" s="1"/>
  <c r="G404" i="2" l="1"/>
  <c r="H117" i="1" s="1"/>
  <c r="G413" i="2"/>
  <c r="H119" i="1" s="1"/>
  <c r="G395" i="2"/>
  <c r="H115" i="1" s="1"/>
  <c r="G422" i="2"/>
  <c r="H121" i="1" s="1"/>
  <c r="G80" i="2"/>
  <c r="H24" i="1" s="1"/>
  <c r="G273" i="2"/>
  <c r="G260" i="2"/>
  <c r="G495" i="2"/>
  <c r="H150" i="1" s="1"/>
  <c r="G479" i="2"/>
  <c r="H147" i="1" s="1"/>
  <c r="G471" i="2"/>
  <c r="H146" i="1" s="1"/>
  <c r="B120" i="1"/>
  <c r="B118" i="1"/>
  <c r="B116" i="1"/>
  <c r="B114" i="1"/>
  <c r="E57" i="1"/>
  <c r="G529" i="2"/>
  <c r="G526" i="2"/>
  <c r="G515" i="2"/>
  <c r="G528" i="2"/>
  <c r="E525" i="2"/>
  <c r="G525" i="2" s="1"/>
  <c r="E524" i="2"/>
  <c r="E532" i="2" s="1"/>
  <c r="G532" i="2" s="1"/>
  <c r="G518" i="2"/>
  <c r="E514" i="2"/>
  <c r="G514" i="2" s="1"/>
  <c r="G506" i="2"/>
  <c r="G509" i="2" s="1"/>
  <c r="H153" i="1" s="1"/>
  <c r="C506" i="2"/>
  <c r="G483" i="2"/>
  <c r="G485" i="2"/>
  <c r="G499" i="2" s="1"/>
  <c r="G484" i="2"/>
  <c r="G498" i="2" s="1"/>
  <c r="C485" i="2"/>
  <c r="C499" i="2" s="1"/>
  <c r="C484" i="2"/>
  <c r="C498" i="2" s="1"/>
  <c r="C483" i="2"/>
  <c r="G482" i="2"/>
  <c r="G452" i="2"/>
  <c r="G455" i="2" s="1"/>
  <c r="G449" i="2"/>
  <c r="G436" i="2"/>
  <c r="G406" i="2"/>
  <c r="G388" i="2"/>
  <c r="G372" i="2"/>
  <c r="G379" i="2" s="1"/>
  <c r="G371" i="2"/>
  <c r="G378" i="2" s="1"/>
  <c r="G356" i="2"/>
  <c r="G364" i="2" s="1"/>
  <c r="G355" i="2"/>
  <c r="G363" i="2" s="1"/>
  <c r="G343" i="2"/>
  <c r="G358" i="2" s="1"/>
  <c r="G374" i="2" s="1"/>
  <c r="G381" i="2" s="1"/>
  <c r="G341" i="2"/>
  <c r="G349" i="2" s="1"/>
  <c r="G340" i="2"/>
  <c r="G348" i="2" s="1"/>
  <c r="G325" i="2"/>
  <c r="G332" i="2" s="1"/>
  <c r="G324" i="2"/>
  <c r="G331" i="2" s="1"/>
  <c r="G311" i="2"/>
  <c r="G318" i="2" s="1"/>
  <c r="G310" i="2"/>
  <c r="G317" i="2" s="1"/>
  <c r="G304" i="2"/>
  <c r="G303" i="2"/>
  <c r="G298" i="2"/>
  <c r="G297" i="2"/>
  <c r="G280" i="2"/>
  <c r="G264" i="2"/>
  <c r="H73" i="1" s="1"/>
  <c r="G517" i="2"/>
  <c r="E513" i="2"/>
  <c r="E521" i="2" s="1"/>
  <c r="G497" i="2"/>
  <c r="G443" i="2"/>
  <c r="G430" i="2"/>
  <c r="G416" i="2"/>
  <c r="G407" i="2"/>
  <c r="G398" i="2"/>
  <c r="G389" i="2"/>
  <c r="G275" i="2"/>
  <c r="G102" i="2"/>
  <c r="G373" i="2" s="1"/>
  <c r="G380" i="2" s="1"/>
  <c r="G93" i="2"/>
  <c r="G357" i="2" s="1"/>
  <c r="G365" i="2" s="1"/>
  <c r="G342" i="2"/>
  <c r="G350" i="2" s="1"/>
  <c r="G126" i="2"/>
  <c r="G138" i="2"/>
  <c r="G137" i="2"/>
  <c r="G130" i="2"/>
  <c r="G123" i="2"/>
  <c r="G122" i="2"/>
  <c r="G116" i="2"/>
  <c r="G115" i="2"/>
  <c r="G136" i="2"/>
  <c r="G135" i="2"/>
  <c r="G127" i="2"/>
  <c r="G128" i="2"/>
  <c r="G121" i="2"/>
  <c r="G120" i="2"/>
  <c r="G114" i="2"/>
  <c r="G113" i="2"/>
  <c r="C246" i="2"/>
  <c r="E246" i="2"/>
  <c r="F246" i="2"/>
  <c r="G246" i="2"/>
  <c r="C247" i="2"/>
  <c r="F247" i="2"/>
  <c r="C248" i="2"/>
  <c r="F248" i="2"/>
  <c r="C232" i="2"/>
  <c r="C233" i="2"/>
  <c r="C234" i="2"/>
  <c r="C235" i="2"/>
  <c r="C236" i="2"/>
  <c r="C237" i="2"/>
  <c r="E237" i="2"/>
  <c r="C238" i="2"/>
  <c r="E238" i="2"/>
  <c r="G238" i="2"/>
  <c r="C239" i="2"/>
  <c r="E239" i="2"/>
  <c r="C240" i="2"/>
  <c r="C241" i="2"/>
  <c r="C242" i="2"/>
  <c r="C243" i="2"/>
  <c r="E243" i="2"/>
  <c r="C244" i="2"/>
  <c r="E244" i="2"/>
  <c r="C231" i="2"/>
  <c r="G215" i="2"/>
  <c r="G243" i="2" s="1"/>
  <c r="G216" i="2"/>
  <c r="E203" i="2"/>
  <c r="E208" i="2" s="1"/>
  <c r="G208" i="2" s="1"/>
  <c r="G236" i="2" s="1"/>
  <c r="E202" i="2"/>
  <c r="E221" i="2" s="1"/>
  <c r="G221" i="2" s="1"/>
  <c r="G247" i="2" s="1"/>
  <c r="C252" i="2"/>
  <c r="C251" i="2"/>
  <c r="C227" i="2"/>
  <c r="C228" i="2"/>
  <c r="C226" i="2"/>
  <c r="C225" i="2"/>
  <c r="G65" i="2"/>
  <c r="G57" i="2"/>
  <c r="G305" i="2" s="1"/>
  <c r="G319" i="2" s="1"/>
  <c r="G333" i="2" s="1"/>
  <c r="G41" i="2"/>
  <c r="G299" i="2" s="1"/>
  <c r="G312" i="2" s="1"/>
  <c r="E161" i="1"/>
  <c r="E158" i="1"/>
  <c r="E151" i="1"/>
  <c r="E148" i="1"/>
  <c r="E145" i="1"/>
  <c r="E136" i="1"/>
  <c r="E131" i="1"/>
  <c r="E126" i="1"/>
  <c r="E113" i="1"/>
  <c r="E106" i="1"/>
  <c r="E103" i="1"/>
  <c r="E100" i="1"/>
  <c r="E93" i="1"/>
  <c r="E90" i="1"/>
  <c r="E87" i="1"/>
  <c r="E80" i="1"/>
  <c r="E74" i="1"/>
  <c r="E71" i="1"/>
  <c r="J69" i="1"/>
  <c r="I69" i="1"/>
  <c r="H128" i="1" l="1"/>
  <c r="H127" i="1"/>
  <c r="H129" i="1"/>
  <c r="H130" i="1"/>
  <c r="H137" i="1"/>
  <c r="H138" i="1"/>
  <c r="H132" i="1"/>
  <c r="H133" i="1"/>
  <c r="H134" i="1"/>
  <c r="H135" i="1"/>
  <c r="G335" i="2"/>
  <c r="G487" i="2"/>
  <c r="H149" i="1" s="1"/>
  <c r="G278" i="2"/>
  <c r="G501" i="2"/>
  <c r="H152" i="1" s="1"/>
  <c r="G283" i="2"/>
  <c r="G321" i="2"/>
  <c r="H92" i="1" s="1"/>
  <c r="G301" i="2"/>
  <c r="H88" i="1" s="1"/>
  <c r="G533" i="2"/>
  <c r="E205" i="2"/>
  <c r="E233" i="2" s="1"/>
  <c r="G376" i="2"/>
  <c r="H107" i="1" s="1"/>
  <c r="G383" i="2"/>
  <c r="H108" i="1" s="1"/>
  <c r="G366" i="2"/>
  <c r="G360" i="2"/>
  <c r="H104" i="1" s="1"/>
  <c r="G351" i="2"/>
  <c r="G353" i="2" s="1"/>
  <c r="H102" i="1" s="1"/>
  <c r="G345" i="2"/>
  <c r="H101" i="1" s="1"/>
  <c r="G314" i="2"/>
  <c r="H91" i="1" s="1"/>
  <c r="G326" i="2"/>
  <c r="H95" i="1"/>
  <c r="G307" i="2"/>
  <c r="H89" i="1" s="1"/>
  <c r="G461" i="2"/>
  <c r="G390" i="2"/>
  <c r="H114" i="1" s="1"/>
  <c r="G399" i="2"/>
  <c r="H116" i="1" s="1"/>
  <c r="I116" i="1" s="1"/>
  <c r="G408" i="2"/>
  <c r="H118" i="1" s="1"/>
  <c r="G417" i="2"/>
  <c r="H120" i="1" s="1"/>
  <c r="G521" i="2"/>
  <c r="G139" i="2"/>
  <c r="H35" i="1" s="1"/>
  <c r="E212" i="2"/>
  <c r="G212" i="2" s="1"/>
  <c r="G240" i="2" s="1"/>
  <c r="E207" i="2"/>
  <c r="G207" i="2" s="1"/>
  <c r="G235" i="2" s="1"/>
  <c r="E204" i="2"/>
  <c r="E232" i="2" s="1"/>
  <c r="E222" i="2"/>
  <c r="E248" i="2" s="1"/>
  <c r="E247" i="2"/>
  <c r="E206" i="2"/>
  <c r="E234" i="2" s="1"/>
  <c r="E236" i="2"/>
  <c r="E231" i="2"/>
  <c r="E230" i="2"/>
  <c r="G203" i="2"/>
  <c r="G231" i="2" s="1"/>
  <c r="D54" i="4"/>
  <c r="J6" i="1" s="1"/>
  <c r="D37" i="4"/>
  <c r="D9" i="4"/>
  <c r="I6" i="1"/>
  <c r="G211" i="2"/>
  <c r="G239" i="2" s="1"/>
  <c r="G209" i="2"/>
  <c r="G237" i="2" s="1"/>
  <c r="G191" i="2"/>
  <c r="G190" i="2"/>
  <c r="G171" i="2"/>
  <c r="G170" i="2"/>
  <c r="G181" i="2"/>
  <c r="G180" i="2"/>
  <c r="I120" i="1" l="1"/>
  <c r="J120" i="1" s="1"/>
  <c r="J116" i="1"/>
  <c r="I118" i="1"/>
  <c r="J118" i="1" s="1"/>
  <c r="H139" i="1"/>
  <c r="I139" i="1" s="1"/>
  <c r="J139" i="1" s="1"/>
  <c r="H140" i="1"/>
  <c r="I140" i="1" s="1"/>
  <c r="J140" i="1" s="1"/>
  <c r="I135" i="1"/>
  <c r="J135" i="1" s="1"/>
  <c r="I138" i="1"/>
  <c r="J138" i="1" s="1"/>
  <c r="I130" i="1"/>
  <c r="J130" i="1" s="1"/>
  <c r="I133" i="1"/>
  <c r="J133" i="1" s="1"/>
  <c r="I24" i="1"/>
  <c r="J24" i="1" s="1"/>
  <c r="I121" i="1"/>
  <c r="J121" i="1" s="1"/>
  <c r="I128" i="1"/>
  <c r="J128" i="1" s="1"/>
  <c r="I117" i="1"/>
  <c r="J117" i="1" s="1"/>
  <c r="I119" i="1"/>
  <c r="J119" i="1" s="1"/>
  <c r="I115" i="1"/>
  <c r="J115" i="1" s="1"/>
  <c r="G178" i="2"/>
  <c r="H50" i="1" s="1"/>
  <c r="I78" i="1"/>
  <c r="J78" i="1" s="1"/>
  <c r="I79" i="1"/>
  <c r="J79" i="1" s="1"/>
  <c r="H160" i="1"/>
  <c r="I160" i="1" s="1"/>
  <c r="J160" i="1" s="1"/>
  <c r="H163" i="1"/>
  <c r="I163" i="1" s="1"/>
  <c r="J163" i="1" s="1"/>
  <c r="G328" i="2"/>
  <c r="H94" i="1" s="1"/>
  <c r="I94" i="1" s="1"/>
  <c r="J94" i="1" s="1"/>
  <c r="I149" i="1"/>
  <c r="J149" i="1" s="1"/>
  <c r="I153" i="1"/>
  <c r="J153" i="1" s="1"/>
  <c r="I132" i="1"/>
  <c r="J132" i="1" s="1"/>
  <c r="I102" i="1"/>
  <c r="J102" i="1" s="1"/>
  <c r="I89" i="1"/>
  <c r="J89" i="1" s="1"/>
  <c r="I73" i="1"/>
  <c r="J73" i="1" s="1"/>
  <c r="I92" i="1"/>
  <c r="J92" i="1" s="1"/>
  <c r="I72" i="1"/>
  <c r="J72" i="1" s="1"/>
  <c r="I35" i="1"/>
  <c r="J35" i="1" s="1"/>
  <c r="I146" i="1"/>
  <c r="J146" i="1" s="1"/>
  <c r="I150" i="1"/>
  <c r="J150" i="1" s="1"/>
  <c r="I127" i="1"/>
  <c r="J127" i="1" s="1"/>
  <c r="I134" i="1"/>
  <c r="J134" i="1" s="1"/>
  <c r="I107" i="1"/>
  <c r="J107" i="1" s="1"/>
  <c r="I81" i="1"/>
  <c r="J81" i="1" s="1"/>
  <c r="I152" i="1"/>
  <c r="J152" i="1" s="1"/>
  <c r="I137" i="1"/>
  <c r="J137" i="1" s="1"/>
  <c r="I101" i="1"/>
  <c r="J101" i="1" s="1"/>
  <c r="I88" i="1"/>
  <c r="J88" i="1" s="1"/>
  <c r="I76" i="1"/>
  <c r="J76" i="1" s="1"/>
  <c r="I147" i="1"/>
  <c r="J147" i="1" s="1"/>
  <c r="I129" i="1"/>
  <c r="J129" i="1" s="1"/>
  <c r="I114" i="1"/>
  <c r="J114" i="1" s="1"/>
  <c r="I104" i="1"/>
  <c r="J104" i="1" s="1"/>
  <c r="I108" i="1"/>
  <c r="J108" i="1" s="1"/>
  <c r="I91" i="1"/>
  <c r="J91" i="1" s="1"/>
  <c r="I95" i="1"/>
  <c r="J95" i="1" s="1"/>
  <c r="I75" i="1"/>
  <c r="J75" i="1" s="1"/>
  <c r="I82" i="1"/>
  <c r="J82" i="1" s="1"/>
  <c r="E213" i="2"/>
  <c r="G213" i="2" s="1"/>
  <c r="G241" i="2" s="1"/>
  <c r="G368" i="2"/>
  <c r="H105" i="1" s="1"/>
  <c r="I105" i="1" s="1"/>
  <c r="J105" i="1" s="1"/>
  <c r="E214" i="2"/>
  <c r="G214" i="2" s="1"/>
  <c r="G242" i="2" s="1"/>
  <c r="E240" i="2"/>
  <c r="G206" i="2"/>
  <c r="G234" i="2" s="1"/>
  <c r="E235" i="2"/>
  <c r="G204" i="2"/>
  <c r="G232" i="2" s="1"/>
  <c r="G222" i="2"/>
  <c r="G248" i="2" s="1"/>
  <c r="G188" i="2"/>
  <c r="H51" i="1" s="1"/>
  <c r="G198" i="2"/>
  <c r="H52" i="1" s="1"/>
  <c r="G205" i="2"/>
  <c r="G233" i="2" s="1"/>
  <c r="J142" i="1" l="1"/>
  <c r="J123" i="1"/>
  <c r="E241" i="2"/>
  <c r="G249" i="2"/>
  <c r="G251" i="2" s="1"/>
  <c r="J84" i="1"/>
  <c r="J110" i="1"/>
  <c r="J155" i="1"/>
  <c r="J97" i="1"/>
  <c r="G522" i="2"/>
  <c r="E242" i="2"/>
  <c r="G146" i="2"/>
  <c r="G150" i="2" s="1"/>
  <c r="H41" i="1" s="1"/>
  <c r="G154" i="2"/>
  <c r="G158" i="2" s="1"/>
  <c r="H42" i="1" s="1"/>
  <c r="I42" i="1" s="1"/>
  <c r="J42" i="1" s="1"/>
  <c r="G161" i="2"/>
  <c r="G160" i="2"/>
  <c r="H159" i="1" l="1"/>
  <c r="I159" i="1" s="1"/>
  <c r="J159" i="1" s="1"/>
  <c r="H162" i="1"/>
  <c r="I162" i="1" s="1"/>
  <c r="J162" i="1" s="1"/>
  <c r="I41" i="1"/>
  <c r="J41" i="1" s="1"/>
  <c r="H40" i="1"/>
  <c r="I40" i="1" s="1"/>
  <c r="J40" i="1" s="1"/>
  <c r="H251" i="2"/>
  <c r="H58" i="1"/>
  <c r="G252" i="2"/>
  <c r="G165" i="2"/>
  <c r="H45" i="1" s="1"/>
  <c r="I45" i="1" s="1"/>
  <c r="J45" i="1" s="1"/>
  <c r="H43" i="1"/>
  <c r="I43" i="1" s="1"/>
  <c r="J43" i="1" s="1"/>
  <c r="I51" i="1"/>
  <c r="J51" i="1" s="1"/>
  <c r="G129" i="2"/>
  <c r="G85" i="2"/>
  <c r="G94" i="2" s="1"/>
  <c r="G103" i="2" s="1"/>
  <c r="G105" i="2"/>
  <c r="G96" i="2"/>
  <c r="G87" i="2"/>
  <c r="G43" i="2"/>
  <c r="G59" i="2"/>
  <c r="G67" i="2"/>
  <c r="J165" i="1" l="1"/>
  <c r="H252" i="2"/>
  <c r="H59" i="1"/>
  <c r="I59" i="1" s="1"/>
  <c r="J59" i="1" s="1"/>
  <c r="H44" i="1"/>
  <c r="I44" i="1" s="1"/>
  <c r="J44" i="1" s="1"/>
  <c r="G131" i="2"/>
  <c r="H34" i="1" s="1"/>
  <c r="I34" i="1" s="1"/>
  <c r="J34" i="1" s="1"/>
  <c r="G61" i="2"/>
  <c r="H18" i="1" s="1"/>
  <c r="I18" i="1" s="1"/>
  <c r="J18" i="1" s="1"/>
  <c r="G45" i="2"/>
  <c r="G98" i="2"/>
  <c r="H26" i="1" s="1"/>
  <c r="I26" i="1" s="1"/>
  <c r="J26" i="1" s="1"/>
  <c r="G107" i="2"/>
  <c r="H27" i="1" s="1"/>
  <c r="I27" i="1" s="1"/>
  <c r="J27" i="1" s="1"/>
  <c r="G89" i="2"/>
  <c r="H25" i="1" s="1"/>
  <c r="G117" i="2"/>
  <c r="H32" i="1" s="1"/>
  <c r="I32" i="1" s="1"/>
  <c r="J32" i="1" s="1"/>
  <c r="I50" i="1"/>
  <c r="J50" i="1" s="1"/>
  <c r="G69" i="2"/>
  <c r="H19" i="1" s="1"/>
  <c r="I19" i="1" s="1"/>
  <c r="J19" i="1" s="1"/>
  <c r="G124" i="2"/>
  <c r="H33" i="1" s="1"/>
  <c r="I33" i="1" s="1"/>
  <c r="J33" i="1" s="1"/>
  <c r="G23" i="2"/>
  <c r="G24" i="2"/>
  <c r="G16" i="2"/>
  <c r="G20" i="2" s="1"/>
  <c r="H9" i="1" s="1"/>
  <c r="I9" i="1" s="1"/>
  <c r="G9" i="2"/>
  <c r="G13" i="2" s="1"/>
  <c r="H8" i="1" s="1"/>
  <c r="I8" i="1" s="1"/>
  <c r="H17" i="1" l="1"/>
  <c r="I17" i="1" s="1"/>
  <c r="J17" i="1" s="1"/>
  <c r="J21" i="1" s="1"/>
  <c r="H16" i="1"/>
  <c r="I16" i="1" s="1"/>
  <c r="J16" i="1" s="1"/>
  <c r="G28" i="2"/>
  <c r="H10" i="1" s="1"/>
  <c r="I10" i="1" s="1"/>
  <c r="J10" i="1" s="1"/>
  <c r="I11" i="1"/>
  <c r="J11" i="1" s="1"/>
  <c r="J8" i="1"/>
  <c r="I25" i="1"/>
  <c r="J25" i="1" s="1"/>
  <c r="J29" i="1" s="1"/>
  <c r="I52" i="1"/>
  <c r="J52" i="1" s="1"/>
  <c r="J9" i="1"/>
  <c r="G223" i="2" l="1"/>
  <c r="G225" i="2" s="1"/>
  <c r="E60" i="1"/>
  <c r="H61" i="1" l="1"/>
  <c r="G226" i="2"/>
  <c r="H226" i="2" s="1"/>
  <c r="E52" i="1"/>
  <c r="E25" i="1"/>
  <c r="E32" i="1"/>
  <c r="E50" i="1"/>
  <c r="E44" i="1"/>
  <c r="H225" i="2" l="1"/>
  <c r="I61" i="1"/>
  <c r="J61" i="1" s="1"/>
  <c r="I58" i="1"/>
  <c r="J58" i="1" s="1"/>
  <c r="E58" i="1"/>
  <c r="E27" i="1"/>
  <c r="E26" i="1"/>
  <c r="E40" i="1"/>
  <c r="E51" i="1"/>
  <c r="E42" i="1"/>
  <c r="E17" i="1"/>
  <c r="E9" i="1"/>
  <c r="E18" i="1"/>
  <c r="H62" i="1" l="1"/>
  <c r="I62" i="1" s="1"/>
  <c r="J62" i="1" s="1"/>
  <c r="G227" i="2"/>
  <c r="H63" i="1" s="1"/>
  <c r="E8" i="1"/>
  <c r="E19" i="1"/>
  <c r="I63" i="1" l="1"/>
  <c r="J63" i="1" s="1"/>
  <c r="G228" i="2"/>
  <c r="H227" i="2"/>
  <c r="J54" i="1"/>
  <c r="J37" i="1"/>
  <c r="J47" i="1"/>
  <c r="E11" i="1"/>
  <c r="H64" i="1" l="1"/>
  <c r="I64" i="1" s="1"/>
  <c r="J64" i="1" s="1"/>
  <c r="J66" i="1" s="1"/>
  <c r="J13" i="1"/>
</calcChain>
</file>

<file path=xl/sharedStrings.xml><?xml version="1.0" encoding="utf-8"?>
<sst xmlns="http://schemas.openxmlformats.org/spreadsheetml/2006/main" count="1027" uniqueCount="324">
  <si>
    <t>Quantity</t>
  </si>
  <si>
    <t>Unit Measure</t>
  </si>
  <si>
    <t>Unit Cost</t>
  </si>
  <si>
    <t>SF</t>
  </si>
  <si>
    <t>Notes</t>
  </si>
  <si>
    <t>Item</t>
  </si>
  <si>
    <t>ESTIMATE OF PROBABLE COST</t>
  </si>
  <si>
    <t>EA</t>
  </si>
  <si>
    <t>LF</t>
  </si>
  <si>
    <t>Total w. Design, Permitting, Etc.</t>
  </si>
  <si>
    <t>LS</t>
  </si>
  <si>
    <t>Construction Components</t>
  </si>
  <si>
    <t>QTY</t>
  </si>
  <si>
    <t>U/M</t>
  </si>
  <si>
    <t>Unit Rate</t>
  </si>
  <si>
    <t>Striping</t>
  </si>
  <si>
    <t>Excavation</t>
  </si>
  <si>
    <t>4" slab-on grade</t>
  </si>
  <si>
    <t>Ceiling and soffit panels</t>
  </si>
  <si>
    <t>Roof flashing and gutter</t>
  </si>
  <si>
    <t>Join sealant - allow</t>
  </si>
  <si>
    <t>Exterior door - hollow metal</t>
  </si>
  <si>
    <t>Exterior door hardware</t>
  </si>
  <si>
    <t>Wall finish - paint</t>
  </si>
  <si>
    <t>Ceiling finish - open to structure</t>
  </si>
  <si>
    <t>Plumbing fixtures and piping - per bathroom</t>
  </si>
  <si>
    <t>Water heater</t>
  </si>
  <si>
    <t>Floor drain</t>
  </si>
  <si>
    <t>Concrete continuous footing, 16" x 18"</t>
  </si>
  <si>
    <t>Lighting and controls - allow</t>
  </si>
  <si>
    <t>Steel roof deck assembly, incl waterproofing and insul.</t>
  </si>
  <si>
    <t>Toilet room accessories</t>
  </si>
  <si>
    <t>Scope of Work and Cost Basis</t>
  </si>
  <si>
    <t xml:space="preserve">				</t>
  </si>
  <si>
    <t>In preparing this cost study, multiple sources were used.   The source information includes a current perspective on codes, technology, energy and water conservation, specific site elements, local general and sub construction markets and labor agreements, material costs and availability and labor efficiencies.</t>
  </si>
  <si>
    <t>Mark ups</t>
  </si>
  <si>
    <t> </t>
  </si>
  <si>
    <t>Construction Cost Mark Ups</t>
  </si>
  <si>
    <t>Also known as “Hard Costs” these costs are included in the Cost estimate.  Typically, these cost include:</t>
  </si>
  <si>
    <t xml:space="preserve">In this exercise, the Markups are 60% as a compilation of the percentages listed above. </t>
  </si>
  <si>
    <t>Additional anticipated costs to the project:</t>
  </si>
  <si>
    <t>Soft Costs</t>
  </si>
  <si>
    <t>Additional Owner costs to consider:</t>
  </si>
  <si>
    <t>Typically, there are additional costs imposed on the total project budget that are not included in the costs as noted above but are necessary to provide a complete project cost perspective. These costs can include:</t>
  </si>
  <si>
    <t xml:space="preserve">·        Contingency- 20% For construction and design based upon level of design completion. </t>
  </si>
  <si>
    <t>·        General Conditions- 10% Management staff, trailers, etc.</t>
  </si>
  <si>
    <t>·        General Requirements-  15% Cranes and other project specific equipment</t>
  </si>
  <si>
    <t>·        Overhead and Profit-5% Contractor’s fee</t>
  </si>
  <si>
    <t>·        Bonds and insurance- 2% As required for the contract</t>
  </si>
  <si>
    <t>·        A/E fees- Architect and consultants under the Architects Contract.</t>
  </si>
  <si>
    <t>·        Permits and Fees- Includes MUP, building permits, Fire Department review, etc.</t>
  </si>
  <si>
    <t>·        Commissioning- Third Party System Commissioning</t>
  </si>
  <si>
    <t>·        Jurisdictional costs</t>
  </si>
  <si>
    <t>·        GC Pre-construction- Only if using GC CM (General Contractor/Construction Manager) contract</t>
  </si>
  <si>
    <t>·        Project Management</t>
  </si>
  <si>
    <t>·        Staff location expenses</t>
  </si>
  <si>
    <t>·        Site maintenance equipment</t>
  </si>
  <si>
    <t>·        Furniture, fixture and Equipment (FF&amp;E)</t>
  </si>
  <si>
    <t>·        A/V costs</t>
  </si>
  <si>
    <t>·        Security Costs</t>
  </si>
  <si>
    <t>·        Utility Service improvements</t>
  </si>
  <si>
    <t>·        IT Equipment and connections</t>
  </si>
  <si>
    <t>·        Land acquisition and easements</t>
  </si>
  <si>
    <t>·        Land acquisition and easement expenses</t>
  </si>
  <si>
    <t>·        Contingency reserve (typically 5%)</t>
  </si>
  <si>
    <t>·        Management reserves</t>
  </si>
  <si>
    <t>·        Engineering fees - Other project specific consultants not under the Architect’s contract (Ex: Environmental impact, etc.)</t>
  </si>
  <si>
    <t xml:space="preserve">·        Escalation- 3% per annum Anticipated construction cost increases from one date to another. </t>
  </si>
  <si>
    <t>These cost are typically paid for by the owner and are in addition to the Contractor’s costs.  Averaging 42% in addition to Hard Costs, these costs can include:</t>
  </si>
  <si>
    <t>Soft Cost modifiers</t>
  </si>
  <si>
    <t>When evaluating the line items for each project element, it is apparent that many of these elements will not require the full burden of Soft Costs such as Design and Engineering fees or jurisdictional cost beyond taxes.  Therefore, a modifier has been applied to these elements reducing the markup to acknowledge the specific items simplicity.  For example, installing a park sign and enhancing landscape, would require far less Soft Cost Markup than a new Recreation Center.</t>
  </si>
  <si>
    <t>Direct Construction Cost</t>
  </si>
  <si>
    <t>Subtotal Trail system</t>
  </si>
  <si>
    <t>Metal structure</t>
  </si>
  <si>
    <t>Synthetic structure</t>
  </si>
  <si>
    <t>Timber structure</t>
  </si>
  <si>
    <t>Subtotal Boardwalk</t>
  </si>
  <si>
    <t>Subtotal Trail Bridge</t>
  </si>
  <si>
    <t>Culvert</t>
  </si>
  <si>
    <t>Subtotal Culvert</t>
  </si>
  <si>
    <t>Asphalt</t>
  </si>
  <si>
    <t>Concrete</t>
  </si>
  <si>
    <t>Gravel</t>
  </si>
  <si>
    <t>Subtotal Parking Lot</t>
  </si>
  <si>
    <t>Parking Lot</t>
  </si>
  <si>
    <t>Restroom</t>
  </si>
  <si>
    <t>TRAIL DEVELOPMENT COST GUIDE FOR OREGON PARKS AND RECREATION DEPARTMENTS SCORP PROJECT</t>
  </si>
  <si>
    <t>Aggregate base - 6" thk.</t>
  </si>
  <si>
    <t>Grading - rough</t>
  </si>
  <si>
    <t>Grading - fine</t>
  </si>
  <si>
    <t>Site clearing/demolition</t>
  </si>
  <si>
    <t>Length (LF)</t>
  </si>
  <si>
    <t>Width (LF)</t>
  </si>
  <si>
    <t>Trail System</t>
  </si>
  <si>
    <t>Trail - Asphalt</t>
  </si>
  <si>
    <t>Concrete - 4" thk.</t>
  </si>
  <si>
    <t>Trail - Concrete</t>
  </si>
  <si>
    <t>Gravel - 4" thk.</t>
  </si>
  <si>
    <t>Construction Cost incl. Mark ups</t>
  </si>
  <si>
    <t>1st Edition (Q4 - 2018)</t>
  </si>
  <si>
    <t>Cost provided by DCW Cost Management</t>
  </si>
  <si>
    <t>Boardwalk - timber</t>
  </si>
  <si>
    <t>Timber plank</t>
  </si>
  <si>
    <t>Timber frame</t>
  </si>
  <si>
    <t>Support structure/footing</t>
  </si>
  <si>
    <t>Metal grid panel</t>
  </si>
  <si>
    <t>Metal frame</t>
  </si>
  <si>
    <t>Synthetic frame</t>
  </si>
  <si>
    <t>Bridge - timber</t>
  </si>
  <si>
    <t>Railing - metal</t>
  </si>
  <si>
    <t>Railing - synthetic</t>
  </si>
  <si>
    <t>Railing - timber</t>
  </si>
  <si>
    <t>Bridge System</t>
  </si>
  <si>
    <t>Boardwalk System</t>
  </si>
  <si>
    <t>Asphalt - 4" thk.</t>
  </si>
  <si>
    <t>Concrete - vehicular</t>
  </si>
  <si>
    <t>Demolition - existing surface</t>
  </si>
  <si>
    <t>Asphalt - vehicular</t>
  </si>
  <si>
    <t>Parking lot - gravel</t>
  </si>
  <si>
    <t>Parking lot - asphalt</t>
  </si>
  <si>
    <t>Parking lot - concrete</t>
  </si>
  <si>
    <t>Trailhead - asphalt surface</t>
  </si>
  <si>
    <t>Trailhead - gravel surface</t>
  </si>
  <si>
    <t>Entry sign - allow</t>
  </si>
  <si>
    <t>Planting - allow</t>
  </si>
  <si>
    <t>Gate/bollard - allow</t>
  </si>
  <si>
    <t>Connection and piping to existing sewer system</t>
  </si>
  <si>
    <t>ALW</t>
  </si>
  <si>
    <t>Subtotal Trail Head</t>
  </si>
  <si>
    <t>Subtotal Restroom</t>
  </si>
  <si>
    <t>CONTRACTOR'S MARK-UPS</t>
  </si>
  <si>
    <t>Markup Description</t>
  </si>
  <si>
    <t>%</t>
  </si>
  <si>
    <t>General Conditions</t>
  </si>
  <si>
    <t>Overhead &amp;Profit</t>
  </si>
  <si>
    <t>Bonds and Insurance</t>
  </si>
  <si>
    <t xml:space="preserve">Design Contingency </t>
  </si>
  <si>
    <t>TOTAL CONSTRUCTION COSTS</t>
  </si>
  <si>
    <t>PRE-CONSTRUCTION PLANNING</t>
  </si>
  <si>
    <t xml:space="preserve"> Description</t>
  </si>
  <si>
    <t>Investigation/Remediation</t>
  </si>
  <si>
    <t>Project planning &amp; scheduling</t>
  </si>
  <si>
    <t>TOTAL PRE-CONSTRUCTION COST</t>
  </si>
  <si>
    <t>TOTAL CONSTRUCTION BURDEN</t>
  </si>
  <si>
    <t>TOTAL CONSTRUCTION COSTS -SOFT COST CALCULATOR</t>
  </si>
  <si>
    <t>FEE SCHEDULE</t>
  </si>
  <si>
    <t>A/E Design Team</t>
  </si>
  <si>
    <t>Geotechnical</t>
  </si>
  <si>
    <t>Survey</t>
  </si>
  <si>
    <t>Permitting and review fees</t>
  </si>
  <si>
    <t>Special Inspections</t>
  </si>
  <si>
    <t>Land Use Approvals</t>
  </si>
  <si>
    <t>Other</t>
  </si>
  <si>
    <t>TOTAL SOFT COSTS</t>
  </si>
  <si>
    <t>TOTAL CONTRACT BURDEN</t>
  </si>
  <si>
    <t>OWNER'S PROJECT MANAGEMENT</t>
  </si>
  <si>
    <t xml:space="preserve">% </t>
  </si>
  <si>
    <t>A/E Management</t>
  </si>
  <si>
    <t>Pre-Construction Management</t>
  </si>
  <si>
    <t>Construction and Close out Management</t>
  </si>
  <si>
    <t>Community Engagement</t>
  </si>
  <si>
    <t>Administration/ Marketing</t>
  </si>
  <si>
    <t>Consumables</t>
  </si>
  <si>
    <t>OWNER MANAGED CONTIGENCIES</t>
  </si>
  <si>
    <t>Construction Contingency</t>
  </si>
  <si>
    <t>Soft Cost Contingency</t>
  </si>
  <si>
    <t>Construction and Close out Management Contingency</t>
  </si>
  <si>
    <t>TOTAL PROJECT BURDEN</t>
  </si>
  <si>
    <t xml:space="preserve">The scope of work includes the development of a cost model based upon the vision and goals of the Oregon State Trails plan for future project development. A cost study is provided for the distinct areas outlined in the body of the report and delineated within the itemized cost summary.    </t>
  </si>
  <si>
    <t>In addition to the cost of labor and materials (Direct Costs) needed to construct the various projects identified in the Pre-Concept Phase, Mark ups are applied to cover the multitude of other related costs.  Below we have included Mark Up categories with line items that are traditionally included within these groups. These items are identified in the markup section of the workbook.</t>
  </si>
  <si>
    <t>Culvert - 18" dia.</t>
  </si>
  <si>
    <t>Asphalt trail (mile)</t>
  </si>
  <si>
    <t>Concrete trail (mile)</t>
  </si>
  <si>
    <t>Native surface trail (mile)</t>
  </si>
  <si>
    <t>Length</t>
  </si>
  <si>
    <t>Width</t>
  </si>
  <si>
    <t>Culvert - 18" dia. or less</t>
  </si>
  <si>
    <t>Culvert - 24" dia. or less</t>
  </si>
  <si>
    <t>Culvert - 36" dia. or less</t>
  </si>
  <si>
    <t>Culvert - 48" dia. or less</t>
  </si>
  <si>
    <t>or # of stalls (9'x18')</t>
  </si>
  <si>
    <t>Length (Mile)</t>
  </si>
  <si>
    <t>Trail Network (Maintenance)</t>
  </si>
  <si>
    <t>Boardwalk - New Construction</t>
  </si>
  <si>
    <t>Trail Network - New Construction</t>
  </si>
  <si>
    <t>Trail Bridge - New Construction</t>
  </si>
  <si>
    <t>Culvert - New Construction</t>
  </si>
  <si>
    <t>Parking Lot - New Construction</t>
  </si>
  <si>
    <t>Trail Head Access Roads - New Construction</t>
  </si>
  <si>
    <t>Restroom - New Construction</t>
  </si>
  <si>
    <t>Restroom building</t>
  </si>
  <si>
    <t>Floor finish - etched concrete</t>
  </si>
  <si>
    <t>Power distribution and connection</t>
  </si>
  <si>
    <t>Exterior wall - 8" CMU</t>
  </si>
  <si>
    <t>Culvert - 36" dia.</t>
  </si>
  <si>
    <t>Culvert - 48" dia.</t>
  </si>
  <si>
    <t>Asphalt overlay</t>
  </si>
  <si>
    <t>Base compaction</t>
  </si>
  <si>
    <t>Trail - Asphalt (routine maintenance)</t>
  </si>
  <si>
    <t>Trail - Asphalt (major rehab)</t>
  </si>
  <si>
    <t>Asphalt - patch and repair</t>
  </si>
  <si>
    <t>Trail - Concrete (major rehab)</t>
  </si>
  <si>
    <t>Trail - Concrete (routine maintenance)</t>
  </si>
  <si>
    <t>Concrete - patch and repair</t>
  </si>
  <si>
    <t>Trail System Maintenance</t>
  </si>
  <si>
    <t>Gravel - touch up 2" thk.</t>
  </si>
  <si>
    <t>Boardwalk System Maintenance</t>
  </si>
  <si>
    <t>Boardwalk - metal (major rehab)</t>
  </si>
  <si>
    <t>Boardwalk - metal (routine maintenance)</t>
  </si>
  <si>
    <t>Metal grid panel - replace as required</t>
  </si>
  <si>
    <t>Metal frame - replace as required</t>
  </si>
  <si>
    <t>Support structure/footing - repair as required</t>
  </si>
  <si>
    <t>Metal grid panel - clean and repair</t>
  </si>
  <si>
    <t>Metal frame - clean and repair</t>
  </si>
  <si>
    <t>Support structure/footing - clean and repair</t>
  </si>
  <si>
    <t xml:space="preserve">Asphalt trail  </t>
  </si>
  <si>
    <t>Major rehab</t>
  </si>
  <si>
    <t>Routine maintenance</t>
  </si>
  <si>
    <t>Concrete trail</t>
  </si>
  <si>
    <t>Boardwalk (Maintenance)</t>
  </si>
  <si>
    <t>Trail Bridge (Maintenance)</t>
  </si>
  <si>
    <t>Culvert (Maintenance)</t>
  </si>
  <si>
    <t>Parking Lot (Maintenance)</t>
  </si>
  <si>
    <t>Restroom (Maintenance)</t>
  </si>
  <si>
    <t>Boardwalk - timber (major rehab)</t>
  </si>
  <si>
    <t>Boardwalk - timber (routine maintenance)</t>
  </si>
  <si>
    <t>Boardwalk - synthetic (major rehab)</t>
  </si>
  <si>
    <t>Boardwalk - synthetic (routine maintenance)</t>
  </si>
  <si>
    <t>Bridge - metal (major rehab)</t>
  </si>
  <si>
    <t>Bridge - metal (routine maintenance)</t>
  </si>
  <si>
    <t>Timber plank - replace as required</t>
  </si>
  <si>
    <t>Timber frame - replace as required</t>
  </si>
  <si>
    <t>Timber plank - clean and repair</t>
  </si>
  <si>
    <t>Synthetic frame - replace as required</t>
  </si>
  <si>
    <t>Synthetic frame - clean and repair</t>
  </si>
  <si>
    <t>Railing - metal - replace as required</t>
  </si>
  <si>
    <t>Railing - metal - clean and repair</t>
  </si>
  <si>
    <t>Bridge - timber (routine maintenance)</t>
  </si>
  <si>
    <t>Bridge - timber (major rehab)</t>
  </si>
  <si>
    <t>Bridge - synthetic (major rehab)</t>
  </si>
  <si>
    <t>Bridge - synthetic (routine maintenance)</t>
  </si>
  <si>
    <t>Culvert - repair and replace as required</t>
  </si>
  <si>
    <t>Bridge System Maintenance</t>
  </si>
  <si>
    <t>Culvert Maintenance</t>
  </si>
  <si>
    <t>Parking lot - asphalt (major rehab)</t>
  </si>
  <si>
    <t>Parking lot - asphalt (routine maintenance)</t>
  </si>
  <si>
    <t>Parking lot - concrete (major rehab)</t>
  </si>
  <si>
    <t>Parking lot - concrete (routine maintenance)</t>
  </si>
  <si>
    <t>Parking lot - gravel (major rehab)</t>
  </si>
  <si>
    <t>Parking lot - gravel (routine maintenance)</t>
  </si>
  <si>
    <t>Trailhead - asphalt surface (major rehab)</t>
  </si>
  <si>
    <t>Trailhead - concrete surface</t>
  </si>
  <si>
    <t>Trailhead - concrete surface (major rehab)</t>
  </si>
  <si>
    <t>Trailhead - gravel surface (major rehab)</t>
  </si>
  <si>
    <t>Entry sign - clean and repair</t>
  </si>
  <si>
    <t>Gate/bollard - repair as required</t>
  </si>
  <si>
    <t>Parking Lot Maintenance</t>
  </si>
  <si>
    <t>Restroom Maintenance</t>
  </si>
  <si>
    <t>Trailhead - gravel surface (routine maintenance)</t>
  </si>
  <si>
    <t>Restroom building (major rehab)</t>
  </si>
  <si>
    <t>Restroom building (routine maintenance)</t>
  </si>
  <si>
    <t>Exterior cleaning and repair</t>
  </si>
  <si>
    <t>Interior - clean and repair</t>
  </si>
  <si>
    <t>Toilet room accessories - replace</t>
  </si>
  <si>
    <t>Signage - replace</t>
  </si>
  <si>
    <t>Floor drain - repair as required</t>
  </si>
  <si>
    <t>Lighting and controls - replace</t>
  </si>
  <si>
    <t>Plumbing fixtures - replace as required</t>
  </si>
  <si>
    <t>Plumbing fixtures - repair as required</t>
  </si>
  <si>
    <t>Exterior - clean and repair</t>
  </si>
  <si>
    <t># of stalls</t>
  </si>
  <si>
    <t>Culvert - 24" dia.</t>
  </si>
  <si>
    <t>Synthetic plank</t>
  </si>
  <si>
    <t>Trailhead Access Road</t>
  </si>
  <si>
    <t>Timber frame - clean and repair</t>
  </si>
  <si>
    <t>Synthetic plank - replace as required</t>
  </si>
  <si>
    <t>Synthetic plank - clean and repair</t>
  </si>
  <si>
    <t>Trailhead Access Road Maintenance</t>
  </si>
  <si>
    <t>Trailhead - asphalt surface (routine maintenance)</t>
  </si>
  <si>
    <t>Trailhead - concrete surface (routine maintenance)</t>
  </si>
  <si>
    <t>Trail - Gravel</t>
  </si>
  <si>
    <t>Trail - Native Surface</t>
  </si>
  <si>
    <t>Trail compaction</t>
  </si>
  <si>
    <t>Gravel trail (mile)</t>
  </si>
  <si>
    <t>Gravel trail</t>
  </si>
  <si>
    <t>Native surface trail</t>
  </si>
  <si>
    <t>Trail - Gravel (major rehab)</t>
  </si>
  <si>
    <t>Trail - Gravel  (routine maintenance)</t>
  </si>
  <si>
    <t>Trail - Native Surface (major rehab)</t>
  </si>
  <si>
    <t>Trail - Native Surface  (routine maintenance)</t>
  </si>
  <si>
    <t>Infill - replace loose material</t>
  </si>
  <si>
    <t>Boardwalk - concrete</t>
  </si>
  <si>
    <t>Concrete deck, incl. frame</t>
  </si>
  <si>
    <t>Boardwalk - fiberglass</t>
  </si>
  <si>
    <t>Fiberglass plank</t>
  </si>
  <si>
    <t>Fiberglass frame</t>
  </si>
  <si>
    <t>Bridge - steel</t>
  </si>
  <si>
    <t>Bridge - fiberglass</t>
  </si>
  <si>
    <t>fiberglass plank</t>
  </si>
  <si>
    <t>fiberglass frame</t>
  </si>
  <si>
    <t>Bridge - concrete</t>
  </si>
  <si>
    <t>Railing - concrete</t>
  </si>
  <si>
    <t>Concrete structure</t>
  </si>
  <si>
    <t>Fiberglass structure</t>
  </si>
  <si>
    <t>Culvert - 18" dia. (major rehab)</t>
  </si>
  <si>
    <t>Culvert - 24" dia. (major rehab)</t>
  </si>
  <si>
    <t>Culvert - 36" dia. (major rehab)</t>
  </si>
  <si>
    <t>Culvert - 48" dia. (major rehab)</t>
  </si>
  <si>
    <t>Culvert - 18" dia. (routine maint.)</t>
  </si>
  <si>
    <t>Culvert - 24" dia. (routine maint.)</t>
  </si>
  <si>
    <t>Culvert - 36" dia. (routine maint.)</t>
  </si>
  <si>
    <t>Culvert - 48" dia. (routine maint.)</t>
  </si>
  <si>
    <t>Trail Access Road</t>
  </si>
  <si>
    <t>Boardwalk - metal</t>
  </si>
  <si>
    <t>Vault</t>
  </si>
  <si>
    <t>Vault - one stall</t>
  </si>
  <si>
    <t>Vault - two stall</t>
  </si>
  <si>
    <t>Vault system - allow</t>
  </si>
  <si>
    <t>Flush</t>
  </si>
  <si>
    <t>Flush - one stall</t>
  </si>
  <si>
    <t>Flush - two stall</t>
  </si>
  <si>
    <t>Flush - three to five stall</t>
  </si>
  <si>
    <t>FLush - six +</t>
  </si>
  <si>
    <r>
      <rPr>
        <b/>
        <i/>
        <sz val="12"/>
        <rFont val="Arial"/>
        <family val="2"/>
      </rPr>
      <t>NOTE:</t>
    </r>
    <r>
      <rPr>
        <i/>
        <sz val="12"/>
        <rFont val="Arial"/>
        <family val="2"/>
      </rPr>
      <t xml:space="preserve"> This tool is being provided as a resource and is based on construction cost averages in 2018. It does not take recent cost increases into account. Grant applicants or anyone else using this tool should consult with local contractors, vendors, and other industry professionals to develop an accurate project budget reflective of current market rates. (JB 7/19/2022)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</si>
</sst>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16" x14ac:knownFonts="1">
    <font>
      <sz val="11"/>
      <color theme="1"/>
      <name val="Calibri"/>
      <family val="2"/>
      <scheme val="minor"/>
    </font>
    <font>
      <sz val="11"/>
      <color theme="1"/>
      <name val="Calibri"/>
      <family val="2"/>
      <scheme val="minor"/>
    </font>
    <font>
      <sz val="11"/>
      <color theme="1"/>
      <name val="Arial"/>
      <family val="2"/>
    </font>
    <font>
      <sz val="12"/>
      <color theme="0"/>
      <name val="Arial"/>
      <family val="2"/>
    </font>
    <font>
      <i/>
      <sz val="12"/>
      <name val="Arial"/>
      <family val="2"/>
    </font>
    <font>
      <b/>
      <i/>
      <sz val="11"/>
      <name val="Arial"/>
      <family val="2"/>
    </font>
    <font>
      <i/>
      <sz val="12"/>
      <color theme="0"/>
      <name val="Arial"/>
      <family val="2"/>
    </font>
    <font>
      <b/>
      <sz val="11"/>
      <color theme="1"/>
      <name val="Arial"/>
      <family val="2"/>
    </font>
    <font>
      <sz val="10"/>
      <color theme="1"/>
      <name val="Arial"/>
      <family val="2"/>
    </font>
    <font>
      <b/>
      <sz val="10"/>
      <color theme="1"/>
      <name val="Arial"/>
      <family val="2"/>
    </font>
    <font>
      <sz val="10"/>
      <color theme="0" tint="-0.499984740745262"/>
      <name val="Arial"/>
      <family val="2"/>
    </font>
    <font>
      <b/>
      <sz val="10"/>
      <color theme="0"/>
      <name val="Arial"/>
      <family val="2"/>
    </font>
    <font>
      <sz val="10"/>
      <color rgb="FFFF0000"/>
      <name val="Arial"/>
      <family val="2"/>
    </font>
    <font>
      <sz val="10"/>
      <name val="Arial"/>
      <family val="2"/>
    </font>
    <font>
      <sz val="10"/>
      <color theme="0"/>
      <name val="Arial"/>
      <family val="2"/>
    </font>
    <font>
      <b/>
      <i/>
      <sz val="12"/>
      <name val="Arial"/>
      <family val="2"/>
    </font>
  </fonts>
  <fills count="11">
    <fill>
      <patternFill patternType="none"/>
    </fill>
    <fill>
      <patternFill patternType="gray125"/>
    </fill>
    <fill>
      <patternFill patternType="solid">
        <fgColor rgb="FF920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rgb="FFC00000"/>
        <bgColor indexed="64"/>
      </patternFill>
    </fill>
    <fill>
      <patternFill patternType="solid">
        <fgColor theme="4" tint="0.59999389629810485"/>
        <bgColor indexed="64"/>
      </patternFill>
    </fill>
    <fill>
      <patternFill patternType="solid">
        <fgColor rgb="FF225838"/>
        <bgColor indexed="64"/>
      </patternFill>
    </fill>
  </fills>
  <borders count="3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hair">
        <color auto="1"/>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auto="1"/>
      </top>
      <bottom style="medium">
        <color indexed="64"/>
      </bottom>
      <diagonal/>
    </border>
    <border>
      <left/>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indexed="64"/>
      </left>
      <right/>
      <top/>
      <bottom style="thin">
        <color indexed="64"/>
      </bottom>
      <diagonal/>
    </border>
    <border>
      <left/>
      <right/>
      <top style="thin">
        <color indexed="64"/>
      </top>
      <bottom/>
      <diagonal/>
    </border>
    <border>
      <left style="thin">
        <color auto="1"/>
      </left>
      <right style="thin">
        <color auto="1"/>
      </right>
      <top style="thin">
        <color auto="1"/>
      </top>
      <bottom/>
      <diagonal/>
    </border>
    <border>
      <left style="medium">
        <color auto="1"/>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6">
    <xf numFmtId="0" fontId="0" fillId="0" borderId="0" xfId="0"/>
    <xf numFmtId="0" fontId="2" fillId="0" borderId="0" xfId="0" applyFont="1"/>
    <xf numFmtId="0" fontId="2" fillId="3" borderId="0" xfId="0" applyFont="1" applyFill="1"/>
    <xf numFmtId="164" fontId="2" fillId="0" borderId="0" xfId="1" applyNumberFormat="1" applyFont="1"/>
    <xf numFmtId="0" fontId="2" fillId="0" borderId="0" xfId="0" applyFont="1" applyAlignment="1">
      <alignment wrapText="1"/>
    </xf>
    <xf numFmtId="0" fontId="5" fillId="2" borderId="0" xfId="0" applyFont="1" applyFill="1" applyBorder="1" applyAlignment="1">
      <alignment horizontal="left" wrapText="1"/>
    </xf>
    <xf numFmtId="0" fontId="7" fillId="0" borderId="0" xfId="0" applyFont="1" applyBorder="1" applyAlignment="1">
      <alignment wrapText="1"/>
    </xf>
    <xf numFmtId="0" fontId="2" fillId="0" borderId="8" xfId="0" applyFont="1" applyBorder="1"/>
    <xf numFmtId="3" fontId="2" fillId="3" borderId="8" xfId="0" applyNumberFormat="1" applyFont="1" applyFill="1" applyBorder="1"/>
    <xf numFmtId="4" fontId="2" fillId="3" borderId="8" xfId="0" applyNumberFormat="1" applyFont="1" applyFill="1" applyBorder="1"/>
    <xf numFmtId="4" fontId="7" fillId="0" borderId="8" xfId="0" applyNumberFormat="1" applyFont="1" applyBorder="1" applyAlignment="1">
      <alignment horizontal="right"/>
    </xf>
    <xf numFmtId="165" fontId="7" fillId="0" borderId="8" xfId="2" applyNumberFormat="1" applyFont="1" applyBorder="1" applyAlignment="1">
      <alignment horizontal="right"/>
    </xf>
    <xf numFmtId="165" fontId="7" fillId="0" borderId="11" xfId="2" applyNumberFormat="1" applyFont="1" applyBorder="1"/>
    <xf numFmtId="0" fontId="2" fillId="0" borderId="11" xfId="0" applyFont="1" applyFill="1" applyBorder="1" applyAlignment="1">
      <alignment wrapText="1"/>
    </xf>
    <xf numFmtId="0" fontId="2" fillId="0" borderId="0" xfId="0" applyFont="1" applyFill="1" applyBorder="1" applyAlignment="1">
      <alignment wrapText="1"/>
    </xf>
    <xf numFmtId="0" fontId="2" fillId="5" borderId="2" xfId="0" applyFont="1" applyFill="1" applyBorder="1"/>
    <xf numFmtId="0" fontId="2" fillId="5" borderId="3" xfId="0" applyFont="1" applyFill="1" applyBorder="1"/>
    <xf numFmtId="4" fontId="2" fillId="5" borderId="3" xfId="0" applyNumberFormat="1" applyFont="1" applyFill="1" applyBorder="1"/>
    <xf numFmtId="0" fontId="2" fillId="5" borderId="12" xfId="0" applyFont="1" applyFill="1" applyBorder="1" applyAlignment="1">
      <alignment wrapText="1"/>
    </xf>
    <xf numFmtId="0" fontId="2" fillId="0" borderId="0" xfId="0" applyFont="1" applyBorder="1" applyAlignment="1">
      <alignment wrapText="1"/>
    </xf>
    <xf numFmtId="0" fontId="2" fillId="0" borderId="7" xfId="0" applyFont="1" applyBorder="1"/>
    <xf numFmtId="3" fontId="2" fillId="3" borderId="7" xfId="0" applyNumberFormat="1" applyFont="1" applyFill="1" applyBorder="1"/>
    <xf numFmtId="4" fontId="2" fillId="3" borderId="0" xfId="0" applyNumberFormat="1" applyFont="1" applyFill="1" applyBorder="1"/>
    <xf numFmtId="4" fontId="2" fillId="4" borderId="9" xfId="0" applyNumberFormat="1" applyFont="1" applyFill="1" applyBorder="1" applyAlignment="1">
      <alignment horizontal="center"/>
    </xf>
    <xf numFmtId="3" fontId="2" fillId="4" borderId="9" xfId="0" applyNumberFormat="1" applyFont="1" applyFill="1" applyBorder="1" applyAlignment="1">
      <alignment horizontal="center"/>
    </xf>
    <xf numFmtId="4" fontId="2" fillId="0" borderId="7" xfId="0" applyNumberFormat="1" applyFont="1" applyBorder="1"/>
    <xf numFmtId="44" fontId="7" fillId="0" borderId="7" xfId="1" applyNumberFormat="1" applyFont="1" applyBorder="1"/>
    <xf numFmtId="0" fontId="2" fillId="0" borderId="7" xfId="0" applyFont="1" applyBorder="1" applyAlignment="1">
      <alignment wrapText="1"/>
    </xf>
    <xf numFmtId="0" fontId="2" fillId="0" borderId="7" xfId="0" applyFont="1" applyFill="1" applyBorder="1"/>
    <xf numFmtId="3" fontId="2" fillId="0" borderId="7" xfId="0" applyNumberFormat="1" applyFont="1" applyFill="1" applyBorder="1"/>
    <xf numFmtId="4" fontId="2" fillId="0" borderId="6" xfId="0" applyNumberFormat="1" applyFont="1" applyFill="1" applyBorder="1"/>
    <xf numFmtId="44" fontId="7" fillId="0" borderId="7" xfId="1" applyNumberFormat="1" applyFont="1" applyFill="1" applyBorder="1"/>
    <xf numFmtId="0" fontId="2" fillId="0" borderId="7" xfId="0" applyFont="1" applyFill="1" applyBorder="1" applyAlignment="1">
      <alignment wrapText="1"/>
    </xf>
    <xf numFmtId="0" fontId="2" fillId="0" borderId="6" xfId="0" applyFont="1" applyFill="1" applyBorder="1"/>
    <xf numFmtId="3" fontId="2" fillId="0" borderId="6" xfId="0" applyNumberFormat="1" applyFont="1" applyFill="1" applyBorder="1"/>
    <xf numFmtId="0" fontId="2" fillId="0" borderId="6" xfId="0" applyFont="1" applyFill="1" applyBorder="1" applyAlignment="1">
      <alignment wrapText="1"/>
    </xf>
    <xf numFmtId="3" fontId="2" fillId="3" borderId="6" xfId="0" applyNumberFormat="1" applyFont="1" applyFill="1" applyBorder="1"/>
    <xf numFmtId="4" fontId="2" fillId="3" borderId="6" xfId="0" applyNumberFormat="1" applyFont="1" applyFill="1" applyBorder="1"/>
    <xf numFmtId="4" fontId="2" fillId="0" borderId="6" xfId="0" applyNumberFormat="1" applyFont="1" applyBorder="1"/>
    <xf numFmtId="164" fontId="7" fillId="0" borderId="6" xfId="1" applyNumberFormat="1" applyFont="1" applyBorder="1"/>
    <xf numFmtId="0" fontId="2" fillId="0" borderId="8" xfId="0" applyFont="1" applyFill="1" applyBorder="1" applyAlignment="1">
      <alignment wrapText="1"/>
    </xf>
    <xf numFmtId="0" fontId="2" fillId="0" borderId="6" xfId="0" applyFont="1" applyBorder="1"/>
    <xf numFmtId="4" fontId="7" fillId="0" borderId="6" xfId="0" applyNumberFormat="1" applyFont="1" applyBorder="1" applyAlignment="1">
      <alignment horizontal="right"/>
    </xf>
    <xf numFmtId="44" fontId="7" fillId="0" borderId="6" xfId="1" applyNumberFormat="1" applyFont="1" applyBorder="1"/>
    <xf numFmtId="0" fontId="2" fillId="0" borderId="0" xfId="0" applyFont="1" applyBorder="1"/>
    <xf numFmtId="3" fontId="2" fillId="3" borderId="0" xfId="0" applyNumberFormat="1" applyFont="1" applyFill="1" applyBorder="1"/>
    <xf numFmtId="4" fontId="7" fillId="0" borderId="0" xfId="0" applyNumberFormat="1" applyFont="1" applyBorder="1" applyAlignment="1">
      <alignment horizontal="right"/>
    </xf>
    <xf numFmtId="164" fontId="7" fillId="0" borderId="0" xfId="1" applyNumberFormat="1" applyFont="1" applyBorder="1"/>
    <xf numFmtId="4" fontId="2" fillId="0" borderId="7" xfId="0" applyNumberFormat="1" applyFont="1" applyFill="1" applyBorder="1"/>
    <xf numFmtId="4" fontId="2" fillId="0" borderId="0" xfId="0" applyNumberFormat="1" applyFont="1" applyFill="1" applyBorder="1"/>
    <xf numFmtId="0" fontId="2" fillId="0" borderId="5" xfId="0" applyFont="1" applyFill="1" applyBorder="1" applyAlignment="1">
      <alignment wrapText="1"/>
    </xf>
    <xf numFmtId="0" fontId="2" fillId="5" borderId="4" xfId="0" applyFont="1" applyFill="1" applyBorder="1" applyAlignment="1">
      <alignment wrapText="1"/>
    </xf>
    <xf numFmtId="4" fontId="2" fillId="0" borderId="0" xfId="0" applyNumberFormat="1" applyFont="1" applyBorder="1"/>
    <xf numFmtId="0" fontId="2" fillId="0" borderId="7" xfId="0" applyFont="1" applyFill="1" applyBorder="1" applyAlignment="1">
      <alignment horizontal="left" indent="1"/>
    </xf>
    <xf numFmtId="3" fontId="2" fillId="0" borderId="19" xfId="0" applyNumberFormat="1" applyFont="1" applyFill="1" applyBorder="1" applyAlignment="1">
      <alignment horizontal="center"/>
    </xf>
    <xf numFmtId="3" fontId="2" fillId="4" borderId="14" xfId="0" applyNumberFormat="1" applyFont="1" applyFill="1" applyBorder="1" applyAlignment="1">
      <alignment horizontal="center"/>
    </xf>
    <xf numFmtId="3" fontId="2" fillId="0" borderId="0" xfId="0" applyNumberFormat="1" applyFont="1" applyFill="1" applyBorder="1" applyAlignment="1">
      <alignment horizontal="center"/>
    </xf>
    <xf numFmtId="4" fontId="7" fillId="0" borderId="7" xfId="0" applyNumberFormat="1" applyFont="1" applyBorder="1" applyAlignment="1">
      <alignment horizontal="right"/>
    </xf>
    <xf numFmtId="0" fontId="2" fillId="9" borderId="2" xfId="0" applyFont="1" applyFill="1" applyBorder="1"/>
    <xf numFmtId="0" fontId="2" fillId="9" borderId="3" xfId="0" applyFont="1" applyFill="1" applyBorder="1"/>
    <xf numFmtId="4" fontId="2" fillId="9" borderId="3" xfId="0" applyNumberFormat="1" applyFont="1" applyFill="1" applyBorder="1"/>
    <xf numFmtId="0" fontId="2" fillId="9" borderId="12" xfId="0" applyFont="1" applyFill="1" applyBorder="1" applyAlignment="1">
      <alignment wrapText="1"/>
    </xf>
    <xf numFmtId="0" fontId="2" fillId="0" borderId="7" xfId="0" applyFont="1" applyBorder="1" applyAlignment="1">
      <alignment horizontal="left" indent="1"/>
    </xf>
    <xf numFmtId="4" fontId="2" fillId="4" borderId="14" xfId="0" applyNumberFormat="1" applyFont="1" applyFill="1" applyBorder="1" applyAlignment="1">
      <alignment horizontal="center"/>
    </xf>
    <xf numFmtId="4" fontId="2" fillId="4" borderId="21" xfId="0" applyNumberFormat="1" applyFont="1" applyFill="1" applyBorder="1" applyAlignment="1">
      <alignment horizontal="center"/>
    </xf>
    <xf numFmtId="3" fontId="2" fillId="4" borderId="21" xfId="0" applyNumberFormat="1" applyFont="1" applyFill="1" applyBorder="1" applyAlignment="1">
      <alignment horizontal="center"/>
    </xf>
    <xf numFmtId="4" fontId="2" fillId="0" borderId="0" xfId="0" applyNumberFormat="1" applyFont="1" applyFill="1" applyBorder="1" applyAlignment="1">
      <alignment horizontal="center"/>
    </xf>
    <xf numFmtId="0" fontId="2" fillId="0" borderId="8" xfId="0" applyFont="1" applyFill="1" applyBorder="1"/>
    <xf numFmtId="0" fontId="2" fillId="9" borderId="4" xfId="0" applyFont="1" applyFill="1" applyBorder="1" applyAlignment="1">
      <alignment wrapText="1"/>
    </xf>
    <xf numFmtId="0" fontId="7" fillId="0" borderId="0" xfId="0" applyFont="1" applyAlignment="1">
      <alignment vertical="center"/>
    </xf>
    <xf numFmtId="0" fontId="2" fillId="0" borderId="0" xfId="0" applyFont="1" applyAlignment="1">
      <alignment vertical="center"/>
    </xf>
    <xf numFmtId="0" fontId="7" fillId="3" borderId="22" xfId="0" applyFont="1" applyFill="1" applyBorder="1" applyAlignment="1">
      <alignment horizontal="center" vertical="center"/>
    </xf>
    <xf numFmtId="0" fontId="7" fillId="3" borderId="22" xfId="0" applyFont="1" applyFill="1" applyBorder="1" applyAlignment="1">
      <alignment horizontal="center" vertical="center" wrapText="1"/>
    </xf>
    <xf numFmtId="0" fontId="7" fillId="0" borderId="22" xfId="0" applyFont="1" applyBorder="1" applyAlignment="1">
      <alignment horizontal="center" vertical="center" wrapText="1"/>
    </xf>
    <xf numFmtId="164" fontId="7" fillId="0" borderId="22" xfId="1" applyNumberFormat="1" applyFont="1" applyBorder="1" applyAlignment="1">
      <alignment horizontal="center" vertical="center" wrapText="1"/>
    </xf>
    <xf numFmtId="0" fontId="7" fillId="0" borderId="0" xfId="0" applyFont="1" applyAlignment="1">
      <alignment horizontal="left" vertical="center"/>
    </xf>
    <xf numFmtId="0" fontId="2" fillId="0" borderId="0" xfId="0" applyFont="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164" fontId="7" fillId="0" borderId="1" xfId="1" applyNumberFormat="1"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xf numFmtId="44" fontId="8" fillId="0" borderId="0" xfId="1" applyFont="1" applyFill="1"/>
    <xf numFmtId="0" fontId="8" fillId="5" borderId="0" xfId="0" applyFont="1" applyFill="1"/>
    <xf numFmtId="0" fontId="9" fillId="5" borderId="0" xfId="0" applyFont="1" applyFill="1"/>
    <xf numFmtId="44" fontId="8" fillId="5" borderId="0" xfId="1" applyFont="1" applyFill="1"/>
    <xf numFmtId="0" fontId="8" fillId="0" borderId="0" xfId="0" applyFont="1" applyFill="1"/>
    <xf numFmtId="0" fontId="9" fillId="0" borderId="0" xfId="0" applyFont="1" applyFill="1"/>
    <xf numFmtId="0" fontId="9" fillId="0" borderId="0" xfId="0" applyFont="1"/>
    <xf numFmtId="0" fontId="8" fillId="0" borderId="10" xfId="0" applyFont="1" applyBorder="1"/>
    <xf numFmtId="44" fontId="8" fillId="0" borderId="10" xfId="1" applyFont="1" applyFill="1" applyBorder="1"/>
    <xf numFmtId="44" fontId="9" fillId="0" borderId="0" xfId="1" applyFont="1" applyFill="1"/>
    <xf numFmtId="0" fontId="8" fillId="0" borderId="10" xfId="0" applyFont="1" applyFill="1" applyBorder="1"/>
    <xf numFmtId="0" fontId="8" fillId="0" borderId="0" xfId="0" applyFont="1" applyBorder="1"/>
    <xf numFmtId="44" fontId="9" fillId="0" borderId="0" xfId="1" applyFont="1" applyFill="1" applyBorder="1"/>
    <xf numFmtId="44" fontId="9" fillId="0" borderId="0" xfId="1" applyNumberFormat="1" applyFont="1" applyFill="1"/>
    <xf numFmtId="44" fontId="8" fillId="0" borderId="0" xfId="0" applyNumberFormat="1" applyFont="1"/>
    <xf numFmtId="0" fontId="8" fillId="0" borderId="0" xfId="0" applyFont="1" applyAlignment="1">
      <alignment horizontal="left"/>
    </xf>
    <xf numFmtId="0" fontId="8" fillId="0" borderId="0" xfId="0" applyFont="1" applyFill="1" applyAlignment="1">
      <alignment horizontal="left"/>
    </xf>
    <xf numFmtId="0" fontId="8" fillId="0" borderId="20" xfId="0" applyFont="1" applyBorder="1"/>
    <xf numFmtId="44" fontId="9" fillId="0" borderId="20" xfId="1" applyFont="1" applyFill="1" applyBorder="1"/>
    <xf numFmtId="0" fontId="8" fillId="9" borderId="0" xfId="0" applyFont="1" applyFill="1"/>
    <xf numFmtId="0" fontId="9" fillId="9" borderId="0" xfId="0" applyFont="1" applyFill="1"/>
    <xf numFmtId="44" fontId="8" fillId="9" borderId="0" xfId="1" applyFont="1" applyFill="1"/>
    <xf numFmtId="44" fontId="8" fillId="0" borderId="0" xfId="1" applyFont="1" applyFill="1" applyBorder="1"/>
    <xf numFmtId="44" fontId="8" fillId="0" borderId="20" xfId="0" applyNumberFormat="1" applyFont="1" applyBorder="1"/>
    <xf numFmtId="44" fontId="8" fillId="3" borderId="0" xfId="1" applyFont="1" applyFill="1"/>
    <xf numFmtId="0" fontId="10" fillId="0" borderId="0" xfId="0" applyFont="1" applyFill="1"/>
    <xf numFmtId="9" fontId="10" fillId="0" borderId="0" xfId="2" applyFont="1" applyFill="1"/>
    <xf numFmtId="0" fontId="8" fillId="0" borderId="0" xfId="0" applyFont="1" applyFill="1" applyBorder="1"/>
    <xf numFmtId="0" fontId="8" fillId="0" borderId="13" xfId="0" applyFont="1" applyFill="1" applyBorder="1" applyAlignment="1">
      <alignment horizontal="right"/>
    </xf>
    <xf numFmtId="10" fontId="12" fillId="0" borderId="14" xfId="0" applyNumberFormat="1" applyFont="1" applyFill="1" applyBorder="1"/>
    <xf numFmtId="165" fontId="10" fillId="0" borderId="0" xfId="2" applyNumberFormat="1" applyFont="1" applyFill="1"/>
    <xf numFmtId="0" fontId="13" fillId="0" borderId="13" xfId="0" applyFont="1" applyFill="1" applyBorder="1" applyAlignment="1">
      <alignment horizontal="right"/>
    </xf>
    <xf numFmtId="0" fontId="13" fillId="0" borderId="0" xfId="0" applyFont="1" applyFill="1" applyBorder="1" applyAlignment="1">
      <alignment horizontal="right"/>
    </xf>
    <xf numFmtId="10" fontId="12" fillId="0" borderId="0" xfId="0" applyNumberFormat="1" applyFont="1" applyFill="1" applyBorder="1"/>
    <xf numFmtId="0" fontId="8" fillId="0" borderId="15" xfId="0" applyFont="1" applyBorder="1" applyAlignment="1">
      <alignment wrapText="1"/>
    </xf>
    <xf numFmtId="9" fontId="12" fillId="0" borderId="0" xfId="2" applyFont="1" applyBorder="1"/>
    <xf numFmtId="0" fontId="8" fillId="0" borderId="16" xfId="0" applyFont="1" applyBorder="1"/>
    <xf numFmtId="9" fontId="12" fillId="0" borderId="12" xfId="2" applyNumberFormat="1" applyFont="1" applyBorder="1"/>
    <xf numFmtId="0" fontId="8" fillId="0" borderId="12" xfId="0" applyFont="1" applyBorder="1"/>
    <xf numFmtId="0" fontId="13" fillId="0" borderId="17" xfId="0" applyFont="1" applyFill="1" applyBorder="1" applyAlignment="1">
      <alignment horizontal="right"/>
    </xf>
    <xf numFmtId="10" fontId="12" fillId="0" borderId="18" xfId="0" applyNumberFormat="1" applyFont="1" applyFill="1" applyBorder="1"/>
    <xf numFmtId="10" fontId="8" fillId="0" borderId="0" xfId="0" applyNumberFormat="1" applyFont="1"/>
    <xf numFmtId="0" fontId="9" fillId="0" borderId="0" xfId="0" applyFont="1" applyAlignment="1">
      <alignment wrapText="1"/>
    </xf>
    <xf numFmtId="9" fontId="2" fillId="0" borderId="0" xfId="2" applyFont="1"/>
    <xf numFmtId="0" fontId="8" fillId="0" borderId="0" xfId="0" applyFont="1" applyAlignment="1">
      <alignment wrapText="1"/>
    </xf>
    <xf numFmtId="9" fontId="2" fillId="0" borderId="0" xfId="0" applyNumberFormat="1" applyFont="1"/>
    <xf numFmtId="0" fontId="3" fillId="10" borderId="23" xfId="0" applyFont="1" applyFill="1" applyBorder="1" applyAlignment="1"/>
    <xf numFmtId="0" fontId="4" fillId="10" borderId="24" xfId="0" applyFont="1" applyFill="1" applyBorder="1" applyAlignment="1">
      <alignment horizontal="left"/>
    </xf>
    <xf numFmtId="164" fontId="4" fillId="10" borderId="24" xfId="1" applyNumberFormat="1" applyFont="1" applyFill="1" applyBorder="1" applyAlignment="1">
      <alignment horizontal="left"/>
    </xf>
    <xf numFmtId="0" fontId="3" fillId="10" borderId="25" xfId="0" applyFont="1" applyFill="1" applyBorder="1" applyAlignment="1">
      <alignment horizontal="right"/>
    </xf>
    <xf numFmtId="0" fontId="3" fillId="10" borderId="16" xfId="0" applyFont="1" applyFill="1" applyBorder="1" applyAlignment="1">
      <alignment horizontal="left"/>
    </xf>
    <xf numFmtId="0" fontId="4" fillId="10" borderId="12" xfId="0" applyFont="1" applyFill="1" applyBorder="1" applyAlignment="1">
      <alignment horizontal="left"/>
    </xf>
    <xf numFmtId="164" fontId="4" fillId="10" borderId="12" xfId="1" applyNumberFormat="1" applyFont="1" applyFill="1" applyBorder="1" applyAlignment="1">
      <alignment horizontal="left"/>
    </xf>
    <xf numFmtId="0" fontId="6" fillId="10" borderId="26" xfId="0" applyFont="1" applyFill="1" applyBorder="1" applyAlignment="1">
      <alignment horizontal="right" wrapText="1"/>
    </xf>
    <xf numFmtId="0" fontId="14" fillId="10" borderId="2" xfId="0" applyFont="1" applyFill="1" applyBorder="1"/>
    <xf numFmtId="0" fontId="14" fillId="10" borderId="3" xfId="0" applyFont="1" applyFill="1" applyBorder="1" applyAlignment="1">
      <alignment horizontal="center"/>
    </xf>
    <xf numFmtId="44" fontId="14" fillId="10" borderId="4" xfId="1" applyFont="1" applyFill="1" applyBorder="1" applyAlignment="1">
      <alignment horizontal="center"/>
    </xf>
    <xf numFmtId="0" fontId="8" fillId="0" borderId="27" xfId="0" applyFont="1" applyFill="1" applyBorder="1" applyAlignment="1">
      <alignment horizontal="right"/>
    </xf>
    <xf numFmtId="10" fontId="12" fillId="0" borderId="9" xfId="0" applyNumberFormat="1" applyFont="1" applyFill="1" applyBorder="1"/>
    <xf numFmtId="0" fontId="11" fillId="6" borderId="28" xfId="0" applyFont="1" applyFill="1" applyBorder="1" applyAlignment="1">
      <alignment horizontal="center"/>
    </xf>
    <xf numFmtId="0" fontId="11" fillId="6" borderId="29" xfId="0" applyFont="1" applyFill="1" applyBorder="1" applyAlignment="1">
      <alignment horizontal="center"/>
    </xf>
    <xf numFmtId="0" fontId="11" fillId="7" borderId="28" xfId="0" applyFont="1" applyFill="1" applyBorder="1" applyAlignment="1">
      <alignment horizontal="center"/>
    </xf>
    <xf numFmtId="0" fontId="11" fillId="7" borderId="29" xfId="0" applyFont="1" applyFill="1" applyBorder="1" applyAlignment="1">
      <alignment horizontal="center"/>
    </xf>
    <xf numFmtId="0" fontId="11" fillId="8" borderId="28" xfId="0" applyFont="1" applyFill="1" applyBorder="1" applyAlignment="1">
      <alignment horizontal="center"/>
    </xf>
    <xf numFmtId="0" fontId="11" fillId="8" borderId="29" xfId="0" applyFont="1" applyFill="1" applyBorder="1" applyAlignment="1">
      <alignment horizontal="center"/>
    </xf>
    <xf numFmtId="0" fontId="13" fillId="0" borderId="0" xfId="0" applyFont="1"/>
    <xf numFmtId="0" fontId="13" fillId="0" borderId="0" xfId="0" applyFont="1" applyFill="1" applyBorder="1"/>
    <xf numFmtId="0" fontId="2" fillId="0" borderId="7" xfId="0" applyFont="1" applyFill="1" applyBorder="1" applyAlignment="1">
      <alignment horizontal="left" indent="2"/>
    </xf>
    <xf numFmtId="0" fontId="2" fillId="0" borderId="24" xfId="0" applyFont="1" applyFill="1" applyBorder="1" applyAlignment="1">
      <alignment wrapText="1"/>
    </xf>
    <xf numFmtId="0" fontId="11" fillId="10" borderId="3" xfId="0" applyFont="1" applyFill="1" applyBorder="1" applyAlignment="1">
      <alignment horizontal="left"/>
    </xf>
    <xf numFmtId="0" fontId="4" fillId="3" borderId="2" xfId="0" applyFont="1" applyFill="1" applyBorder="1" applyAlignment="1">
      <alignment horizontal="left" wrapText="1"/>
    </xf>
    <xf numFmtId="0" fontId="6" fillId="3" borderId="3" xfId="0" applyFont="1" applyFill="1" applyBorder="1" applyAlignment="1">
      <alignment horizontal="left" wrapText="1"/>
    </xf>
    <xf numFmtId="0" fontId="6" fillId="3" borderId="4" xfId="0" applyFont="1" applyFill="1" applyBorder="1" applyAlignment="1">
      <alignment horizontal="left"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225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33617</xdr:colOff>
      <xdr:row>0</xdr:row>
      <xdr:rowOff>78441</xdr:rowOff>
    </xdr:from>
    <xdr:to>
      <xdr:col>1</xdr:col>
      <xdr:colOff>305653</xdr:colOff>
      <xdr:row>0</xdr:row>
      <xdr:rowOff>1064559</xdr:rowOff>
    </xdr:to>
    <xdr:pic>
      <xdr:nvPicPr>
        <xdr:cNvPr id="3" name="Picture 2">
          <a:extLst>
            <a:ext uri="{FF2B5EF4-FFF2-40B4-BE49-F238E27FC236}">
              <a16:creationId xmlns:a16="http://schemas.microsoft.com/office/drawing/2014/main" id="{07E4CD95-1C75-4BDE-9FD9-CA4029116D79}"/>
            </a:ext>
          </a:extLst>
        </xdr:cNvPr>
        <xdr:cNvPicPr>
          <a:picLocks noChangeAspect="1"/>
        </xdr:cNvPicPr>
      </xdr:nvPicPr>
      <xdr:blipFill rotWithShape="1">
        <a:blip xmlns:r="http://schemas.openxmlformats.org/officeDocument/2006/relationships" r:embed="rId1"/>
        <a:srcRect l="11180" t="5623" r="11711" b="8434"/>
        <a:stretch/>
      </xdr:blipFill>
      <xdr:spPr>
        <a:xfrm>
          <a:off x="33617" y="78441"/>
          <a:ext cx="877154" cy="986118"/>
        </a:xfrm>
        <a:prstGeom prst="rect">
          <a:avLst/>
        </a:prstGeom>
      </xdr:spPr>
    </xdr:pic>
    <xdr:clientData/>
  </xdr:twoCellAnchor>
  <xdr:twoCellAnchor editAs="oneCell">
    <xdr:from>
      <xdr:col>10</xdr:col>
      <xdr:colOff>1658471</xdr:colOff>
      <xdr:row>0</xdr:row>
      <xdr:rowOff>179295</xdr:rowOff>
    </xdr:from>
    <xdr:to>
      <xdr:col>10</xdr:col>
      <xdr:colOff>3121176</xdr:colOff>
      <xdr:row>0</xdr:row>
      <xdr:rowOff>1024286</xdr:rowOff>
    </xdr:to>
    <xdr:pic>
      <xdr:nvPicPr>
        <xdr:cNvPr id="4" name="Picture 3">
          <a:extLst>
            <a:ext uri="{FF2B5EF4-FFF2-40B4-BE49-F238E27FC236}">
              <a16:creationId xmlns:a16="http://schemas.microsoft.com/office/drawing/2014/main" id="{3BE8C949-2306-4991-BE82-E286A908132B}"/>
            </a:ext>
          </a:extLst>
        </xdr:cNvPr>
        <xdr:cNvPicPr>
          <a:picLocks noChangeAspect="1"/>
        </xdr:cNvPicPr>
      </xdr:nvPicPr>
      <xdr:blipFill>
        <a:blip xmlns:r="http://schemas.openxmlformats.org/officeDocument/2006/relationships" r:embed="rId2"/>
        <a:stretch>
          <a:fillRect/>
        </a:stretch>
      </xdr:blipFill>
      <xdr:spPr>
        <a:xfrm>
          <a:off x="9838765" y="179295"/>
          <a:ext cx="1445560" cy="8297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66"/>
  <sheetViews>
    <sheetView tabSelected="1" view="pageBreakPreview" zoomScaleNormal="100" zoomScaleSheetLayoutView="100" workbookViewId="0">
      <selection activeCell="A4" sqref="A4:K4"/>
    </sheetView>
  </sheetViews>
  <sheetFormatPr defaultRowHeight="14.25" x14ac:dyDescent="0.2"/>
  <cols>
    <col min="1" max="1" width="9.140625" style="1"/>
    <col min="2" max="2" width="35.42578125" style="1" customWidth="1"/>
    <col min="3" max="3" width="8.85546875" style="2" hidden="1" customWidth="1"/>
    <col min="4" max="4" width="8.7109375" style="2" hidden="1" customWidth="1"/>
    <col min="5" max="5" width="12.28515625" style="2" hidden="1" customWidth="1"/>
    <col min="6" max="6" width="13.42578125" style="1" customWidth="1"/>
    <col min="7" max="7" width="13.7109375" style="1" customWidth="1"/>
    <col min="8" max="8" width="16.28515625" style="1" customWidth="1"/>
    <col min="9" max="9" width="15.5703125" style="1" customWidth="1"/>
    <col min="10" max="10" width="22.5703125" style="3" customWidth="1"/>
    <col min="11" max="11" width="48.5703125" style="4" customWidth="1"/>
    <col min="12" max="12" width="10.140625" style="4" hidden="1" customWidth="1"/>
    <col min="13" max="16384" width="9.140625" style="1"/>
  </cols>
  <sheetData>
    <row r="1" spans="1:12" ht="95.25" customHeight="1" thickBot="1" x14ac:dyDescent="0.25"/>
    <row r="2" spans="1:12" ht="15" x14ac:dyDescent="0.2">
      <c r="A2" s="129" t="s">
        <v>86</v>
      </c>
      <c r="B2" s="130"/>
      <c r="C2" s="130"/>
      <c r="D2" s="130"/>
      <c r="E2" s="130"/>
      <c r="F2" s="130"/>
      <c r="G2" s="130"/>
      <c r="H2" s="130"/>
      <c r="I2" s="130"/>
      <c r="J2" s="131"/>
      <c r="K2" s="132" t="s">
        <v>99</v>
      </c>
      <c r="L2" s="5"/>
    </row>
    <row r="3" spans="1:12" ht="15.75" thickBot="1" x14ac:dyDescent="0.25">
      <c r="A3" s="133" t="s">
        <v>6</v>
      </c>
      <c r="B3" s="134"/>
      <c r="C3" s="134"/>
      <c r="D3" s="134"/>
      <c r="E3" s="134"/>
      <c r="F3" s="134"/>
      <c r="G3" s="134"/>
      <c r="H3" s="134"/>
      <c r="I3" s="134"/>
      <c r="J3" s="135"/>
      <c r="K3" s="136" t="s">
        <v>100</v>
      </c>
      <c r="L3" s="5"/>
    </row>
    <row r="4" spans="1:12" ht="48.75" customHeight="1" thickBot="1" x14ac:dyDescent="0.25">
      <c r="A4" s="153" t="s">
        <v>323</v>
      </c>
      <c r="B4" s="154"/>
      <c r="C4" s="154"/>
      <c r="D4" s="154"/>
      <c r="E4" s="154"/>
      <c r="F4" s="154"/>
      <c r="G4" s="154"/>
      <c r="H4" s="154"/>
      <c r="I4" s="154"/>
      <c r="J4" s="154"/>
      <c r="K4" s="155"/>
      <c r="L4" s="5"/>
    </row>
    <row r="5" spans="1:12" ht="67.5" customHeight="1" thickBot="1" x14ac:dyDescent="0.3">
      <c r="A5" s="69" t="s">
        <v>5</v>
      </c>
      <c r="B5" s="70"/>
      <c r="C5" s="71" t="s">
        <v>0</v>
      </c>
      <c r="D5" s="72" t="s">
        <v>1</v>
      </c>
      <c r="E5" s="71" t="s">
        <v>2</v>
      </c>
      <c r="F5" s="73" t="s">
        <v>174</v>
      </c>
      <c r="G5" s="73" t="s">
        <v>175</v>
      </c>
      <c r="H5" s="73" t="s">
        <v>71</v>
      </c>
      <c r="I5" s="73" t="s">
        <v>98</v>
      </c>
      <c r="J5" s="74" t="s">
        <v>9</v>
      </c>
      <c r="K5" s="73" t="s">
        <v>4</v>
      </c>
      <c r="L5" s="6"/>
    </row>
    <row r="6" spans="1:12" ht="15.75" thickBot="1" x14ac:dyDescent="0.3">
      <c r="A6" s="7"/>
      <c r="B6" s="7"/>
      <c r="C6" s="8"/>
      <c r="D6" s="9"/>
      <c r="E6" s="9"/>
      <c r="F6" s="10"/>
      <c r="G6" s="10"/>
      <c r="H6" s="10"/>
      <c r="I6" s="11">
        <f>Markup!D9</f>
        <v>0.4</v>
      </c>
      <c r="J6" s="12">
        <f>Markup!D54</f>
        <v>0.34599999999999997</v>
      </c>
      <c r="K6" s="13"/>
      <c r="L6" s="14"/>
    </row>
    <row r="7" spans="1:12" ht="15" thickBot="1" x14ac:dyDescent="0.25">
      <c r="A7" s="15" t="s">
        <v>184</v>
      </c>
      <c r="B7" s="16"/>
      <c r="C7" s="17"/>
      <c r="D7" s="17"/>
      <c r="E7" s="17"/>
      <c r="F7" s="17" t="s">
        <v>181</v>
      </c>
      <c r="G7" s="17" t="s">
        <v>92</v>
      </c>
      <c r="H7" s="17"/>
      <c r="I7" s="17"/>
      <c r="J7" s="18"/>
      <c r="K7" s="18"/>
      <c r="L7" s="19"/>
    </row>
    <row r="8" spans="1:12" ht="15" x14ac:dyDescent="0.25">
      <c r="A8" s="20">
        <v>1</v>
      </c>
      <c r="B8" s="20" t="s">
        <v>171</v>
      </c>
      <c r="C8" s="21">
        <v>1</v>
      </c>
      <c r="D8" s="22" t="s">
        <v>10</v>
      </c>
      <c r="E8" s="22" t="e">
        <f>(Detail!#REF!*1)+(Detail!#REF!*850)+(Detail!#REF!*200)</f>
        <v>#REF!</v>
      </c>
      <c r="F8" s="23">
        <v>1</v>
      </c>
      <c r="G8" s="24">
        <v>5</v>
      </c>
      <c r="H8" s="25">
        <f>F8*G8*Detail!G13</f>
        <v>145884.44444444444</v>
      </c>
      <c r="I8" s="25">
        <f>H8*(1+$I$6)</f>
        <v>204238.22222222219</v>
      </c>
      <c r="J8" s="26">
        <f>I8*(1+$J$6)</f>
        <v>274904.64711111109</v>
      </c>
      <c r="K8" s="27"/>
      <c r="L8" s="19"/>
    </row>
    <row r="9" spans="1:12" ht="15" x14ac:dyDescent="0.25">
      <c r="A9" s="28">
        <v>2</v>
      </c>
      <c r="B9" s="28" t="s">
        <v>172</v>
      </c>
      <c r="C9" s="29">
        <v>1</v>
      </c>
      <c r="D9" s="30" t="s">
        <v>10</v>
      </c>
      <c r="E9" s="30" t="e">
        <f>(Detail!#REF!*3500)+(Detail!#REF!*10)+(Detail!#REF!*10)</f>
        <v>#REF!</v>
      </c>
      <c r="F9" s="23">
        <v>1</v>
      </c>
      <c r="G9" s="24">
        <v>5</v>
      </c>
      <c r="H9" s="25">
        <f>F9*G9*Detail!G20</f>
        <v>277884.4444444445</v>
      </c>
      <c r="I9" s="25">
        <f>H9*(1+$I$6)</f>
        <v>389038.22222222225</v>
      </c>
      <c r="J9" s="31">
        <f>I9*(1+$J$6)</f>
        <v>523645.44711111119</v>
      </c>
      <c r="K9" s="32"/>
      <c r="L9" s="19"/>
    </row>
    <row r="10" spans="1:12" ht="15" x14ac:dyDescent="0.25">
      <c r="A10" s="28">
        <v>3</v>
      </c>
      <c r="B10" s="28" t="s">
        <v>283</v>
      </c>
      <c r="C10" s="29"/>
      <c r="D10" s="30"/>
      <c r="E10" s="30"/>
      <c r="F10" s="23">
        <v>1</v>
      </c>
      <c r="G10" s="24">
        <v>5</v>
      </c>
      <c r="H10" s="25">
        <f>F10*G10*Detail!G28</f>
        <v>74311.111111111109</v>
      </c>
      <c r="I10" s="25">
        <f>H10*(1+$I$6)</f>
        <v>104035.55555555555</v>
      </c>
      <c r="J10" s="31">
        <f>I10*(1+$J$6)</f>
        <v>140031.85777777777</v>
      </c>
      <c r="K10" s="32"/>
      <c r="L10" s="19"/>
    </row>
    <row r="11" spans="1:12" ht="15" x14ac:dyDescent="0.25">
      <c r="A11" s="33">
        <v>4</v>
      </c>
      <c r="B11" s="33" t="s">
        <v>173</v>
      </c>
      <c r="C11" s="34">
        <v>1</v>
      </c>
      <c r="D11" s="30" t="s">
        <v>7</v>
      </c>
      <c r="E11" s="30" t="e">
        <f>Detail!#REF!</f>
        <v>#REF!</v>
      </c>
      <c r="F11" s="23">
        <v>1</v>
      </c>
      <c r="G11" s="24">
        <v>5</v>
      </c>
      <c r="H11" s="25">
        <f>F11*G11*Detail!G35</f>
        <v>34319.999999999993</v>
      </c>
      <c r="I11" s="25">
        <f>H11*(1+$I$6)</f>
        <v>48047.999999999985</v>
      </c>
      <c r="J11" s="31">
        <f>I11*(1+$J$6)</f>
        <v>64672.607999999986</v>
      </c>
      <c r="K11" s="35"/>
      <c r="L11" s="14"/>
    </row>
    <row r="12" spans="1:12" ht="15" x14ac:dyDescent="0.25">
      <c r="A12" s="7"/>
      <c r="B12" s="7"/>
      <c r="C12" s="36"/>
      <c r="D12" s="37"/>
      <c r="E12" s="37"/>
      <c r="F12" s="25"/>
      <c r="G12" s="25"/>
      <c r="H12" s="38"/>
      <c r="I12" s="38"/>
      <c r="J12" s="39"/>
      <c r="K12" s="40"/>
      <c r="L12" s="14"/>
    </row>
    <row r="13" spans="1:12" ht="15" x14ac:dyDescent="0.25">
      <c r="A13" s="41"/>
      <c r="B13" s="41"/>
      <c r="C13" s="36"/>
      <c r="D13" s="37"/>
      <c r="E13" s="37"/>
      <c r="F13" s="42"/>
      <c r="G13" s="42"/>
      <c r="H13" s="42"/>
      <c r="I13" s="42" t="s">
        <v>72</v>
      </c>
      <c r="J13" s="43">
        <f>SUM(J8:J11)</f>
        <v>1003254.56</v>
      </c>
      <c r="K13" s="35"/>
      <c r="L13" s="14"/>
    </row>
    <row r="14" spans="1:12" ht="15.75" thickBot="1" x14ac:dyDescent="0.3">
      <c r="A14" s="44"/>
      <c r="B14" s="44"/>
      <c r="C14" s="45"/>
      <c r="D14" s="22"/>
      <c r="E14" s="22"/>
      <c r="F14" s="46"/>
      <c r="G14" s="46"/>
      <c r="H14" s="46"/>
      <c r="I14" s="46"/>
      <c r="J14" s="47"/>
      <c r="K14" s="14"/>
      <c r="L14" s="14"/>
    </row>
    <row r="15" spans="1:12" ht="15" thickBot="1" x14ac:dyDescent="0.25">
      <c r="A15" s="15" t="s">
        <v>183</v>
      </c>
      <c r="B15" s="16"/>
      <c r="C15" s="17"/>
      <c r="D15" s="17"/>
      <c r="E15" s="17"/>
      <c r="F15" s="17" t="s">
        <v>91</v>
      </c>
      <c r="G15" s="17" t="s">
        <v>92</v>
      </c>
      <c r="H15" s="17"/>
      <c r="I15" s="17"/>
      <c r="J15" s="17"/>
      <c r="K15" s="17"/>
      <c r="L15" s="19"/>
    </row>
    <row r="16" spans="1:12" ht="15" customHeight="1" thickBot="1" x14ac:dyDescent="0.3">
      <c r="A16" s="28">
        <v>1</v>
      </c>
      <c r="B16" s="28" t="s">
        <v>302</v>
      </c>
      <c r="C16" s="29">
        <v>1</v>
      </c>
      <c r="D16" s="48" t="s">
        <v>10</v>
      </c>
      <c r="E16" s="49" t="e">
        <f>(Detail!#REF!*4000)+(Detail!#REF!*6000)+(Detail!#REF!*6000)+(Detail!#REF!*40*6)</f>
        <v>#REF!</v>
      </c>
      <c r="F16" s="24">
        <v>1</v>
      </c>
      <c r="G16" s="24">
        <v>5</v>
      </c>
      <c r="H16" s="25">
        <f>F16*G16*Detail!G45</f>
        <v>444.98148148148147</v>
      </c>
      <c r="I16" s="25">
        <f>H16*(1+$I$6)</f>
        <v>622.974074074074</v>
      </c>
      <c r="J16" s="26">
        <f>I16*(1+$J$6)</f>
        <v>838.52310370370367</v>
      </c>
      <c r="K16" s="50"/>
      <c r="L16" s="19"/>
    </row>
    <row r="17" spans="1:12" ht="15" customHeight="1" x14ac:dyDescent="0.25">
      <c r="A17" s="28">
        <v>1</v>
      </c>
      <c r="B17" s="28" t="s">
        <v>73</v>
      </c>
      <c r="C17" s="29">
        <v>1</v>
      </c>
      <c r="D17" s="48" t="s">
        <v>10</v>
      </c>
      <c r="E17" s="49" t="e">
        <f>(Detail!#REF!*4000)+(Detail!#REF!*6000)+(Detail!#REF!*6000)+(Detail!#REF!*40*6)</f>
        <v>#REF!</v>
      </c>
      <c r="F17" s="24">
        <v>1</v>
      </c>
      <c r="G17" s="24">
        <v>5</v>
      </c>
      <c r="H17" s="25">
        <f>F17*G17*Detail!G45</f>
        <v>444.98148148148147</v>
      </c>
      <c r="I17" s="25">
        <f>H17*(1+$I$6)</f>
        <v>622.974074074074</v>
      </c>
      <c r="J17" s="26">
        <f>I17*(1+$J$6)</f>
        <v>838.52310370370367</v>
      </c>
      <c r="K17" s="50"/>
      <c r="L17" s="19"/>
    </row>
    <row r="18" spans="1:12" ht="15" customHeight="1" x14ac:dyDescent="0.25">
      <c r="A18" s="28">
        <v>2</v>
      </c>
      <c r="B18" s="28" t="s">
        <v>75</v>
      </c>
      <c r="C18" s="29">
        <v>1</v>
      </c>
      <c r="D18" s="48" t="s">
        <v>10</v>
      </c>
      <c r="E18" s="30" t="e">
        <f>(Detail!#REF!*7)+(Detail!#REF!*1600/9)+(Detail!#REF!*1600)+(Detail!#REF!*1600)+(Detail!#REF!*5)</f>
        <v>#REF!</v>
      </c>
      <c r="F18" s="24">
        <v>1</v>
      </c>
      <c r="G18" s="24">
        <v>5</v>
      </c>
      <c r="H18" s="25">
        <f>Detail!G61*F18*G18</f>
        <v>239.98148148148147</v>
      </c>
      <c r="I18" s="25">
        <f>H18*(1+$I$6)</f>
        <v>335.97407407407405</v>
      </c>
      <c r="J18" s="31">
        <f>I18*(1+$J$6)</f>
        <v>452.2211037037037</v>
      </c>
      <c r="K18" s="32"/>
      <c r="L18" s="19"/>
    </row>
    <row r="19" spans="1:12" ht="15" customHeight="1" x14ac:dyDescent="0.25">
      <c r="A19" s="33">
        <v>3</v>
      </c>
      <c r="B19" s="33" t="s">
        <v>74</v>
      </c>
      <c r="C19" s="34">
        <v>1</v>
      </c>
      <c r="D19" s="48" t="s">
        <v>10</v>
      </c>
      <c r="E19" s="30" t="e">
        <f>(Detail!#REF!*4000)+(Detail!#REF!)+(Detail!#REF!)+(Detail!#REF!)+(Detail!#REF!*4000)+(Detail!#REF!*280)+(Detail!#REF!*3)+(Detail!#REF!*500)+(Detail!#REF!*250)</f>
        <v>#REF!</v>
      </c>
      <c r="F19" s="24">
        <v>1</v>
      </c>
      <c r="G19" s="24">
        <v>5</v>
      </c>
      <c r="H19" s="25">
        <f>Detail!G69*F19*G19</f>
        <v>209.98148148148147</v>
      </c>
      <c r="I19" s="25">
        <f>H19*(1+$I$6)</f>
        <v>293.97407407407405</v>
      </c>
      <c r="J19" s="31">
        <f>I19*(1+$J$6)</f>
        <v>395.68910370370372</v>
      </c>
      <c r="K19" s="35"/>
      <c r="L19" s="14"/>
    </row>
    <row r="20" spans="1:12" ht="15" x14ac:dyDescent="0.25">
      <c r="A20" s="41"/>
      <c r="B20" s="41"/>
      <c r="C20" s="36"/>
      <c r="D20" s="37"/>
      <c r="E20" s="37"/>
      <c r="F20" s="25"/>
      <c r="G20" s="25"/>
      <c r="H20" s="38"/>
      <c r="I20" s="38"/>
      <c r="J20" s="39"/>
      <c r="K20" s="35"/>
      <c r="L20" s="14"/>
    </row>
    <row r="21" spans="1:12" ht="15" x14ac:dyDescent="0.25">
      <c r="A21" s="41"/>
      <c r="B21" s="41"/>
      <c r="C21" s="36"/>
      <c r="D21" s="37"/>
      <c r="E21" s="37"/>
      <c r="F21" s="42"/>
      <c r="G21" s="42"/>
      <c r="H21" s="42"/>
      <c r="I21" s="42" t="s">
        <v>76</v>
      </c>
      <c r="J21" s="39">
        <f>SUM(J17:J20)</f>
        <v>1686.4333111111112</v>
      </c>
      <c r="K21" s="35"/>
      <c r="L21" s="14"/>
    </row>
    <row r="22" spans="1:12" ht="15.75" thickBot="1" x14ac:dyDescent="0.3">
      <c r="A22" s="44"/>
      <c r="B22" s="44"/>
      <c r="C22" s="45"/>
      <c r="D22" s="22"/>
      <c r="E22" s="22"/>
      <c r="F22" s="46"/>
      <c r="G22" s="46"/>
      <c r="H22" s="46"/>
      <c r="I22" s="46"/>
      <c r="J22" s="47"/>
      <c r="K22" s="14"/>
      <c r="L22" s="14"/>
    </row>
    <row r="23" spans="1:12" ht="15" thickBot="1" x14ac:dyDescent="0.25">
      <c r="A23" s="15" t="s">
        <v>185</v>
      </c>
      <c r="B23" s="16"/>
      <c r="C23" s="17"/>
      <c r="D23" s="17"/>
      <c r="E23" s="17"/>
      <c r="F23" s="17" t="s">
        <v>91</v>
      </c>
      <c r="G23" s="17" t="s">
        <v>92</v>
      </c>
      <c r="H23" s="17"/>
      <c r="I23" s="17"/>
      <c r="J23" s="17"/>
      <c r="K23" s="51"/>
      <c r="L23" s="19"/>
    </row>
    <row r="24" spans="1:12" ht="15" customHeight="1" x14ac:dyDescent="0.25">
      <c r="A24" s="28">
        <v>1</v>
      </c>
      <c r="B24" s="28" t="s">
        <v>302</v>
      </c>
      <c r="C24" s="29">
        <v>1</v>
      </c>
      <c r="D24" s="48" t="s">
        <v>10</v>
      </c>
      <c r="E24" s="49" t="e">
        <f>(Detail!#REF!*4000)+(Detail!#REF!*6000)+(Detail!#REF!*6000)+(Detail!#REF!*40*6)</f>
        <v>#REF!</v>
      </c>
      <c r="F24" s="24">
        <v>1</v>
      </c>
      <c r="G24" s="24">
        <v>12</v>
      </c>
      <c r="H24" s="25">
        <f>F24*G24*Detail!G80</f>
        <v>2573.9555555555557</v>
      </c>
      <c r="I24" s="25">
        <f>H24*(1+$I$6)</f>
        <v>3603.5377777777776</v>
      </c>
      <c r="J24" s="26">
        <f>I24*(1+$J$6)</f>
        <v>4850.3618488888887</v>
      </c>
      <c r="K24" s="151"/>
      <c r="L24" s="19"/>
    </row>
    <row r="25" spans="1:12" ht="15" customHeight="1" x14ac:dyDescent="0.25">
      <c r="A25" s="28">
        <v>1</v>
      </c>
      <c r="B25" s="28" t="s">
        <v>73</v>
      </c>
      <c r="C25" s="29">
        <v>1</v>
      </c>
      <c r="D25" s="48" t="s">
        <v>10</v>
      </c>
      <c r="E25" s="49" t="e">
        <f>(Detail!#REF!*4000)+(Detail!#REF!*6000)+(Detail!#REF!*6000)+(Detail!#REF!*40*6)</f>
        <v>#REF!</v>
      </c>
      <c r="F25" s="24">
        <v>1</v>
      </c>
      <c r="G25" s="24">
        <v>12</v>
      </c>
      <c r="H25" s="25">
        <f>F25*G25*Detail!G89</f>
        <v>2433.9555555555562</v>
      </c>
      <c r="I25" s="25">
        <f>H25*(1+$I$6)</f>
        <v>3407.5377777777785</v>
      </c>
      <c r="J25" s="26">
        <f>I25*(1+$J$6)</f>
        <v>4586.5458488888899</v>
      </c>
      <c r="K25" s="14"/>
      <c r="L25" s="19"/>
    </row>
    <row r="26" spans="1:12" ht="15" customHeight="1" x14ac:dyDescent="0.25">
      <c r="A26" s="28">
        <v>2</v>
      </c>
      <c r="B26" s="28" t="s">
        <v>75</v>
      </c>
      <c r="C26" s="29">
        <v>1</v>
      </c>
      <c r="D26" s="48" t="s">
        <v>10</v>
      </c>
      <c r="E26" s="30" t="e">
        <f>(Detail!#REF!*7)+(Detail!#REF!*1600/9)+(Detail!#REF!*1600)+(Detail!#REF!*1600)+(Detail!#REF!*5)</f>
        <v>#REF!</v>
      </c>
      <c r="F26" s="24">
        <v>1</v>
      </c>
      <c r="G26" s="24">
        <v>12</v>
      </c>
      <c r="H26" s="25">
        <f>Detail!G98*F26*G26</f>
        <v>1931.9555555555557</v>
      </c>
      <c r="I26" s="25">
        <f>H26*(1+$I$6)</f>
        <v>2704.7377777777779</v>
      </c>
      <c r="J26" s="31">
        <f>I26*(1+$J$6)</f>
        <v>3640.5770488888893</v>
      </c>
      <c r="K26" s="32"/>
      <c r="L26" s="19"/>
    </row>
    <row r="27" spans="1:12" ht="15" customHeight="1" x14ac:dyDescent="0.25">
      <c r="A27" s="33">
        <v>3</v>
      </c>
      <c r="B27" s="33" t="s">
        <v>303</v>
      </c>
      <c r="C27" s="34">
        <v>1</v>
      </c>
      <c r="D27" s="48" t="s">
        <v>10</v>
      </c>
      <c r="E27" s="30" t="e">
        <f>(Detail!#REF!*4000)+(Detail!#REF!)+(Detail!#REF!)+(Detail!#REF!)+(Detail!#REF!*4000)+(Detail!#REF!*280)+(Detail!#REF!*3)+(Detail!#REF!*500)+(Detail!#REF!*250)</f>
        <v>#REF!</v>
      </c>
      <c r="F27" s="24">
        <v>1</v>
      </c>
      <c r="G27" s="24">
        <v>12</v>
      </c>
      <c r="H27" s="25">
        <f>Detail!G107*F27*G27</f>
        <v>1789.9555555555562</v>
      </c>
      <c r="I27" s="25">
        <f>H27*(1+$I$6)</f>
        <v>2505.9377777777786</v>
      </c>
      <c r="J27" s="31">
        <f>I27*(1+$J$6)</f>
        <v>3372.9922488888901</v>
      </c>
      <c r="K27" s="35"/>
      <c r="L27" s="14"/>
    </row>
    <row r="28" spans="1:12" ht="15" x14ac:dyDescent="0.25">
      <c r="A28" s="41"/>
      <c r="B28" s="41"/>
      <c r="C28" s="36"/>
      <c r="D28" s="37"/>
      <c r="E28" s="37"/>
      <c r="F28" s="25"/>
      <c r="G28" s="25"/>
      <c r="H28" s="38"/>
      <c r="I28" s="38"/>
      <c r="J28" s="39"/>
      <c r="K28" s="35"/>
      <c r="L28" s="14"/>
    </row>
    <row r="29" spans="1:12" ht="15" x14ac:dyDescent="0.25">
      <c r="A29" s="41"/>
      <c r="B29" s="41"/>
      <c r="C29" s="36"/>
      <c r="D29" s="37"/>
      <c r="E29" s="37"/>
      <c r="F29" s="42"/>
      <c r="G29" s="42"/>
      <c r="H29" s="42"/>
      <c r="I29" s="42" t="s">
        <v>77</v>
      </c>
      <c r="J29" s="39">
        <f>SUM(J25:J28)</f>
        <v>11600.115146666669</v>
      </c>
      <c r="K29" s="35"/>
      <c r="L29" s="14"/>
    </row>
    <row r="30" spans="1:12" ht="15.75" thickBot="1" x14ac:dyDescent="0.3">
      <c r="A30" s="44"/>
      <c r="B30" s="44"/>
      <c r="C30" s="45"/>
      <c r="D30" s="22"/>
      <c r="E30" s="22"/>
      <c r="F30" s="46"/>
      <c r="G30" s="46"/>
      <c r="H30" s="46"/>
      <c r="I30" s="46"/>
      <c r="J30" s="47"/>
      <c r="K30" s="14"/>
      <c r="L30" s="14"/>
    </row>
    <row r="31" spans="1:12" ht="15" thickBot="1" x14ac:dyDescent="0.25">
      <c r="A31" s="15" t="s">
        <v>186</v>
      </c>
      <c r="B31" s="16"/>
      <c r="C31" s="17"/>
      <c r="D31" s="17"/>
      <c r="E31" s="17"/>
      <c r="F31" s="17" t="s">
        <v>91</v>
      </c>
      <c r="G31" s="17"/>
      <c r="H31" s="17"/>
      <c r="I31" s="17"/>
      <c r="J31" s="17"/>
      <c r="K31" s="51"/>
      <c r="L31" s="19"/>
    </row>
    <row r="32" spans="1:12" ht="15" customHeight="1" x14ac:dyDescent="0.25">
      <c r="A32" s="28">
        <v>1</v>
      </c>
      <c r="B32" s="28" t="s">
        <v>176</v>
      </c>
      <c r="C32" s="29">
        <v>1</v>
      </c>
      <c r="D32" s="48" t="s">
        <v>10</v>
      </c>
      <c r="E32" s="49" t="e">
        <f>(Detail!#REF!*4000)+(Detail!#REF!*6000)+(Detail!#REF!*6000)+(Detail!#REF!*40*6)</f>
        <v>#REF!</v>
      </c>
      <c r="F32" s="24">
        <v>1</v>
      </c>
      <c r="G32" s="25"/>
      <c r="H32" s="25">
        <f>Detail!G117*F32</f>
        <v>56.944444444444443</v>
      </c>
      <c r="I32" s="25">
        <f>H32*(1+$I$6)</f>
        <v>79.722222222222214</v>
      </c>
      <c r="J32" s="26">
        <f>I32*(1+$J$6)</f>
        <v>107.30611111111111</v>
      </c>
      <c r="K32" s="50"/>
      <c r="L32" s="19"/>
    </row>
    <row r="33" spans="1:12" ht="15" customHeight="1" x14ac:dyDescent="0.25">
      <c r="A33" s="28">
        <v>2</v>
      </c>
      <c r="B33" s="28" t="s">
        <v>177</v>
      </c>
      <c r="C33" s="29"/>
      <c r="D33" s="48"/>
      <c r="E33" s="49"/>
      <c r="F33" s="24">
        <v>1</v>
      </c>
      <c r="G33" s="25"/>
      <c r="H33" s="25">
        <f>Detail!G124*F33</f>
        <v>70.48888888888888</v>
      </c>
      <c r="I33" s="25">
        <f t="shared" ref="I33:I35" si="0">H33*(1+$I$6)</f>
        <v>98.684444444444424</v>
      </c>
      <c r="J33" s="26">
        <f t="shared" ref="J33:J34" si="1">I33*(1+$J$6)</f>
        <v>132.82926222222221</v>
      </c>
      <c r="K33" s="32"/>
      <c r="L33" s="19"/>
    </row>
    <row r="34" spans="1:12" ht="15" x14ac:dyDescent="0.25">
      <c r="A34" s="41">
        <v>3</v>
      </c>
      <c r="B34" s="41" t="s">
        <v>178</v>
      </c>
      <c r="C34" s="36"/>
      <c r="D34" s="37"/>
      <c r="E34" s="37"/>
      <c r="F34" s="24">
        <v>1</v>
      </c>
      <c r="G34" s="25"/>
      <c r="H34" s="38">
        <f>Detail!G131*F34</f>
        <v>109.52222222222224</v>
      </c>
      <c r="I34" s="25">
        <f t="shared" si="0"/>
        <v>153.33111111111111</v>
      </c>
      <c r="J34" s="26">
        <f t="shared" si="1"/>
        <v>206.38367555555558</v>
      </c>
      <c r="K34" s="35"/>
      <c r="L34" s="14"/>
    </row>
    <row r="35" spans="1:12" ht="15" x14ac:dyDescent="0.25">
      <c r="A35" s="41">
        <v>4</v>
      </c>
      <c r="B35" s="41" t="s">
        <v>179</v>
      </c>
      <c r="C35" s="36"/>
      <c r="D35" s="37"/>
      <c r="E35" s="37"/>
      <c r="F35" s="24">
        <v>1</v>
      </c>
      <c r="G35" s="25"/>
      <c r="H35" s="38">
        <f>Detail!G139*F35</f>
        <v>151.14814814814815</v>
      </c>
      <c r="I35" s="25">
        <f t="shared" si="0"/>
        <v>211.60740740740741</v>
      </c>
      <c r="J35" s="26">
        <f>I35*(1+$J$6)</f>
        <v>284.82357037037036</v>
      </c>
      <c r="K35" s="35"/>
      <c r="L35" s="14"/>
    </row>
    <row r="36" spans="1:12" ht="15" x14ac:dyDescent="0.25">
      <c r="A36" s="41"/>
      <c r="B36" s="41"/>
      <c r="C36" s="36"/>
      <c r="D36" s="37"/>
      <c r="E36" s="37"/>
      <c r="F36" s="25"/>
      <c r="G36" s="25"/>
      <c r="H36" s="38"/>
      <c r="I36" s="38"/>
      <c r="J36" s="39"/>
      <c r="K36" s="35"/>
      <c r="L36" s="14"/>
    </row>
    <row r="37" spans="1:12" ht="15" x14ac:dyDescent="0.25">
      <c r="A37" s="41"/>
      <c r="B37" s="41"/>
      <c r="C37" s="36"/>
      <c r="D37" s="37"/>
      <c r="E37" s="37"/>
      <c r="F37" s="42"/>
      <c r="G37" s="42"/>
      <c r="H37" s="42"/>
      <c r="I37" s="42" t="s">
        <v>79</v>
      </c>
      <c r="J37" s="39">
        <f>SUM(J32:J32)</f>
        <v>107.30611111111111</v>
      </c>
      <c r="K37" s="35"/>
      <c r="L37" s="14"/>
    </row>
    <row r="38" spans="1:12" ht="15.75" thickBot="1" x14ac:dyDescent="0.3">
      <c r="A38" s="44"/>
      <c r="B38" s="44"/>
      <c r="C38" s="45"/>
      <c r="D38" s="22"/>
      <c r="E38" s="22"/>
      <c r="F38" s="46"/>
      <c r="G38" s="46"/>
      <c r="H38" s="46"/>
      <c r="I38" s="46"/>
      <c r="J38" s="47"/>
      <c r="K38" s="14"/>
      <c r="L38" s="14"/>
    </row>
    <row r="39" spans="1:12" ht="15" thickBot="1" x14ac:dyDescent="0.25">
      <c r="A39" s="15" t="s">
        <v>187</v>
      </c>
      <c r="B39" s="16"/>
      <c r="C39" s="17"/>
      <c r="D39" s="17"/>
      <c r="E39" s="17"/>
      <c r="F39" s="17" t="s">
        <v>91</v>
      </c>
      <c r="G39" s="17" t="s">
        <v>92</v>
      </c>
      <c r="H39" s="17"/>
      <c r="I39" s="17"/>
      <c r="J39" s="17"/>
      <c r="K39" s="51"/>
      <c r="L39" s="19"/>
    </row>
    <row r="40" spans="1:12" ht="15" customHeight="1" x14ac:dyDescent="0.25">
      <c r="A40" s="28">
        <v>1</v>
      </c>
      <c r="B40" s="28" t="s">
        <v>80</v>
      </c>
      <c r="C40" s="29">
        <v>1</v>
      </c>
      <c r="D40" s="48" t="s">
        <v>10</v>
      </c>
      <c r="E40" s="49" t="e">
        <f>(Detail!#REF!*4000)+(Detail!#REF!*6000)+(Detail!#REF!*6000)+(Detail!#REF!*40*6)</f>
        <v>#REF!</v>
      </c>
      <c r="F40" s="24">
        <v>9</v>
      </c>
      <c r="G40" s="24">
        <v>18</v>
      </c>
      <c r="H40" s="52">
        <f>F40*G40*Detail!G150</f>
        <v>1640.04</v>
      </c>
      <c r="I40" s="25">
        <f>H40*(1+$I$6)</f>
        <v>2296.0559999999996</v>
      </c>
      <c r="J40" s="26">
        <f>I40*(1+$J$6)</f>
        <v>3090.4913759999995</v>
      </c>
      <c r="K40" s="50"/>
      <c r="L40" s="19"/>
    </row>
    <row r="41" spans="1:12" ht="15" customHeight="1" x14ac:dyDescent="0.25">
      <c r="A41" s="28"/>
      <c r="B41" s="53" t="s">
        <v>180</v>
      </c>
      <c r="C41" s="29"/>
      <c r="D41" s="48"/>
      <c r="E41" s="49"/>
      <c r="F41" s="24">
        <v>1</v>
      </c>
      <c r="G41" s="54"/>
      <c r="H41" s="52">
        <f>F41*(Detail!$G$150*9*18)</f>
        <v>1640.0400000000002</v>
      </c>
      <c r="I41" s="25">
        <f t="shared" ref="I41:I45" si="2">H41*(1+$I$6)</f>
        <v>2296.056</v>
      </c>
      <c r="J41" s="26">
        <f t="shared" ref="J41:J45" si="3">I41*(1+$J$6)</f>
        <v>3090.4913760000004</v>
      </c>
      <c r="K41" s="32"/>
      <c r="L41" s="19"/>
    </row>
    <row r="42" spans="1:12" ht="15" customHeight="1" x14ac:dyDescent="0.25">
      <c r="A42" s="28">
        <v>2</v>
      </c>
      <c r="B42" s="28" t="s">
        <v>81</v>
      </c>
      <c r="C42" s="29">
        <v>1</v>
      </c>
      <c r="D42" s="48" t="s">
        <v>10</v>
      </c>
      <c r="E42" s="30" t="e">
        <f>(Detail!#REF!*7)+(Detail!#REF!*1600/9)+(Detail!#REF!*1600)+(Detail!#REF!*1600)+(Detail!#REF!*5)</f>
        <v>#REF!</v>
      </c>
      <c r="F42" s="24">
        <v>9</v>
      </c>
      <c r="G42" s="24">
        <v>18</v>
      </c>
      <c r="H42" s="52">
        <f>F42*G42*Detail!G158</f>
        <v>2992.7400000000002</v>
      </c>
      <c r="I42" s="25">
        <f t="shared" si="2"/>
        <v>4189.8360000000002</v>
      </c>
      <c r="J42" s="26">
        <f t="shared" si="3"/>
        <v>5639.5192560000005</v>
      </c>
      <c r="K42" s="32"/>
      <c r="L42" s="19"/>
    </row>
    <row r="43" spans="1:12" ht="15" customHeight="1" x14ac:dyDescent="0.25">
      <c r="A43" s="28"/>
      <c r="B43" s="53" t="s">
        <v>180</v>
      </c>
      <c r="C43" s="29"/>
      <c r="D43" s="48"/>
      <c r="E43" s="30"/>
      <c r="F43" s="24">
        <v>1</v>
      </c>
      <c r="G43" s="54"/>
      <c r="H43" s="52">
        <f>F43*(Detail!$G$158*9*18)</f>
        <v>2992.7400000000002</v>
      </c>
      <c r="I43" s="25">
        <f t="shared" si="2"/>
        <v>4189.8360000000002</v>
      </c>
      <c r="J43" s="26">
        <f t="shared" si="3"/>
        <v>5639.5192560000005</v>
      </c>
      <c r="K43" s="32"/>
      <c r="L43" s="19"/>
    </row>
    <row r="44" spans="1:12" ht="15" customHeight="1" x14ac:dyDescent="0.25">
      <c r="A44" s="33">
        <v>3</v>
      </c>
      <c r="B44" s="33" t="s">
        <v>82</v>
      </c>
      <c r="C44" s="34">
        <v>1</v>
      </c>
      <c r="D44" s="48" t="s">
        <v>10</v>
      </c>
      <c r="E44" s="30" t="e">
        <f>(Detail!#REF!*4000)+(Detail!#REF!)+(Detail!#REF!)+(Detail!#REF!)+(Detail!#REF!*4000)+(Detail!#REF!*280)+(Detail!#REF!*3)+(Detail!#REF!*500)+(Detail!#REF!*250)</f>
        <v>#REF!</v>
      </c>
      <c r="F44" s="24">
        <v>9</v>
      </c>
      <c r="G44" s="24">
        <v>18</v>
      </c>
      <c r="H44" s="25">
        <f>F44*G44*Detail!G165</f>
        <v>674.69999999999993</v>
      </c>
      <c r="I44" s="25">
        <f t="shared" si="2"/>
        <v>944.57999999999981</v>
      </c>
      <c r="J44" s="26">
        <f t="shared" si="3"/>
        <v>1271.4046799999999</v>
      </c>
      <c r="K44" s="35"/>
      <c r="L44" s="14"/>
    </row>
    <row r="45" spans="1:12" ht="15" customHeight="1" x14ac:dyDescent="0.25">
      <c r="A45" s="33"/>
      <c r="B45" s="53" t="s">
        <v>180</v>
      </c>
      <c r="C45" s="34"/>
      <c r="D45" s="48"/>
      <c r="E45" s="30"/>
      <c r="F45" s="55">
        <v>1</v>
      </c>
      <c r="G45" s="56"/>
      <c r="H45" s="25">
        <f>F45*(Detail!$G$165*9*18)</f>
        <v>674.7</v>
      </c>
      <c r="I45" s="25">
        <f t="shared" si="2"/>
        <v>944.58</v>
      </c>
      <c r="J45" s="26">
        <f t="shared" si="3"/>
        <v>1271.4046800000001</v>
      </c>
      <c r="K45" s="35"/>
      <c r="L45" s="14"/>
    </row>
    <row r="46" spans="1:12" ht="15" x14ac:dyDescent="0.25">
      <c r="A46" s="41"/>
      <c r="B46" s="41"/>
      <c r="C46" s="36"/>
      <c r="D46" s="37"/>
      <c r="E46" s="37"/>
      <c r="F46" s="25"/>
      <c r="G46" s="25"/>
      <c r="H46" s="38"/>
      <c r="I46" s="38"/>
      <c r="J46" s="39"/>
      <c r="K46" s="35"/>
      <c r="L46" s="14"/>
    </row>
    <row r="47" spans="1:12" ht="15" x14ac:dyDescent="0.25">
      <c r="A47" s="41"/>
      <c r="B47" s="41"/>
      <c r="C47" s="36"/>
      <c r="D47" s="37"/>
      <c r="E47" s="37"/>
      <c r="F47" s="42"/>
      <c r="G47" s="42"/>
      <c r="H47" s="42"/>
      <c r="I47" s="42" t="s">
        <v>83</v>
      </c>
      <c r="J47" s="39">
        <f>SUM(J40:J44)</f>
        <v>18731.425943999999</v>
      </c>
      <c r="K47" s="35"/>
      <c r="L47" s="14"/>
    </row>
    <row r="48" spans="1:12" ht="15.75" thickBot="1" x14ac:dyDescent="0.3">
      <c r="A48" s="44"/>
      <c r="B48" s="44"/>
      <c r="C48" s="45"/>
      <c r="D48" s="22"/>
      <c r="E48" s="22"/>
      <c r="F48" s="46"/>
      <c r="G48" s="46"/>
      <c r="H48" s="46"/>
      <c r="I48" s="46"/>
      <c r="J48" s="47"/>
      <c r="K48" s="14"/>
      <c r="L48" s="14"/>
    </row>
    <row r="49" spans="1:12" ht="15" thickBot="1" x14ac:dyDescent="0.25">
      <c r="A49" s="15" t="s">
        <v>188</v>
      </c>
      <c r="B49" s="16"/>
      <c r="C49" s="17"/>
      <c r="D49" s="17"/>
      <c r="E49" s="17"/>
      <c r="F49" s="17" t="s">
        <v>181</v>
      </c>
      <c r="G49" s="17"/>
      <c r="H49" s="17"/>
      <c r="I49" s="17"/>
      <c r="J49" s="17"/>
      <c r="K49" s="51"/>
      <c r="L49" s="19"/>
    </row>
    <row r="50" spans="1:12" ht="15" customHeight="1" x14ac:dyDescent="0.25">
      <c r="A50" s="28">
        <v>1</v>
      </c>
      <c r="B50" s="28" t="s">
        <v>80</v>
      </c>
      <c r="C50" s="29">
        <v>1</v>
      </c>
      <c r="D50" s="48" t="s">
        <v>10</v>
      </c>
      <c r="E50" s="49" t="e">
        <f>(Detail!#REF!*4000)+(Detail!#REF!*6000)+(Detail!#REF!*6000)+(Detail!#REF!*40*6)</f>
        <v>#REF!</v>
      </c>
      <c r="F50" s="23">
        <v>1</v>
      </c>
      <c r="G50" s="25"/>
      <c r="H50" s="25">
        <f>Detail!G178*F50</f>
        <v>76083.555555555562</v>
      </c>
      <c r="I50" s="25">
        <f>H50*(1+$I$6)</f>
        <v>106516.97777777778</v>
      </c>
      <c r="J50" s="26">
        <f>I50*(1+$J$6)</f>
        <v>143371.8520888889</v>
      </c>
      <c r="K50" s="50"/>
      <c r="L50" s="19"/>
    </row>
    <row r="51" spans="1:12" ht="15" customHeight="1" x14ac:dyDescent="0.25">
      <c r="A51" s="28">
        <v>2</v>
      </c>
      <c r="B51" s="28" t="s">
        <v>81</v>
      </c>
      <c r="C51" s="29">
        <v>1</v>
      </c>
      <c r="D51" s="48" t="s">
        <v>10</v>
      </c>
      <c r="E51" s="30" t="e">
        <f>(Detail!#REF!*7)+(Detail!#REF!*1600/9)+(Detail!#REF!*1600)+(Detail!#REF!*1600)+(Detail!#REF!*5)</f>
        <v>#REF!</v>
      </c>
      <c r="F51" s="23">
        <v>1</v>
      </c>
      <c r="G51" s="25"/>
      <c r="H51" s="25">
        <f>Detail!G188*F51</f>
        <v>99051.555555555562</v>
      </c>
      <c r="I51" s="25">
        <f>H51*(1+$I$6)</f>
        <v>138672.17777777778</v>
      </c>
      <c r="J51" s="31">
        <f>I51*(1+$J$6)</f>
        <v>186652.75128888889</v>
      </c>
      <c r="K51" s="32"/>
      <c r="L51" s="19"/>
    </row>
    <row r="52" spans="1:12" ht="15" customHeight="1" x14ac:dyDescent="0.25">
      <c r="A52" s="33">
        <v>3</v>
      </c>
      <c r="B52" s="33" t="s">
        <v>82</v>
      </c>
      <c r="C52" s="34">
        <v>1</v>
      </c>
      <c r="D52" s="48" t="s">
        <v>10</v>
      </c>
      <c r="E52" s="30" t="e">
        <f>(Detail!#REF!*4000)+(Detail!#REF!)+(Detail!#REF!)+(Detail!#REF!)+(Detail!#REF!*4000)+(Detail!#REF!*280)+(Detail!#REF!*3)+(Detail!#REF!*500)+(Detail!#REF!*250)</f>
        <v>#REF!</v>
      </c>
      <c r="F52" s="23">
        <v>1</v>
      </c>
      <c r="G52" s="25"/>
      <c r="H52" s="25">
        <f>Detail!G198*F52</f>
        <v>44990.222222222219</v>
      </c>
      <c r="I52" s="25">
        <f>H52*(1+$I$6)</f>
        <v>62986.311111111099</v>
      </c>
      <c r="J52" s="31">
        <f>I52*(1+$J$6)</f>
        <v>84779.574755555543</v>
      </c>
      <c r="K52" s="35"/>
      <c r="L52" s="14"/>
    </row>
    <row r="53" spans="1:12" ht="15" x14ac:dyDescent="0.25">
      <c r="A53" s="41"/>
      <c r="B53" s="41"/>
      <c r="C53" s="36"/>
      <c r="D53" s="37"/>
      <c r="E53" s="37"/>
      <c r="F53" s="25"/>
      <c r="G53" s="25"/>
      <c r="H53" s="38"/>
      <c r="I53" s="38"/>
      <c r="J53" s="39"/>
      <c r="K53" s="35"/>
      <c r="L53" s="14"/>
    </row>
    <row r="54" spans="1:12" ht="15" x14ac:dyDescent="0.25">
      <c r="A54" s="41"/>
      <c r="B54" s="41"/>
      <c r="C54" s="36"/>
      <c r="D54" s="37"/>
      <c r="E54" s="37"/>
      <c r="F54" s="42"/>
      <c r="G54" s="42"/>
      <c r="H54" s="42"/>
      <c r="I54" s="42" t="s">
        <v>128</v>
      </c>
      <c r="J54" s="39">
        <f>SUM(J50:J52)</f>
        <v>414804.17813333333</v>
      </c>
      <c r="K54" s="35"/>
      <c r="L54" s="14"/>
    </row>
    <row r="55" spans="1:12" ht="15.75" thickBot="1" x14ac:dyDescent="0.3">
      <c r="A55" s="44"/>
      <c r="B55" s="44"/>
      <c r="C55" s="45"/>
      <c r="D55" s="22"/>
      <c r="E55" s="22"/>
      <c r="F55" s="46"/>
      <c r="G55" s="46"/>
      <c r="H55" s="46"/>
      <c r="I55" s="46"/>
      <c r="J55" s="47"/>
      <c r="K55" s="14"/>
      <c r="L55" s="14"/>
    </row>
    <row r="56" spans="1:12" ht="15" thickBot="1" x14ac:dyDescent="0.25">
      <c r="A56" s="15" t="s">
        <v>189</v>
      </c>
      <c r="B56" s="16"/>
      <c r="C56" s="17"/>
      <c r="D56" s="17"/>
      <c r="E56" s="17"/>
      <c r="F56" s="17" t="s">
        <v>270</v>
      </c>
      <c r="G56" s="17"/>
      <c r="H56" s="17"/>
      <c r="I56" s="17"/>
      <c r="J56" s="17"/>
      <c r="K56" s="51"/>
      <c r="L56" s="19"/>
    </row>
    <row r="57" spans="1:12" ht="14.25" customHeight="1" x14ac:dyDescent="0.25">
      <c r="A57" s="28">
        <v>1</v>
      </c>
      <c r="B57" s="28" t="s">
        <v>314</v>
      </c>
      <c r="C57" s="29">
        <v>1</v>
      </c>
      <c r="D57" s="48" t="s">
        <v>10</v>
      </c>
      <c r="E57" s="49" t="e">
        <f>(Detail!#REF!*4000)+(Detail!#REF!*6000)+(Detail!#REF!*6000)+(Detail!#REF!*40*6)</f>
        <v>#REF!</v>
      </c>
      <c r="F57" s="56"/>
      <c r="G57" s="25"/>
      <c r="H57" s="25"/>
      <c r="I57" s="25"/>
      <c r="J57" s="26"/>
      <c r="K57" s="32"/>
      <c r="L57" s="19"/>
    </row>
    <row r="58" spans="1:12" ht="14.25" customHeight="1" x14ac:dyDescent="0.25">
      <c r="A58" s="28"/>
      <c r="B58" s="28" t="s">
        <v>315</v>
      </c>
      <c r="C58" s="29">
        <v>1</v>
      </c>
      <c r="D58" s="48" t="s">
        <v>10</v>
      </c>
      <c r="E58" s="49" t="e">
        <f>(Detail!#REF!*4000)+(Detail!#REF!*6000)+(Detail!#REF!*6000)+(Detail!#REF!*40*6)</f>
        <v>#REF!</v>
      </c>
      <c r="F58" s="55">
        <v>1</v>
      </c>
      <c r="G58" s="25"/>
      <c r="H58" s="25">
        <f>Detail!G251*F58</f>
        <v>37610</v>
      </c>
      <c r="I58" s="25">
        <f>H58*(1+$I$6)</f>
        <v>52654</v>
      </c>
      <c r="J58" s="26">
        <f>I58*(1+$J$6)</f>
        <v>70872.284</v>
      </c>
      <c r="K58" s="32"/>
      <c r="L58" s="19"/>
    </row>
    <row r="59" spans="1:12" ht="14.25" customHeight="1" x14ac:dyDescent="0.25">
      <c r="A59" s="28"/>
      <c r="B59" s="28" t="s">
        <v>316</v>
      </c>
      <c r="C59" s="29"/>
      <c r="D59" s="48"/>
      <c r="E59" s="49"/>
      <c r="F59" s="55">
        <v>1</v>
      </c>
      <c r="G59" s="25"/>
      <c r="H59" s="25">
        <f>Detail!G252*F59</f>
        <v>33849</v>
      </c>
      <c r="I59" s="25">
        <f t="shared" ref="I59:I64" si="4">H59*(1+$I$6)</f>
        <v>47388.6</v>
      </c>
      <c r="J59" s="26">
        <f t="shared" ref="J59:J64" si="5">I59*(1+$J$6)</f>
        <v>63785.0556</v>
      </c>
      <c r="K59" s="32"/>
      <c r="L59" s="19"/>
    </row>
    <row r="60" spans="1:12" ht="15" customHeight="1" x14ac:dyDescent="0.25">
      <c r="A60" s="28">
        <v>2</v>
      </c>
      <c r="B60" s="28" t="s">
        <v>318</v>
      </c>
      <c r="C60" s="29">
        <v>1</v>
      </c>
      <c r="D60" s="48" t="s">
        <v>10</v>
      </c>
      <c r="E60" s="30" t="e">
        <f>(Detail!#REF!*7)+(Detail!#REF!*1600/9)+(Detail!#REF!*1600)+(Detail!#REF!*1600)+(Detail!#REF!*5)</f>
        <v>#REF!</v>
      </c>
      <c r="F60" s="56"/>
      <c r="G60" s="25"/>
      <c r="H60" s="25"/>
      <c r="I60" s="25"/>
      <c r="J60" s="26"/>
      <c r="K60" s="32"/>
      <c r="L60" s="19"/>
    </row>
    <row r="61" spans="1:12" ht="15" customHeight="1" x14ac:dyDescent="0.25">
      <c r="A61" s="28"/>
      <c r="B61" s="28" t="s">
        <v>319</v>
      </c>
      <c r="C61" s="29"/>
      <c r="D61" s="48"/>
      <c r="E61" s="30"/>
      <c r="F61" s="55">
        <v>1</v>
      </c>
      <c r="G61" s="25"/>
      <c r="H61" s="25">
        <f>Detail!G225*F61</f>
        <v>55360</v>
      </c>
      <c r="I61" s="25">
        <f t="shared" si="4"/>
        <v>77504</v>
      </c>
      <c r="J61" s="26">
        <f t="shared" si="5"/>
        <v>104320.38400000001</v>
      </c>
      <c r="K61" s="32"/>
      <c r="L61" s="19"/>
    </row>
    <row r="62" spans="1:12" ht="15" customHeight="1" x14ac:dyDescent="0.25">
      <c r="A62" s="28"/>
      <c r="B62" s="28" t="s">
        <v>320</v>
      </c>
      <c r="C62" s="29"/>
      <c r="D62" s="48"/>
      <c r="E62" s="30"/>
      <c r="F62" s="24">
        <v>2</v>
      </c>
      <c r="G62" s="25"/>
      <c r="H62" s="25">
        <f>Detail!G226*F62</f>
        <v>99648</v>
      </c>
      <c r="I62" s="25">
        <f t="shared" si="4"/>
        <v>139507.19999999998</v>
      </c>
      <c r="J62" s="26">
        <f t="shared" si="5"/>
        <v>187776.6912</v>
      </c>
      <c r="K62" s="32"/>
      <c r="L62" s="19"/>
    </row>
    <row r="63" spans="1:12" ht="15" customHeight="1" x14ac:dyDescent="0.25">
      <c r="A63" s="28"/>
      <c r="B63" s="28" t="s">
        <v>321</v>
      </c>
      <c r="C63" s="29"/>
      <c r="D63" s="48"/>
      <c r="E63" s="30"/>
      <c r="F63" s="24">
        <v>4</v>
      </c>
      <c r="G63" s="25"/>
      <c r="H63" s="25">
        <f>Detail!G227*F63</f>
        <v>159440</v>
      </c>
      <c r="I63" s="25">
        <f t="shared" si="4"/>
        <v>223216</v>
      </c>
      <c r="J63" s="26">
        <f t="shared" si="5"/>
        <v>300448.73600000003</v>
      </c>
      <c r="K63" s="32"/>
      <c r="L63" s="19"/>
    </row>
    <row r="64" spans="1:12" ht="15" customHeight="1" x14ac:dyDescent="0.25">
      <c r="A64" s="28"/>
      <c r="B64" s="28" t="s">
        <v>322</v>
      </c>
      <c r="C64" s="29"/>
      <c r="D64" s="48"/>
      <c r="E64" s="30"/>
      <c r="F64" s="24">
        <v>6</v>
      </c>
      <c r="G64" s="25"/>
      <c r="H64" s="25">
        <f>Detail!G228*F64</f>
        <v>227202</v>
      </c>
      <c r="I64" s="25">
        <f t="shared" si="4"/>
        <v>318082.8</v>
      </c>
      <c r="J64" s="26">
        <f t="shared" si="5"/>
        <v>428139.44880000001</v>
      </c>
      <c r="K64" s="32"/>
      <c r="L64" s="19"/>
    </row>
    <row r="65" spans="1:12" ht="15" x14ac:dyDescent="0.25">
      <c r="A65" s="41"/>
      <c r="B65" s="41"/>
      <c r="C65" s="36"/>
      <c r="D65" s="37"/>
      <c r="E65" s="37"/>
      <c r="F65" s="25"/>
      <c r="G65" s="49"/>
      <c r="H65" s="38"/>
      <c r="I65" s="38"/>
      <c r="J65" s="39"/>
      <c r="K65" s="35"/>
      <c r="L65" s="14"/>
    </row>
    <row r="66" spans="1:12" ht="15" x14ac:dyDescent="0.25">
      <c r="A66" s="41"/>
      <c r="B66" s="41"/>
      <c r="C66" s="36"/>
      <c r="D66" s="37"/>
      <c r="E66" s="37"/>
      <c r="F66" s="42"/>
      <c r="G66" s="57"/>
      <c r="H66" s="42"/>
      <c r="I66" s="42" t="s">
        <v>129</v>
      </c>
      <c r="J66" s="39">
        <f>SUM(J58:J64)</f>
        <v>1155342.5996000001</v>
      </c>
      <c r="K66" s="35"/>
      <c r="L66" s="14"/>
    </row>
    <row r="67" spans="1:12" ht="15.75" thickBot="1" x14ac:dyDescent="0.3">
      <c r="A67" s="44"/>
      <c r="B67" s="44"/>
      <c r="C67" s="45"/>
      <c r="D67" s="22"/>
      <c r="E67" s="22"/>
      <c r="F67" s="46"/>
      <c r="G67" s="46"/>
      <c r="H67" s="46"/>
      <c r="I67" s="46"/>
      <c r="J67" s="47"/>
      <c r="K67" s="14"/>
      <c r="L67" s="14"/>
    </row>
    <row r="68" spans="1:12" s="76" customFormat="1" ht="67.5" customHeight="1" thickBot="1" x14ac:dyDescent="0.3">
      <c r="A68" s="75" t="s">
        <v>5</v>
      </c>
      <c r="C68" s="77" t="s">
        <v>0</v>
      </c>
      <c r="D68" s="78" t="s">
        <v>1</v>
      </c>
      <c r="E68" s="77" t="s">
        <v>2</v>
      </c>
      <c r="F68" s="79" t="s">
        <v>174</v>
      </c>
      <c r="G68" s="79" t="s">
        <v>175</v>
      </c>
      <c r="H68" s="79" t="s">
        <v>71</v>
      </c>
      <c r="I68" s="79" t="s">
        <v>98</v>
      </c>
      <c r="J68" s="80" t="s">
        <v>9</v>
      </c>
      <c r="K68" s="79" t="s">
        <v>4</v>
      </c>
      <c r="L68" s="81"/>
    </row>
    <row r="69" spans="1:12" ht="15.75" thickBot="1" x14ac:dyDescent="0.3">
      <c r="A69" s="7"/>
      <c r="B69" s="7"/>
      <c r="C69" s="8"/>
      <c r="D69" s="9"/>
      <c r="E69" s="9"/>
      <c r="F69" s="10"/>
      <c r="G69" s="10"/>
      <c r="H69" s="10"/>
      <c r="I69" s="11">
        <f>Markup!D63</f>
        <v>0</v>
      </c>
      <c r="J69" s="12">
        <f>Markup!D108</f>
        <v>0</v>
      </c>
      <c r="K69" s="13"/>
      <c r="L69" s="14"/>
    </row>
    <row r="70" spans="1:12" ht="15" thickBot="1" x14ac:dyDescent="0.25">
      <c r="A70" s="58" t="s">
        <v>182</v>
      </c>
      <c r="B70" s="59"/>
      <c r="C70" s="60"/>
      <c r="D70" s="60"/>
      <c r="E70" s="60"/>
      <c r="F70" s="60" t="s">
        <v>181</v>
      </c>
      <c r="G70" s="60" t="s">
        <v>92</v>
      </c>
      <c r="H70" s="60"/>
      <c r="I70" s="60"/>
      <c r="J70" s="61"/>
      <c r="K70" s="61"/>
      <c r="L70" s="19"/>
    </row>
    <row r="71" spans="1:12" ht="15" x14ac:dyDescent="0.25">
      <c r="A71" s="20">
        <v>1</v>
      </c>
      <c r="B71" s="20" t="s">
        <v>215</v>
      </c>
      <c r="C71" s="21">
        <v>1</v>
      </c>
      <c r="D71" s="22" t="s">
        <v>10</v>
      </c>
      <c r="E71" s="22" t="e">
        <f>(Detail!#REF!*1)+(Detail!#REF!*850)+(Detail!#REF!*200)</f>
        <v>#REF!</v>
      </c>
      <c r="F71" s="56"/>
      <c r="G71" s="56"/>
      <c r="H71" s="25"/>
      <c r="I71" s="25"/>
      <c r="J71" s="26"/>
      <c r="K71" s="27"/>
      <c r="L71" s="19"/>
    </row>
    <row r="72" spans="1:12" ht="15" x14ac:dyDescent="0.25">
      <c r="A72" s="20"/>
      <c r="B72" s="62" t="s">
        <v>216</v>
      </c>
      <c r="C72" s="21"/>
      <c r="D72" s="22"/>
      <c r="E72" s="22"/>
      <c r="F72" s="63">
        <v>1</v>
      </c>
      <c r="G72" s="55">
        <v>5</v>
      </c>
      <c r="H72" s="25">
        <f>Detail!G260*F72*G72</f>
        <v>105600</v>
      </c>
      <c r="I72" s="25">
        <f t="shared" ref="I72:I82" si="6">H72*(1+$I$6)</f>
        <v>147840</v>
      </c>
      <c r="J72" s="26">
        <f t="shared" ref="J72:J82" si="7">I72*(1+$J$6)</f>
        <v>198992.64000000001</v>
      </c>
      <c r="K72" s="27"/>
      <c r="L72" s="19"/>
    </row>
    <row r="73" spans="1:12" ht="15" x14ac:dyDescent="0.25">
      <c r="A73" s="20"/>
      <c r="B73" s="62" t="s">
        <v>217</v>
      </c>
      <c r="C73" s="21"/>
      <c r="D73" s="22"/>
      <c r="E73" s="22"/>
      <c r="F73" s="64">
        <v>1</v>
      </c>
      <c r="G73" s="65">
        <v>5</v>
      </c>
      <c r="H73" s="25">
        <f>Detail!G264*F73*G73</f>
        <v>50160</v>
      </c>
      <c r="I73" s="25">
        <f t="shared" si="6"/>
        <v>70224</v>
      </c>
      <c r="J73" s="26">
        <f t="shared" si="7"/>
        <v>94521.504000000001</v>
      </c>
      <c r="K73" s="27"/>
      <c r="L73" s="19"/>
    </row>
    <row r="74" spans="1:12" ht="15" x14ac:dyDescent="0.25">
      <c r="A74" s="28">
        <v>2</v>
      </c>
      <c r="B74" s="28" t="s">
        <v>218</v>
      </c>
      <c r="C74" s="29">
        <v>1</v>
      </c>
      <c r="D74" s="30" t="s">
        <v>10</v>
      </c>
      <c r="E74" s="30" t="e">
        <f>(Detail!#REF!*3500)+(Detail!#REF!*10)+(Detail!#REF!*10)</f>
        <v>#REF!</v>
      </c>
      <c r="F74" s="66"/>
      <c r="G74" s="56"/>
      <c r="H74" s="25"/>
      <c r="I74" s="25"/>
      <c r="J74" s="26"/>
      <c r="K74" s="32"/>
      <c r="L74" s="19"/>
    </row>
    <row r="75" spans="1:12" ht="15" x14ac:dyDescent="0.25">
      <c r="A75" s="28"/>
      <c r="B75" s="62" t="s">
        <v>216</v>
      </c>
      <c r="C75" s="29"/>
      <c r="D75" s="30"/>
      <c r="E75" s="30"/>
      <c r="F75" s="63">
        <v>1</v>
      </c>
      <c r="G75" s="55">
        <v>5</v>
      </c>
      <c r="H75" s="25">
        <f>Detail!G269*F75*G75</f>
        <v>258720.00000000003</v>
      </c>
      <c r="I75" s="25">
        <f t="shared" si="6"/>
        <v>362208</v>
      </c>
      <c r="J75" s="26">
        <f t="shared" si="7"/>
        <v>487531.96800000005</v>
      </c>
      <c r="K75" s="32"/>
      <c r="L75" s="19"/>
    </row>
    <row r="76" spans="1:12" ht="15" x14ac:dyDescent="0.25">
      <c r="A76" s="28"/>
      <c r="B76" s="62" t="s">
        <v>217</v>
      </c>
      <c r="C76" s="29"/>
      <c r="D76" s="30"/>
      <c r="E76" s="30"/>
      <c r="F76" s="63">
        <v>1</v>
      </c>
      <c r="G76" s="55">
        <v>5</v>
      </c>
      <c r="H76" s="25">
        <f>Detail!G273*F76*G76</f>
        <v>112200</v>
      </c>
      <c r="I76" s="25">
        <f t="shared" si="6"/>
        <v>157080</v>
      </c>
      <c r="J76" s="26">
        <f t="shared" si="7"/>
        <v>211429.68000000002</v>
      </c>
      <c r="K76" s="32"/>
      <c r="L76" s="19"/>
    </row>
    <row r="77" spans="1:12" ht="15" x14ac:dyDescent="0.25">
      <c r="A77" s="33">
        <v>3</v>
      </c>
      <c r="B77" s="33" t="s">
        <v>284</v>
      </c>
      <c r="C77" s="34">
        <v>1</v>
      </c>
      <c r="D77" s="30" t="s">
        <v>7</v>
      </c>
      <c r="E77" s="30" t="e">
        <f>Detail!#REF!</f>
        <v>#REF!</v>
      </c>
      <c r="F77" s="66"/>
      <c r="G77" s="56"/>
      <c r="H77" s="25"/>
      <c r="I77" s="25"/>
      <c r="J77" s="26"/>
      <c r="K77" s="35"/>
      <c r="L77" s="14"/>
    </row>
    <row r="78" spans="1:12" ht="15" x14ac:dyDescent="0.25">
      <c r="A78" s="67"/>
      <c r="B78" s="62" t="s">
        <v>216</v>
      </c>
      <c r="C78" s="34"/>
      <c r="D78" s="30"/>
      <c r="E78" s="30"/>
      <c r="F78" s="63">
        <v>1</v>
      </c>
      <c r="G78" s="55">
        <v>5</v>
      </c>
      <c r="H78" s="25">
        <f>Detail!G278*F78*G78</f>
        <v>45906.666666666672</v>
      </c>
      <c r="I78" s="25">
        <f t="shared" ref="I78:I79" si="8">H78*(1+$I$6)</f>
        <v>64269.333333333336</v>
      </c>
      <c r="J78" s="26">
        <f t="shared" ref="J78:J79" si="9">I78*(1+$J$6)</f>
        <v>86506.522666666671</v>
      </c>
      <c r="K78" s="40"/>
      <c r="L78" s="14"/>
    </row>
    <row r="79" spans="1:12" ht="15" x14ac:dyDescent="0.25">
      <c r="A79" s="67"/>
      <c r="B79" s="62" t="s">
        <v>217</v>
      </c>
      <c r="C79" s="34"/>
      <c r="D79" s="30"/>
      <c r="E79" s="30"/>
      <c r="F79" s="63">
        <v>1</v>
      </c>
      <c r="G79" s="55">
        <v>5</v>
      </c>
      <c r="H79" s="25">
        <f>Detail!G283*F79*G79</f>
        <v>32193.333333333336</v>
      </c>
      <c r="I79" s="25">
        <f t="shared" si="8"/>
        <v>45070.666666666664</v>
      </c>
      <c r="J79" s="26">
        <f t="shared" si="9"/>
        <v>60665.117333333335</v>
      </c>
      <c r="K79" s="40"/>
      <c r="L79" s="14"/>
    </row>
    <row r="80" spans="1:12" ht="15" x14ac:dyDescent="0.25">
      <c r="A80" s="33">
        <v>3</v>
      </c>
      <c r="B80" s="33" t="s">
        <v>285</v>
      </c>
      <c r="C80" s="34">
        <v>1</v>
      </c>
      <c r="D80" s="30" t="s">
        <v>7</v>
      </c>
      <c r="E80" s="30" t="e">
        <f>Detail!#REF!</f>
        <v>#REF!</v>
      </c>
      <c r="F80" s="66"/>
      <c r="G80" s="56"/>
      <c r="H80" s="25"/>
      <c r="I80" s="25"/>
      <c r="J80" s="26"/>
      <c r="K80" s="35"/>
      <c r="L80" s="14"/>
    </row>
    <row r="81" spans="1:12" ht="15" x14ac:dyDescent="0.25">
      <c r="A81" s="67"/>
      <c r="B81" s="62" t="s">
        <v>216</v>
      </c>
      <c r="C81" s="34"/>
      <c r="D81" s="30"/>
      <c r="E81" s="30"/>
      <c r="F81" s="63">
        <v>1</v>
      </c>
      <c r="G81" s="55">
        <v>5</v>
      </c>
      <c r="H81" s="25">
        <f>Detail!G288*F81*G81</f>
        <v>31680.000000000004</v>
      </c>
      <c r="I81" s="25">
        <f t="shared" si="6"/>
        <v>44352</v>
      </c>
      <c r="J81" s="26">
        <f t="shared" si="7"/>
        <v>59697.792000000001</v>
      </c>
      <c r="K81" s="40"/>
      <c r="L81" s="14"/>
    </row>
    <row r="82" spans="1:12" ht="15" x14ac:dyDescent="0.25">
      <c r="A82" s="67"/>
      <c r="B82" s="62" t="s">
        <v>217</v>
      </c>
      <c r="C82" s="34"/>
      <c r="D82" s="30"/>
      <c r="E82" s="30"/>
      <c r="F82" s="63">
        <v>1</v>
      </c>
      <c r="G82" s="55">
        <v>5</v>
      </c>
      <c r="H82" s="25">
        <f>Detail!G292*F82*G82</f>
        <v>18479.999999999996</v>
      </c>
      <c r="I82" s="25">
        <f t="shared" si="6"/>
        <v>25871.999999999993</v>
      </c>
      <c r="J82" s="26">
        <f t="shared" si="7"/>
        <v>34823.711999999992</v>
      </c>
      <c r="K82" s="40"/>
      <c r="L82" s="14"/>
    </row>
    <row r="83" spans="1:12" ht="15" x14ac:dyDescent="0.25">
      <c r="A83" s="7"/>
      <c r="B83" s="7"/>
      <c r="C83" s="36"/>
      <c r="D83" s="37"/>
      <c r="E83" s="37"/>
      <c r="F83" s="25"/>
      <c r="G83" s="25"/>
      <c r="H83" s="38"/>
      <c r="I83" s="38"/>
      <c r="J83" s="39"/>
      <c r="K83" s="40"/>
      <c r="L83" s="14"/>
    </row>
    <row r="84" spans="1:12" ht="15" x14ac:dyDescent="0.25">
      <c r="A84" s="41"/>
      <c r="B84" s="41"/>
      <c r="C84" s="36"/>
      <c r="D84" s="37"/>
      <c r="E84" s="37"/>
      <c r="F84" s="42"/>
      <c r="G84" s="42"/>
      <c r="H84" s="42"/>
      <c r="I84" s="42" t="s">
        <v>72</v>
      </c>
      <c r="J84" s="43">
        <f>SUM(J71:J83)</f>
        <v>1234168.936</v>
      </c>
      <c r="K84" s="35"/>
      <c r="L84" s="14"/>
    </row>
    <row r="85" spans="1:12" ht="15.75" thickBot="1" x14ac:dyDescent="0.3">
      <c r="A85" s="44"/>
      <c r="B85" s="44"/>
      <c r="C85" s="45"/>
      <c r="D85" s="22"/>
      <c r="E85" s="22"/>
      <c r="F85" s="46"/>
      <c r="G85" s="46"/>
      <c r="H85" s="46"/>
      <c r="I85" s="46"/>
      <c r="J85" s="47"/>
      <c r="K85" s="14"/>
      <c r="L85" s="14"/>
    </row>
    <row r="86" spans="1:12" ht="15" thickBot="1" x14ac:dyDescent="0.25">
      <c r="A86" s="58" t="s">
        <v>219</v>
      </c>
      <c r="B86" s="59"/>
      <c r="C86" s="60"/>
      <c r="D86" s="60"/>
      <c r="E86" s="60"/>
      <c r="F86" s="60" t="s">
        <v>91</v>
      </c>
      <c r="G86" s="60" t="s">
        <v>92</v>
      </c>
      <c r="H86" s="60"/>
      <c r="I86" s="60"/>
      <c r="J86" s="60"/>
      <c r="K86" s="60"/>
      <c r="L86" s="19"/>
    </row>
    <row r="87" spans="1:12" ht="15" customHeight="1" x14ac:dyDescent="0.25">
      <c r="A87" s="28">
        <v>1</v>
      </c>
      <c r="B87" s="28" t="s">
        <v>73</v>
      </c>
      <c r="C87" s="29">
        <v>1</v>
      </c>
      <c r="D87" s="48" t="s">
        <v>10</v>
      </c>
      <c r="E87" s="49" t="e">
        <f>(Detail!#REF!*4000)+(Detail!#REF!*6000)+(Detail!#REF!*6000)+(Detail!#REF!*40*6)</f>
        <v>#REF!</v>
      </c>
      <c r="F87" s="56"/>
      <c r="G87" s="56"/>
      <c r="H87" s="25"/>
      <c r="I87" s="25"/>
      <c r="J87" s="26"/>
      <c r="K87" s="50"/>
      <c r="L87" s="19"/>
    </row>
    <row r="88" spans="1:12" ht="15" x14ac:dyDescent="0.25">
      <c r="A88" s="20"/>
      <c r="B88" s="62" t="s">
        <v>216</v>
      </c>
      <c r="C88" s="21"/>
      <c r="D88" s="22"/>
      <c r="E88" s="22"/>
      <c r="F88" s="55">
        <v>1</v>
      </c>
      <c r="G88" s="55">
        <v>5</v>
      </c>
      <c r="H88" s="25">
        <f>Detail!G301*F88*G88</f>
        <v>110.75</v>
      </c>
      <c r="I88" s="25">
        <f t="shared" ref="I88:I95" si="10">H88*(1+$I$6)</f>
        <v>155.04999999999998</v>
      </c>
      <c r="J88" s="26">
        <f t="shared" ref="J88:J95" si="11">I88*(1+$J$6)</f>
        <v>208.69729999999998</v>
      </c>
      <c r="K88" s="27"/>
      <c r="L88" s="19"/>
    </row>
    <row r="89" spans="1:12" ht="15" x14ac:dyDescent="0.25">
      <c r="A89" s="20"/>
      <c r="B89" s="62" t="s">
        <v>217</v>
      </c>
      <c r="C89" s="21"/>
      <c r="D89" s="22"/>
      <c r="E89" s="22"/>
      <c r="F89" s="55">
        <v>1</v>
      </c>
      <c r="G89" s="55">
        <v>5</v>
      </c>
      <c r="H89" s="25">
        <f>Detail!G307*F89*G89</f>
        <v>59.125000000000007</v>
      </c>
      <c r="I89" s="25">
        <f t="shared" si="10"/>
        <v>82.775000000000006</v>
      </c>
      <c r="J89" s="26">
        <f t="shared" si="11"/>
        <v>111.41515000000001</v>
      </c>
      <c r="K89" s="27"/>
      <c r="L89" s="19"/>
    </row>
    <row r="90" spans="1:12" ht="15" customHeight="1" x14ac:dyDescent="0.25">
      <c r="A90" s="28">
        <v>2</v>
      </c>
      <c r="B90" s="28" t="s">
        <v>75</v>
      </c>
      <c r="C90" s="29">
        <v>1</v>
      </c>
      <c r="D90" s="48" t="s">
        <v>10</v>
      </c>
      <c r="E90" s="30" t="e">
        <f>(Detail!#REF!*7)+(Detail!#REF!*1600/9)+(Detail!#REF!*1600)+(Detail!#REF!*1600)+(Detail!#REF!*5)</f>
        <v>#REF!</v>
      </c>
      <c r="F90" s="56"/>
      <c r="G90" s="56"/>
      <c r="H90" s="25"/>
      <c r="I90" s="25"/>
      <c r="J90" s="26"/>
      <c r="K90" s="32"/>
      <c r="L90" s="19"/>
    </row>
    <row r="91" spans="1:12" ht="15" x14ac:dyDescent="0.25">
      <c r="A91" s="20"/>
      <c r="B91" s="62" t="s">
        <v>216</v>
      </c>
      <c r="C91" s="21"/>
      <c r="D91" s="22"/>
      <c r="E91" s="22"/>
      <c r="F91" s="55">
        <v>1</v>
      </c>
      <c r="G91" s="55">
        <v>5</v>
      </c>
      <c r="H91" s="25">
        <f>Detail!G314*F91*G91</f>
        <v>89.5</v>
      </c>
      <c r="I91" s="25">
        <f t="shared" si="10"/>
        <v>125.3</v>
      </c>
      <c r="J91" s="26">
        <f t="shared" si="11"/>
        <v>168.65380000000002</v>
      </c>
      <c r="K91" s="27"/>
      <c r="L91" s="19"/>
    </row>
    <row r="92" spans="1:12" ht="15" x14ac:dyDescent="0.25">
      <c r="A92" s="20"/>
      <c r="B92" s="62" t="s">
        <v>217</v>
      </c>
      <c r="C92" s="21"/>
      <c r="D92" s="22"/>
      <c r="E92" s="22"/>
      <c r="F92" s="55">
        <v>1</v>
      </c>
      <c r="G92" s="55">
        <v>5</v>
      </c>
      <c r="H92" s="25">
        <f>Detail!G321*F92*G92</f>
        <v>48.500000000000007</v>
      </c>
      <c r="I92" s="25">
        <f t="shared" si="10"/>
        <v>67.900000000000006</v>
      </c>
      <c r="J92" s="26">
        <f t="shared" si="11"/>
        <v>91.393400000000014</v>
      </c>
      <c r="K92" s="27"/>
      <c r="L92" s="19"/>
    </row>
    <row r="93" spans="1:12" ht="15" customHeight="1" x14ac:dyDescent="0.25">
      <c r="A93" s="33">
        <v>3</v>
      </c>
      <c r="B93" s="33" t="s">
        <v>74</v>
      </c>
      <c r="C93" s="34">
        <v>1</v>
      </c>
      <c r="D93" s="48" t="s">
        <v>10</v>
      </c>
      <c r="E93" s="30" t="e">
        <f>(Detail!#REF!*4000)+(Detail!#REF!)+(Detail!#REF!)+(Detail!#REF!)+(Detail!#REF!*4000)+(Detail!#REF!*280)+(Detail!#REF!*3)+(Detail!#REF!*500)+(Detail!#REF!*250)</f>
        <v>#REF!</v>
      </c>
      <c r="F93" s="56"/>
      <c r="G93" s="56"/>
      <c r="H93" s="25"/>
      <c r="I93" s="25"/>
      <c r="J93" s="26"/>
      <c r="K93" s="35"/>
      <c r="L93" s="14"/>
    </row>
    <row r="94" spans="1:12" ht="15" x14ac:dyDescent="0.25">
      <c r="A94" s="20"/>
      <c r="B94" s="62" t="s">
        <v>216</v>
      </c>
      <c r="C94" s="21"/>
      <c r="D94" s="22"/>
      <c r="E94" s="22"/>
      <c r="F94" s="55">
        <v>1</v>
      </c>
      <c r="G94" s="55">
        <v>5</v>
      </c>
      <c r="H94" s="25">
        <f>Detail!G328*F94*G94</f>
        <v>74.5</v>
      </c>
      <c r="I94" s="25">
        <f t="shared" si="10"/>
        <v>104.3</v>
      </c>
      <c r="J94" s="26">
        <f t="shared" si="11"/>
        <v>140.3878</v>
      </c>
      <c r="K94" s="27"/>
      <c r="L94" s="19"/>
    </row>
    <row r="95" spans="1:12" ht="15" x14ac:dyDescent="0.25">
      <c r="A95" s="20"/>
      <c r="B95" s="62" t="s">
        <v>217</v>
      </c>
      <c r="C95" s="21"/>
      <c r="D95" s="22"/>
      <c r="E95" s="22"/>
      <c r="F95" s="55">
        <v>1</v>
      </c>
      <c r="G95" s="55">
        <v>5</v>
      </c>
      <c r="H95" s="25">
        <f>Detail!G335*F95*G95</f>
        <v>41</v>
      </c>
      <c r="I95" s="25">
        <f t="shared" si="10"/>
        <v>57.4</v>
      </c>
      <c r="J95" s="26">
        <f t="shared" si="11"/>
        <v>77.260400000000004</v>
      </c>
      <c r="K95" s="27"/>
      <c r="L95" s="19"/>
    </row>
    <row r="96" spans="1:12" ht="15" x14ac:dyDescent="0.25">
      <c r="A96" s="41"/>
      <c r="B96" s="41"/>
      <c r="C96" s="36"/>
      <c r="D96" s="37"/>
      <c r="E96" s="37"/>
      <c r="F96" s="25"/>
      <c r="G96" s="25"/>
      <c r="H96" s="38"/>
      <c r="I96" s="38"/>
      <c r="J96" s="39"/>
      <c r="K96" s="35"/>
      <c r="L96" s="14"/>
    </row>
    <row r="97" spans="1:12" ht="15" x14ac:dyDescent="0.25">
      <c r="A97" s="41"/>
      <c r="B97" s="41"/>
      <c r="C97" s="36"/>
      <c r="D97" s="37"/>
      <c r="E97" s="37"/>
      <c r="F97" s="42"/>
      <c r="G97" s="42"/>
      <c r="H97" s="42"/>
      <c r="I97" s="42" t="s">
        <v>76</v>
      </c>
      <c r="J97" s="39">
        <f>SUM(J87:J96)</f>
        <v>797.80785000000003</v>
      </c>
      <c r="K97" s="35"/>
      <c r="L97" s="14"/>
    </row>
    <row r="98" spans="1:12" ht="15.75" thickBot="1" x14ac:dyDescent="0.3">
      <c r="A98" s="44"/>
      <c r="B98" s="44"/>
      <c r="C98" s="45"/>
      <c r="D98" s="22"/>
      <c r="E98" s="22"/>
      <c r="F98" s="46"/>
      <c r="G98" s="46"/>
      <c r="H98" s="46"/>
      <c r="I98" s="46"/>
      <c r="J98" s="47"/>
      <c r="K98" s="14"/>
      <c r="L98" s="14"/>
    </row>
    <row r="99" spans="1:12" ht="15" thickBot="1" x14ac:dyDescent="0.25">
      <c r="A99" s="58" t="s">
        <v>220</v>
      </c>
      <c r="B99" s="59"/>
      <c r="C99" s="60"/>
      <c r="D99" s="60"/>
      <c r="E99" s="60"/>
      <c r="F99" s="60" t="s">
        <v>91</v>
      </c>
      <c r="G99" s="60" t="s">
        <v>91</v>
      </c>
      <c r="H99" s="60"/>
      <c r="I99" s="60"/>
      <c r="J99" s="60"/>
      <c r="K99" s="68"/>
      <c r="L99" s="19"/>
    </row>
    <row r="100" spans="1:12" ht="15" customHeight="1" x14ac:dyDescent="0.25">
      <c r="A100" s="28">
        <v>1</v>
      </c>
      <c r="B100" s="28" t="s">
        <v>73</v>
      </c>
      <c r="C100" s="29">
        <v>1</v>
      </c>
      <c r="D100" s="48" t="s">
        <v>10</v>
      </c>
      <c r="E100" s="49" t="e">
        <f>(Detail!#REF!*4000)+(Detail!#REF!*6000)+(Detail!#REF!*6000)+(Detail!#REF!*40*6)</f>
        <v>#REF!</v>
      </c>
      <c r="F100" s="56"/>
      <c r="G100" s="56"/>
      <c r="H100" s="25"/>
      <c r="I100" s="25"/>
      <c r="J100" s="26"/>
      <c r="K100" s="50"/>
      <c r="L100" s="19"/>
    </row>
    <row r="101" spans="1:12" ht="15" x14ac:dyDescent="0.25">
      <c r="A101" s="20"/>
      <c r="B101" s="62" t="s">
        <v>216</v>
      </c>
      <c r="C101" s="21"/>
      <c r="D101" s="22"/>
      <c r="E101" s="22"/>
      <c r="F101" s="55">
        <v>1</v>
      </c>
      <c r="G101" s="55">
        <v>5</v>
      </c>
      <c r="H101" s="25">
        <f>Detail!G345*F101*G101</f>
        <v>366.58333333333337</v>
      </c>
      <c r="I101" s="25">
        <f t="shared" ref="I101:I108" si="12">H101*(1+$I$6)</f>
        <v>513.2166666666667</v>
      </c>
      <c r="J101" s="26">
        <f t="shared" ref="J101:J108" si="13">I101*(1+$J$6)</f>
        <v>690.78963333333343</v>
      </c>
      <c r="K101" s="27"/>
      <c r="L101" s="19"/>
    </row>
    <row r="102" spans="1:12" ht="15" x14ac:dyDescent="0.25">
      <c r="A102" s="20"/>
      <c r="B102" s="62" t="s">
        <v>217</v>
      </c>
      <c r="C102" s="21"/>
      <c r="D102" s="22"/>
      <c r="E102" s="22"/>
      <c r="F102" s="55">
        <v>1</v>
      </c>
      <c r="G102" s="55">
        <v>5</v>
      </c>
      <c r="H102" s="25">
        <f>Detail!G353*F102*G102</f>
        <v>184.29166666666669</v>
      </c>
      <c r="I102" s="25">
        <f t="shared" si="12"/>
        <v>258.00833333333333</v>
      </c>
      <c r="J102" s="26">
        <f t="shared" si="13"/>
        <v>347.27921666666668</v>
      </c>
      <c r="K102" s="27"/>
      <c r="L102" s="19"/>
    </row>
    <row r="103" spans="1:12" ht="15" customHeight="1" x14ac:dyDescent="0.25">
      <c r="A103" s="28">
        <v>2</v>
      </c>
      <c r="B103" s="28" t="s">
        <v>75</v>
      </c>
      <c r="C103" s="29">
        <v>1</v>
      </c>
      <c r="D103" s="48" t="s">
        <v>10</v>
      </c>
      <c r="E103" s="30" t="e">
        <f>(Detail!#REF!*7)+(Detail!#REF!*1600/9)+(Detail!#REF!*1600)+(Detail!#REF!*1600)+(Detail!#REF!*5)</f>
        <v>#REF!</v>
      </c>
      <c r="F103" s="56"/>
      <c r="G103" s="56"/>
      <c r="H103" s="25"/>
      <c r="I103" s="25"/>
      <c r="J103" s="26"/>
      <c r="K103" s="32"/>
      <c r="L103" s="19"/>
    </row>
    <row r="104" spans="1:12" ht="15" x14ac:dyDescent="0.25">
      <c r="A104" s="20"/>
      <c r="B104" s="62" t="s">
        <v>216</v>
      </c>
      <c r="C104" s="21"/>
      <c r="D104" s="22"/>
      <c r="E104" s="22"/>
      <c r="F104" s="55">
        <v>1</v>
      </c>
      <c r="G104" s="55">
        <v>5</v>
      </c>
      <c r="H104" s="25">
        <f>Detail!G360*F104*G104</f>
        <v>158.875</v>
      </c>
      <c r="I104" s="25">
        <f t="shared" si="12"/>
        <v>222.42499999999998</v>
      </c>
      <c r="J104" s="26">
        <f t="shared" si="13"/>
        <v>299.38405</v>
      </c>
      <c r="K104" s="27"/>
      <c r="L104" s="19"/>
    </row>
    <row r="105" spans="1:12" ht="15" x14ac:dyDescent="0.25">
      <c r="A105" s="20"/>
      <c r="B105" s="62" t="s">
        <v>217</v>
      </c>
      <c r="C105" s="21"/>
      <c r="D105" s="22"/>
      <c r="E105" s="22"/>
      <c r="F105" s="55">
        <v>1</v>
      </c>
      <c r="G105" s="55">
        <v>5</v>
      </c>
      <c r="H105" s="25">
        <f>Detail!G368*F105*G105</f>
        <v>80.4375</v>
      </c>
      <c r="I105" s="25">
        <f t="shared" si="12"/>
        <v>112.6125</v>
      </c>
      <c r="J105" s="26">
        <f t="shared" si="13"/>
        <v>151.576425</v>
      </c>
      <c r="K105" s="27"/>
      <c r="L105" s="19"/>
    </row>
    <row r="106" spans="1:12" ht="15" customHeight="1" x14ac:dyDescent="0.25">
      <c r="A106" s="33">
        <v>3</v>
      </c>
      <c r="B106" s="33" t="s">
        <v>74</v>
      </c>
      <c r="C106" s="34">
        <v>1</v>
      </c>
      <c r="D106" s="48" t="s">
        <v>10</v>
      </c>
      <c r="E106" s="30" t="e">
        <f>(Detail!#REF!*4000)+(Detail!#REF!)+(Detail!#REF!)+(Detail!#REF!)+(Detail!#REF!*4000)+(Detail!#REF!*280)+(Detail!#REF!*3)+(Detail!#REF!*500)+(Detail!#REF!*250)</f>
        <v>#REF!</v>
      </c>
      <c r="F106" s="56"/>
      <c r="G106" s="56"/>
      <c r="H106" s="25"/>
      <c r="I106" s="25"/>
      <c r="J106" s="26"/>
      <c r="K106" s="35"/>
      <c r="L106" s="14"/>
    </row>
    <row r="107" spans="1:12" ht="15" x14ac:dyDescent="0.25">
      <c r="A107" s="20"/>
      <c r="B107" s="62" t="s">
        <v>216</v>
      </c>
      <c r="C107" s="21"/>
      <c r="D107" s="22"/>
      <c r="E107" s="22"/>
      <c r="F107" s="55">
        <v>1</v>
      </c>
      <c r="G107" s="55">
        <v>5</v>
      </c>
      <c r="H107" s="25">
        <f>Detail!G376*F107*G107</f>
        <v>103.51041666666667</v>
      </c>
      <c r="I107" s="25">
        <f t="shared" si="12"/>
        <v>144.91458333333333</v>
      </c>
      <c r="J107" s="26">
        <f t="shared" si="13"/>
        <v>195.05502916666666</v>
      </c>
      <c r="K107" s="27"/>
      <c r="L107" s="19"/>
    </row>
    <row r="108" spans="1:12" ht="15" x14ac:dyDescent="0.25">
      <c r="A108" s="20"/>
      <c r="B108" s="62" t="s">
        <v>217</v>
      </c>
      <c r="C108" s="21"/>
      <c r="D108" s="22"/>
      <c r="E108" s="22"/>
      <c r="F108" s="24">
        <v>1</v>
      </c>
      <c r="G108" s="24">
        <v>5</v>
      </c>
      <c r="H108" s="25">
        <f>Detail!G383*F108*G108</f>
        <v>52.755208333333343</v>
      </c>
      <c r="I108" s="25">
        <f t="shared" si="12"/>
        <v>73.857291666666669</v>
      </c>
      <c r="J108" s="26">
        <f t="shared" si="13"/>
        <v>99.411914583333342</v>
      </c>
      <c r="K108" s="27"/>
      <c r="L108" s="19"/>
    </row>
    <row r="109" spans="1:12" ht="15" x14ac:dyDescent="0.25">
      <c r="A109" s="41"/>
      <c r="B109" s="41"/>
      <c r="C109" s="36"/>
      <c r="D109" s="37"/>
      <c r="E109" s="37"/>
      <c r="F109" s="25"/>
      <c r="G109" s="25"/>
      <c r="H109" s="38"/>
      <c r="I109" s="38"/>
      <c r="J109" s="39"/>
      <c r="K109" s="35"/>
      <c r="L109" s="14"/>
    </row>
    <row r="110" spans="1:12" ht="15" x14ac:dyDescent="0.25">
      <c r="A110" s="41"/>
      <c r="B110" s="41"/>
      <c r="C110" s="36"/>
      <c r="D110" s="37"/>
      <c r="E110" s="37"/>
      <c r="F110" s="42"/>
      <c r="G110" s="42"/>
      <c r="H110" s="42"/>
      <c r="I110" s="42" t="s">
        <v>77</v>
      </c>
      <c r="J110" s="39">
        <f>SUM(J100:J109)</f>
        <v>1783.4962687500001</v>
      </c>
      <c r="K110" s="35"/>
      <c r="L110" s="14"/>
    </row>
    <row r="111" spans="1:12" ht="15.75" thickBot="1" x14ac:dyDescent="0.3">
      <c r="A111" s="44"/>
      <c r="B111" s="44"/>
      <c r="C111" s="45"/>
      <c r="D111" s="22"/>
      <c r="E111" s="22"/>
      <c r="F111" s="46"/>
      <c r="G111" s="46"/>
      <c r="H111" s="46"/>
      <c r="I111" s="46"/>
      <c r="J111" s="47"/>
      <c r="K111" s="14"/>
      <c r="L111" s="14"/>
    </row>
    <row r="112" spans="1:12" ht="15" thickBot="1" x14ac:dyDescent="0.25">
      <c r="A112" s="58" t="s">
        <v>221</v>
      </c>
      <c r="B112" s="59"/>
      <c r="C112" s="60"/>
      <c r="D112" s="60"/>
      <c r="E112" s="60"/>
      <c r="F112" s="60" t="s">
        <v>91</v>
      </c>
      <c r="G112" s="60"/>
      <c r="H112" s="60"/>
      <c r="I112" s="60"/>
      <c r="J112" s="60"/>
      <c r="K112" s="68"/>
      <c r="L112" s="19"/>
    </row>
    <row r="113" spans="1:12" ht="15" customHeight="1" x14ac:dyDescent="0.25">
      <c r="A113" s="28">
        <v>1</v>
      </c>
      <c r="B113" s="28" t="s">
        <v>78</v>
      </c>
      <c r="C113" s="29">
        <v>1</v>
      </c>
      <c r="D113" s="48" t="s">
        <v>10</v>
      </c>
      <c r="E113" s="49" t="e">
        <f>(Detail!#REF!*4000)+(Detail!#REF!*6000)+(Detail!#REF!*6000)+(Detail!#REF!*40*6)</f>
        <v>#REF!</v>
      </c>
      <c r="F113" s="56"/>
      <c r="G113" s="25"/>
      <c r="H113" s="25"/>
      <c r="I113" s="25"/>
      <c r="J113" s="26"/>
      <c r="K113" s="50"/>
      <c r="L113" s="19"/>
    </row>
    <row r="114" spans="1:12" ht="15" customHeight="1" x14ac:dyDescent="0.25">
      <c r="A114" s="28"/>
      <c r="B114" s="62" t="str">
        <f>Detail!C387</f>
        <v>Culvert - 18" dia. (routine maint.)</v>
      </c>
      <c r="C114" s="29"/>
      <c r="D114" s="48"/>
      <c r="E114" s="49"/>
      <c r="F114" s="55">
        <v>1</v>
      </c>
      <c r="G114" s="25"/>
      <c r="H114" s="25">
        <f>Detail!G390*F114</f>
        <v>5.8</v>
      </c>
      <c r="I114" s="25">
        <f>H114*(1+$I$6)</f>
        <v>8.1199999999999992</v>
      </c>
      <c r="J114" s="26">
        <f>I114*(1+$J$6)</f>
        <v>10.92952</v>
      </c>
      <c r="K114" s="32"/>
      <c r="L114" s="19"/>
    </row>
    <row r="115" spans="1:12" ht="15" customHeight="1" x14ac:dyDescent="0.25">
      <c r="A115" s="28"/>
      <c r="B115" s="62" t="str">
        <f>Detail!C391</f>
        <v>Culvert - 18" dia. (major rehab)</v>
      </c>
      <c r="C115" s="29"/>
      <c r="D115" s="48"/>
      <c r="E115" s="49"/>
      <c r="F115" s="55">
        <v>1</v>
      </c>
      <c r="G115" s="25"/>
      <c r="H115" s="25">
        <f>Detail!G395*F115</f>
        <v>51.25</v>
      </c>
      <c r="I115" s="25">
        <f t="shared" ref="I115:I121" si="14">H115*(1+$I$6)</f>
        <v>71.75</v>
      </c>
      <c r="J115" s="26">
        <f t="shared" ref="J115:J121" si="15">I115*(1+$J$6)</f>
        <v>96.575500000000005</v>
      </c>
      <c r="K115" s="32"/>
      <c r="L115" s="19"/>
    </row>
    <row r="116" spans="1:12" ht="15" customHeight="1" x14ac:dyDescent="0.25">
      <c r="A116" s="28"/>
      <c r="B116" s="62" t="str">
        <f>Detail!C396</f>
        <v>Culvert - 24" dia. (routine maint.)</v>
      </c>
      <c r="C116" s="29"/>
      <c r="D116" s="48"/>
      <c r="E116" s="49"/>
      <c r="F116" s="55">
        <v>1</v>
      </c>
      <c r="G116" s="25"/>
      <c r="H116" s="25">
        <f>Detail!G399*F116</f>
        <v>7</v>
      </c>
      <c r="I116" s="25">
        <f t="shared" si="14"/>
        <v>9.7999999999999989</v>
      </c>
      <c r="J116" s="26">
        <f t="shared" si="15"/>
        <v>13.190799999999999</v>
      </c>
      <c r="K116" s="32"/>
      <c r="L116" s="19"/>
    </row>
    <row r="117" spans="1:12" ht="15" customHeight="1" x14ac:dyDescent="0.25">
      <c r="A117" s="28"/>
      <c r="B117" s="62" t="str">
        <f>Detail!C400</f>
        <v>Culvert - 24" dia. (major rehab)</v>
      </c>
      <c r="C117" s="29"/>
      <c r="D117" s="48"/>
      <c r="E117" s="49"/>
      <c r="F117" s="55">
        <v>1</v>
      </c>
      <c r="G117" s="25"/>
      <c r="H117" s="25">
        <f>Detail!G404*F117</f>
        <v>61.6</v>
      </c>
      <c r="I117" s="25">
        <f t="shared" si="14"/>
        <v>86.24</v>
      </c>
      <c r="J117" s="26">
        <f t="shared" si="15"/>
        <v>116.07904000000001</v>
      </c>
      <c r="K117" s="32"/>
      <c r="L117" s="19"/>
    </row>
    <row r="118" spans="1:12" ht="15" customHeight="1" x14ac:dyDescent="0.25">
      <c r="A118" s="28"/>
      <c r="B118" s="62" t="str">
        <f>Detail!C405</f>
        <v>Culvert - 36" dia. (routine maint.)</v>
      </c>
      <c r="C118" s="29"/>
      <c r="D118" s="48"/>
      <c r="E118" s="49"/>
      <c r="F118" s="55">
        <v>1</v>
      </c>
      <c r="G118" s="25"/>
      <c r="H118" s="25">
        <f>Detail!G408*F118</f>
        <v>10.4</v>
      </c>
      <c r="I118" s="25">
        <f t="shared" si="14"/>
        <v>14.559999999999999</v>
      </c>
      <c r="J118" s="26">
        <f t="shared" si="15"/>
        <v>19.597760000000001</v>
      </c>
      <c r="K118" s="32"/>
      <c r="L118" s="19"/>
    </row>
    <row r="119" spans="1:12" ht="15" customHeight="1" x14ac:dyDescent="0.25">
      <c r="A119" s="28"/>
      <c r="B119" s="62" t="str">
        <f>Detail!C409</f>
        <v>Culvert - 36" dia. (major rehab)</v>
      </c>
      <c r="C119" s="29"/>
      <c r="D119" s="48"/>
      <c r="E119" s="49"/>
      <c r="F119" s="55">
        <v>1</v>
      </c>
      <c r="G119" s="25"/>
      <c r="H119" s="25">
        <f>Detail!G413*F119</f>
        <v>92.300000000000011</v>
      </c>
      <c r="I119" s="25">
        <f t="shared" si="14"/>
        <v>129.22</v>
      </c>
      <c r="J119" s="26">
        <f t="shared" si="15"/>
        <v>173.93012000000002</v>
      </c>
      <c r="K119" s="32"/>
      <c r="L119" s="19"/>
    </row>
    <row r="120" spans="1:12" ht="15" customHeight="1" x14ac:dyDescent="0.25">
      <c r="A120" s="28"/>
      <c r="B120" s="62" t="str">
        <f>Detail!C414</f>
        <v>Culvert - 48" dia. (routine maint.)</v>
      </c>
      <c r="C120" s="29"/>
      <c r="D120" s="48"/>
      <c r="E120" s="49"/>
      <c r="F120" s="55">
        <v>1</v>
      </c>
      <c r="G120" s="25"/>
      <c r="H120" s="25">
        <f>Detail!G417*F120</f>
        <v>13.8</v>
      </c>
      <c r="I120" s="25">
        <f t="shared" si="14"/>
        <v>19.32</v>
      </c>
      <c r="J120" s="26">
        <f t="shared" si="15"/>
        <v>26.004720000000002</v>
      </c>
      <c r="K120" s="32"/>
      <c r="L120" s="19"/>
    </row>
    <row r="121" spans="1:12" ht="15" customHeight="1" x14ac:dyDescent="0.25">
      <c r="A121" s="28"/>
      <c r="B121" s="62" t="str">
        <f>Detail!C418</f>
        <v>Culvert - 48" dia. (major rehab)</v>
      </c>
      <c r="C121" s="29"/>
      <c r="D121" s="48"/>
      <c r="E121" s="49"/>
      <c r="F121" s="55">
        <v>1</v>
      </c>
      <c r="G121" s="25"/>
      <c r="H121" s="25">
        <f>Detail!G422*F121</f>
        <v>123</v>
      </c>
      <c r="I121" s="25">
        <f t="shared" si="14"/>
        <v>172.2</v>
      </c>
      <c r="J121" s="26">
        <f t="shared" si="15"/>
        <v>231.78120000000001</v>
      </c>
      <c r="K121" s="32"/>
      <c r="L121" s="19"/>
    </row>
    <row r="122" spans="1:12" ht="15" x14ac:dyDescent="0.25">
      <c r="A122" s="41"/>
      <c r="B122" s="41"/>
      <c r="C122" s="36"/>
      <c r="D122" s="37"/>
      <c r="E122" s="37"/>
      <c r="F122" s="25"/>
      <c r="G122" s="25"/>
      <c r="H122" s="38"/>
      <c r="I122" s="38"/>
      <c r="J122" s="39"/>
      <c r="K122" s="35"/>
      <c r="L122" s="14"/>
    </row>
    <row r="123" spans="1:12" ht="15" x14ac:dyDescent="0.25">
      <c r="A123" s="41"/>
      <c r="B123" s="41"/>
      <c r="C123" s="36"/>
      <c r="D123" s="37"/>
      <c r="E123" s="37"/>
      <c r="F123" s="42"/>
      <c r="G123" s="42"/>
      <c r="H123" s="42"/>
      <c r="I123" s="42" t="s">
        <v>79</v>
      </c>
      <c r="J123" s="39">
        <f>SUM(J113:J122)</f>
        <v>688.08866</v>
      </c>
      <c r="K123" s="35"/>
      <c r="L123" s="14"/>
    </row>
    <row r="124" spans="1:12" ht="15.75" thickBot="1" x14ac:dyDescent="0.3">
      <c r="A124" s="44"/>
      <c r="B124" s="44"/>
      <c r="C124" s="45"/>
      <c r="D124" s="22"/>
      <c r="E124" s="22"/>
      <c r="F124" s="46"/>
      <c r="G124" s="46"/>
      <c r="H124" s="46"/>
      <c r="I124" s="46"/>
      <c r="J124" s="47"/>
      <c r="K124" s="14"/>
      <c r="L124" s="14"/>
    </row>
    <row r="125" spans="1:12" ht="15" thickBot="1" x14ac:dyDescent="0.25">
      <c r="A125" s="58" t="s">
        <v>222</v>
      </c>
      <c r="B125" s="59"/>
      <c r="C125" s="60"/>
      <c r="D125" s="60"/>
      <c r="E125" s="60"/>
      <c r="F125" s="60" t="s">
        <v>91</v>
      </c>
      <c r="G125" s="60" t="s">
        <v>92</v>
      </c>
      <c r="H125" s="60"/>
      <c r="I125" s="60"/>
      <c r="J125" s="60"/>
      <c r="K125" s="68"/>
      <c r="L125" s="19"/>
    </row>
    <row r="126" spans="1:12" ht="15" customHeight="1" x14ac:dyDescent="0.25">
      <c r="A126" s="28">
        <v>1</v>
      </c>
      <c r="B126" s="28" t="s">
        <v>80</v>
      </c>
      <c r="C126" s="29">
        <v>1</v>
      </c>
      <c r="D126" s="48" t="s">
        <v>10</v>
      </c>
      <c r="E126" s="49" t="e">
        <f>(Detail!#REF!*4000)+(Detail!#REF!*6000)+(Detail!#REF!*6000)+(Detail!#REF!*40*6)</f>
        <v>#REF!</v>
      </c>
      <c r="F126" s="56"/>
      <c r="G126" s="56"/>
      <c r="H126" s="25"/>
      <c r="I126" s="25"/>
      <c r="J126" s="26"/>
      <c r="K126" s="50"/>
      <c r="L126" s="19"/>
    </row>
    <row r="127" spans="1:12" ht="15" x14ac:dyDescent="0.25">
      <c r="A127" s="20"/>
      <c r="B127" s="62" t="s">
        <v>216</v>
      </c>
      <c r="C127" s="21"/>
      <c r="D127" s="22"/>
      <c r="E127" s="22"/>
      <c r="F127" s="55">
        <v>9</v>
      </c>
      <c r="G127" s="55">
        <v>18</v>
      </c>
      <c r="H127" s="25">
        <f>Detail!G430*F127*G127</f>
        <v>659.34</v>
      </c>
      <c r="I127" s="25">
        <f t="shared" ref="I127:I139" si="16">H127*(1+$I$6)</f>
        <v>923.07600000000002</v>
      </c>
      <c r="J127" s="26">
        <f t="shared" ref="J127:J139" si="17">I127*(1+$J$6)</f>
        <v>1242.4602960000002</v>
      </c>
      <c r="K127" s="27"/>
      <c r="L127" s="19"/>
    </row>
    <row r="128" spans="1:12" ht="15" customHeight="1" x14ac:dyDescent="0.25">
      <c r="A128" s="28"/>
      <c r="B128" s="150" t="s">
        <v>180</v>
      </c>
      <c r="C128" s="29"/>
      <c r="D128" s="48"/>
      <c r="E128" s="49"/>
      <c r="F128" s="24">
        <v>1</v>
      </c>
      <c r="G128" s="54"/>
      <c r="H128" s="25">
        <f>Detail!G430*F128*(9*18)</f>
        <v>659.34</v>
      </c>
      <c r="I128" s="25">
        <f t="shared" si="16"/>
        <v>923.07600000000002</v>
      </c>
      <c r="J128" s="26">
        <f t="shared" si="17"/>
        <v>1242.4602960000002</v>
      </c>
      <c r="K128" s="32"/>
      <c r="L128" s="19"/>
    </row>
    <row r="129" spans="1:12" ht="15" x14ac:dyDescent="0.25">
      <c r="A129" s="20"/>
      <c r="B129" s="62" t="s">
        <v>217</v>
      </c>
      <c r="C129" s="21"/>
      <c r="D129" s="22"/>
      <c r="E129" s="22"/>
      <c r="F129" s="55">
        <v>9</v>
      </c>
      <c r="G129" s="55">
        <v>18</v>
      </c>
      <c r="H129" s="25">
        <f>Detail!G436*F129*G129</f>
        <v>319.14</v>
      </c>
      <c r="I129" s="25">
        <f t="shared" si="16"/>
        <v>446.79599999999994</v>
      </c>
      <c r="J129" s="26">
        <f t="shared" si="17"/>
        <v>601.38741599999992</v>
      </c>
      <c r="K129" s="27"/>
      <c r="L129" s="19"/>
    </row>
    <row r="130" spans="1:12" ht="15" customHeight="1" x14ac:dyDescent="0.25">
      <c r="A130" s="28"/>
      <c r="B130" s="150" t="s">
        <v>180</v>
      </c>
      <c r="C130" s="29"/>
      <c r="D130" s="48"/>
      <c r="E130" s="49"/>
      <c r="F130" s="24">
        <v>1</v>
      </c>
      <c r="G130" s="54"/>
      <c r="H130" s="25">
        <f>Detail!G436*F130*(9*18)</f>
        <v>319.14</v>
      </c>
      <c r="I130" s="25">
        <f t="shared" ref="I130" si="18">H130*(1+$I$6)</f>
        <v>446.79599999999994</v>
      </c>
      <c r="J130" s="26">
        <f t="shared" ref="J130" si="19">I130*(1+$J$6)</f>
        <v>601.38741599999992</v>
      </c>
      <c r="K130" s="32"/>
      <c r="L130" s="19"/>
    </row>
    <row r="131" spans="1:12" ht="15" customHeight="1" x14ac:dyDescent="0.25">
      <c r="A131" s="28">
        <v>2</v>
      </c>
      <c r="B131" s="28" t="s">
        <v>81</v>
      </c>
      <c r="C131" s="29">
        <v>1</v>
      </c>
      <c r="D131" s="48" t="s">
        <v>10</v>
      </c>
      <c r="E131" s="30" t="e">
        <f>(Detail!#REF!*7)+(Detail!#REF!*1600/9)+(Detail!#REF!*1600)+(Detail!#REF!*1600)+(Detail!#REF!*5)</f>
        <v>#REF!</v>
      </c>
      <c r="F131" s="56"/>
      <c r="G131" s="56"/>
      <c r="H131" s="25"/>
      <c r="I131" s="25"/>
      <c r="J131" s="26"/>
      <c r="K131" s="32"/>
      <c r="L131" s="19"/>
    </row>
    <row r="132" spans="1:12" ht="15" x14ac:dyDescent="0.25">
      <c r="A132" s="20"/>
      <c r="B132" s="62" t="s">
        <v>216</v>
      </c>
      <c r="C132" s="21"/>
      <c r="D132" s="22"/>
      <c r="E132" s="22"/>
      <c r="F132" s="55">
        <v>9</v>
      </c>
      <c r="G132" s="55">
        <v>18</v>
      </c>
      <c r="H132" s="25">
        <f>Detail!G443*F132*G132</f>
        <v>2141.64</v>
      </c>
      <c r="I132" s="25">
        <f t="shared" si="16"/>
        <v>2998.2959999999998</v>
      </c>
      <c r="J132" s="26">
        <f t="shared" si="17"/>
        <v>4035.706416</v>
      </c>
      <c r="K132" s="27"/>
      <c r="L132" s="19"/>
    </row>
    <row r="133" spans="1:12" ht="15" customHeight="1" x14ac:dyDescent="0.25">
      <c r="A133" s="28"/>
      <c r="B133" s="150" t="s">
        <v>180</v>
      </c>
      <c r="C133" s="29"/>
      <c r="D133" s="48"/>
      <c r="E133" s="49"/>
      <c r="F133" s="24">
        <v>1</v>
      </c>
      <c r="G133" s="54"/>
      <c r="H133" s="25">
        <f>Detail!G443*F133*(9*18)</f>
        <v>2141.6400000000003</v>
      </c>
      <c r="I133" s="25">
        <f t="shared" si="16"/>
        <v>2998.2960000000003</v>
      </c>
      <c r="J133" s="26">
        <f t="shared" si="17"/>
        <v>4035.7064160000004</v>
      </c>
      <c r="K133" s="32"/>
      <c r="L133" s="19"/>
    </row>
    <row r="134" spans="1:12" ht="15" x14ac:dyDescent="0.25">
      <c r="A134" s="20"/>
      <c r="B134" s="62" t="s">
        <v>217</v>
      </c>
      <c r="C134" s="21"/>
      <c r="D134" s="22"/>
      <c r="E134" s="22"/>
      <c r="F134" s="55">
        <v>9</v>
      </c>
      <c r="G134" s="55">
        <v>18</v>
      </c>
      <c r="H134" s="25">
        <f>Detail!G449*F134*G134</f>
        <v>942.84</v>
      </c>
      <c r="I134" s="25">
        <f t="shared" si="16"/>
        <v>1319.9759999999999</v>
      </c>
      <c r="J134" s="26">
        <f t="shared" si="17"/>
        <v>1776.687696</v>
      </c>
      <c r="K134" s="27"/>
      <c r="L134" s="19"/>
    </row>
    <row r="135" spans="1:12" ht="15" customHeight="1" x14ac:dyDescent="0.25">
      <c r="A135" s="28"/>
      <c r="B135" s="150" t="s">
        <v>180</v>
      </c>
      <c r="C135" s="29"/>
      <c r="D135" s="48"/>
      <c r="E135" s="49"/>
      <c r="F135" s="24">
        <v>1</v>
      </c>
      <c r="G135" s="54"/>
      <c r="H135" s="25">
        <f>Detail!G449*F135*(9*18)</f>
        <v>942.84</v>
      </c>
      <c r="I135" s="25">
        <f t="shared" ref="I135" si="20">H135*(1+$I$6)</f>
        <v>1319.9759999999999</v>
      </c>
      <c r="J135" s="26">
        <f t="shared" ref="J135" si="21">I135*(1+$J$6)</f>
        <v>1776.687696</v>
      </c>
      <c r="K135" s="32"/>
      <c r="L135" s="19"/>
    </row>
    <row r="136" spans="1:12" ht="15" customHeight="1" x14ac:dyDescent="0.25">
      <c r="A136" s="33">
        <v>3</v>
      </c>
      <c r="B136" s="33" t="s">
        <v>82</v>
      </c>
      <c r="C136" s="34">
        <v>1</v>
      </c>
      <c r="D136" s="48" t="s">
        <v>10</v>
      </c>
      <c r="E136" s="30" t="e">
        <f>(Detail!#REF!*4000)+(Detail!#REF!)+(Detail!#REF!)+(Detail!#REF!)+(Detail!#REF!*4000)+(Detail!#REF!*280)+(Detail!#REF!*3)+(Detail!#REF!*500)+(Detail!#REF!*250)</f>
        <v>#REF!</v>
      </c>
      <c r="F136" s="56"/>
      <c r="G136" s="56"/>
      <c r="H136" s="25"/>
      <c r="I136" s="25"/>
      <c r="J136" s="26"/>
      <c r="K136" s="35"/>
      <c r="L136" s="14"/>
    </row>
    <row r="137" spans="1:12" ht="15" x14ac:dyDescent="0.25">
      <c r="A137" s="20"/>
      <c r="B137" s="62" t="s">
        <v>216</v>
      </c>
      <c r="C137" s="21"/>
      <c r="D137" s="22"/>
      <c r="E137" s="22"/>
      <c r="F137" s="55">
        <v>9</v>
      </c>
      <c r="G137" s="55">
        <v>18</v>
      </c>
      <c r="H137" s="25">
        <f>Detail!G455*F137*G137</f>
        <v>281.7</v>
      </c>
      <c r="I137" s="25">
        <f t="shared" si="16"/>
        <v>394.37999999999994</v>
      </c>
      <c r="J137" s="26">
        <f t="shared" si="17"/>
        <v>530.83547999999996</v>
      </c>
      <c r="K137" s="27"/>
      <c r="L137" s="19"/>
    </row>
    <row r="138" spans="1:12" ht="15" customHeight="1" x14ac:dyDescent="0.25">
      <c r="A138" s="28"/>
      <c r="B138" s="150" t="s">
        <v>180</v>
      </c>
      <c r="C138" s="29"/>
      <c r="D138" s="48"/>
      <c r="E138" s="49"/>
      <c r="F138" s="24">
        <v>1</v>
      </c>
      <c r="G138" s="54"/>
      <c r="H138" s="25">
        <f>Detail!G455*F138*(9*18)</f>
        <v>281.7</v>
      </c>
      <c r="I138" s="25">
        <f t="shared" si="16"/>
        <v>394.37999999999994</v>
      </c>
      <c r="J138" s="26">
        <f t="shared" si="17"/>
        <v>530.83547999999996</v>
      </c>
      <c r="K138" s="32"/>
      <c r="L138" s="19"/>
    </row>
    <row r="139" spans="1:12" ht="15" x14ac:dyDescent="0.25">
      <c r="A139" s="20"/>
      <c r="B139" s="62" t="s">
        <v>217</v>
      </c>
      <c r="C139" s="21"/>
      <c r="D139" s="22"/>
      <c r="E139" s="22"/>
      <c r="F139" s="55">
        <v>9</v>
      </c>
      <c r="G139" s="55">
        <v>18</v>
      </c>
      <c r="H139" s="25">
        <f>Detail!G461*F139*G139</f>
        <v>197.64000000000004</v>
      </c>
      <c r="I139" s="25">
        <f t="shared" si="16"/>
        <v>276.69600000000003</v>
      </c>
      <c r="J139" s="26">
        <f t="shared" si="17"/>
        <v>372.43281600000006</v>
      </c>
      <c r="K139" s="27"/>
      <c r="L139" s="19"/>
    </row>
    <row r="140" spans="1:12" ht="15" customHeight="1" x14ac:dyDescent="0.25">
      <c r="A140" s="28"/>
      <c r="B140" s="150" t="s">
        <v>180</v>
      </c>
      <c r="C140" s="29"/>
      <c r="D140" s="48"/>
      <c r="E140" s="49"/>
      <c r="F140" s="24">
        <v>1</v>
      </c>
      <c r="G140" s="54"/>
      <c r="H140" s="25">
        <f>Detail!G461*F140*(9*18)</f>
        <v>197.64000000000004</v>
      </c>
      <c r="I140" s="25">
        <f t="shared" ref="I140" si="22">H140*(1+$I$6)</f>
        <v>276.69600000000003</v>
      </c>
      <c r="J140" s="26">
        <f t="shared" ref="J140" si="23">I140*(1+$J$6)</f>
        <v>372.43281600000006</v>
      </c>
      <c r="K140" s="32"/>
      <c r="L140" s="19"/>
    </row>
    <row r="141" spans="1:12" ht="15" x14ac:dyDescent="0.25">
      <c r="A141" s="41"/>
      <c r="B141" s="41"/>
      <c r="C141" s="36"/>
      <c r="D141" s="37"/>
      <c r="E141" s="37"/>
      <c r="F141" s="25"/>
      <c r="G141" s="25"/>
      <c r="H141" s="38"/>
      <c r="I141" s="38"/>
      <c r="J141" s="39"/>
      <c r="K141" s="35"/>
      <c r="L141" s="14"/>
    </row>
    <row r="142" spans="1:12" ht="15" x14ac:dyDescent="0.25">
      <c r="A142" s="41"/>
      <c r="B142" s="41"/>
      <c r="C142" s="36"/>
      <c r="D142" s="37"/>
      <c r="E142" s="37"/>
      <c r="F142" s="42"/>
      <c r="G142" s="42"/>
      <c r="H142" s="42"/>
      <c r="I142" s="42" t="s">
        <v>83</v>
      </c>
      <c r="J142" s="39">
        <f>SUM(J126:J141)</f>
        <v>17119.020240000002</v>
      </c>
      <c r="K142" s="35"/>
      <c r="L142" s="14"/>
    </row>
    <row r="143" spans="1:12" ht="15.75" thickBot="1" x14ac:dyDescent="0.3">
      <c r="A143" s="44"/>
      <c r="B143" s="44"/>
      <c r="C143" s="45"/>
      <c r="D143" s="22"/>
      <c r="E143" s="22"/>
      <c r="F143" s="46"/>
      <c r="G143" s="46"/>
      <c r="H143" s="46"/>
      <c r="I143" s="46"/>
      <c r="J143" s="47"/>
      <c r="K143" s="14"/>
      <c r="L143" s="14"/>
    </row>
    <row r="144" spans="1:12" ht="15" thickBot="1" x14ac:dyDescent="0.25">
      <c r="A144" s="58" t="s">
        <v>312</v>
      </c>
      <c r="B144" s="59"/>
      <c r="C144" s="60"/>
      <c r="D144" s="60"/>
      <c r="E144" s="60"/>
      <c r="F144" s="60" t="s">
        <v>181</v>
      </c>
      <c r="G144" s="60" t="s">
        <v>92</v>
      </c>
      <c r="H144" s="60"/>
      <c r="I144" s="60"/>
      <c r="J144" s="60"/>
      <c r="K144" s="68"/>
      <c r="L144" s="19"/>
    </row>
    <row r="145" spans="1:12" ht="15" customHeight="1" x14ac:dyDescent="0.25">
      <c r="A145" s="28">
        <v>1</v>
      </c>
      <c r="B145" s="28" t="s">
        <v>80</v>
      </c>
      <c r="C145" s="29">
        <v>1</v>
      </c>
      <c r="D145" s="48" t="s">
        <v>10</v>
      </c>
      <c r="E145" s="49" t="e">
        <f>(Detail!#REF!*4000)+(Detail!#REF!*6000)+(Detail!#REF!*6000)+(Detail!#REF!*40*6)</f>
        <v>#REF!</v>
      </c>
      <c r="F145" s="56"/>
      <c r="G145" s="49"/>
      <c r="H145" s="25"/>
      <c r="I145" s="25"/>
      <c r="J145" s="26"/>
      <c r="K145" s="50"/>
      <c r="L145" s="19"/>
    </row>
    <row r="146" spans="1:12" ht="15" x14ac:dyDescent="0.25">
      <c r="A146" s="20"/>
      <c r="B146" s="62" t="s">
        <v>216</v>
      </c>
      <c r="C146" s="21"/>
      <c r="D146" s="22"/>
      <c r="E146" s="22"/>
      <c r="F146" s="63">
        <v>1</v>
      </c>
      <c r="G146" s="55">
        <v>5</v>
      </c>
      <c r="H146" s="25">
        <f>Detail!G471*F146*G146</f>
        <v>119350</v>
      </c>
      <c r="I146" s="25">
        <f t="shared" ref="I146:I153" si="24">H146*(1+$I$6)</f>
        <v>167090</v>
      </c>
      <c r="J146" s="26">
        <f t="shared" ref="J146:J153" si="25">I146*(1+$J$6)</f>
        <v>224903.14</v>
      </c>
      <c r="K146" s="27"/>
      <c r="L146" s="19"/>
    </row>
    <row r="147" spans="1:12" ht="15" x14ac:dyDescent="0.25">
      <c r="A147" s="20"/>
      <c r="B147" s="62" t="s">
        <v>217</v>
      </c>
      <c r="C147" s="21"/>
      <c r="D147" s="22"/>
      <c r="E147" s="22"/>
      <c r="F147" s="63">
        <v>1</v>
      </c>
      <c r="G147" s="55">
        <v>5</v>
      </c>
      <c r="H147" s="25">
        <f>Detail!G479*F147*G147</f>
        <v>63010</v>
      </c>
      <c r="I147" s="25">
        <f t="shared" si="24"/>
        <v>88214</v>
      </c>
      <c r="J147" s="26">
        <f t="shared" si="25"/>
        <v>118736.04400000001</v>
      </c>
      <c r="K147" s="27"/>
      <c r="L147" s="19"/>
    </row>
    <row r="148" spans="1:12" ht="15" customHeight="1" x14ac:dyDescent="0.25">
      <c r="A148" s="28">
        <v>2</v>
      </c>
      <c r="B148" s="28" t="s">
        <v>81</v>
      </c>
      <c r="C148" s="29">
        <v>1</v>
      </c>
      <c r="D148" s="48" t="s">
        <v>10</v>
      </c>
      <c r="E148" s="30" t="e">
        <f>(Detail!#REF!*7)+(Detail!#REF!*1600/9)+(Detail!#REF!*1600)+(Detail!#REF!*1600)+(Detail!#REF!*5)</f>
        <v>#REF!</v>
      </c>
      <c r="F148" s="66"/>
      <c r="G148" s="49"/>
      <c r="H148" s="25"/>
      <c r="I148" s="25"/>
      <c r="J148" s="26"/>
      <c r="K148" s="32"/>
      <c r="L148" s="19"/>
    </row>
    <row r="149" spans="1:12" ht="15" x14ac:dyDescent="0.25">
      <c r="A149" s="20"/>
      <c r="B149" s="62" t="s">
        <v>216</v>
      </c>
      <c r="C149" s="21"/>
      <c r="D149" s="22"/>
      <c r="E149" s="22"/>
      <c r="F149" s="63">
        <v>1</v>
      </c>
      <c r="G149" s="55">
        <v>5</v>
      </c>
      <c r="H149" s="25">
        <f>Detail!G487*F149*G149</f>
        <v>321310</v>
      </c>
      <c r="I149" s="25">
        <f t="shared" si="24"/>
        <v>449834</v>
      </c>
      <c r="J149" s="26">
        <f t="shared" si="25"/>
        <v>605476.56400000001</v>
      </c>
      <c r="K149" s="27"/>
      <c r="L149" s="19"/>
    </row>
    <row r="150" spans="1:12" ht="15" x14ac:dyDescent="0.25">
      <c r="A150" s="20"/>
      <c r="B150" s="62" t="s">
        <v>217</v>
      </c>
      <c r="C150" s="21"/>
      <c r="D150" s="22"/>
      <c r="E150" s="22"/>
      <c r="F150" s="63">
        <v>1</v>
      </c>
      <c r="G150" s="55">
        <v>5</v>
      </c>
      <c r="H150" s="25">
        <f>Detail!G495*F150*G150</f>
        <v>125050</v>
      </c>
      <c r="I150" s="25">
        <f t="shared" si="24"/>
        <v>175070</v>
      </c>
      <c r="J150" s="26">
        <f t="shared" si="25"/>
        <v>235644.22</v>
      </c>
      <c r="K150" s="27"/>
      <c r="L150" s="19"/>
    </row>
    <row r="151" spans="1:12" ht="15" customHeight="1" x14ac:dyDescent="0.25">
      <c r="A151" s="33">
        <v>3</v>
      </c>
      <c r="B151" s="33" t="s">
        <v>82</v>
      </c>
      <c r="C151" s="34">
        <v>1</v>
      </c>
      <c r="D151" s="48" t="s">
        <v>10</v>
      </c>
      <c r="E151" s="30" t="e">
        <f>(Detail!#REF!*4000)+(Detail!#REF!)+(Detail!#REF!)+(Detail!#REF!)+(Detail!#REF!*4000)+(Detail!#REF!*280)+(Detail!#REF!*3)+(Detail!#REF!*500)+(Detail!#REF!*250)</f>
        <v>#REF!</v>
      </c>
      <c r="F151" s="66"/>
      <c r="G151" s="49"/>
      <c r="H151" s="25"/>
      <c r="I151" s="25"/>
      <c r="J151" s="26"/>
      <c r="K151" s="35"/>
      <c r="L151" s="14"/>
    </row>
    <row r="152" spans="1:12" ht="15" x14ac:dyDescent="0.25">
      <c r="A152" s="20"/>
      <c r="B152" s="62" t="s">
        <v>216</v>
      </c>
      <c r="C152" s="21"/>
      <c r="D152" s="22"/>
      <c r="E152" s="22"/>
      <c r="F152" s="63">
        <v>1</v>
      </c>
      <c r="G152" s="55">
        <v>5</v>
      </c>
      <c r="H152" s="25">
        <f>Detail!G501*F152*G152</f>
        <v>60976.666666666672</v>
      </c>
      <c r="I152" s="25">
        <f t="shared" si="24"/>
        <v>85367.333333333328</v>
      </c>
      <c r="J152" s="26">
        <f t="shared" si="25"/>
        <v>114904.43066666667</v>
      </c>
      <c r="K152" s="27"/>
      <c r="L152" s="19"/>
    </row>
    <row r="153" spans="1:12" ht="15" x14ac:dyDescent="0.25">
      <c r="A153" s="20"/>
      <c r="B153" s="62" t="s">
        <v>217</v>
      </c>
      <c r="C153" s="21"/>
      <c r="D153" s="22"/>
      <c r="E153" s="22"/>
      <c r="F153" s="63">
        <v>1</v>
      </c>
      <c r="G153" s="55">
        <v>5</v>
      </c>
      <c r="H153" s="25">
        <f>Detail!G509*F153*G153</f>
        <v>47698</v>
      </c>
      <c r="I153" s="25">
        <f t="shared" si="24"/>
        <v>66777.2</v>
      </c>
      <c r="J153" s="26">
        <f t="shared" si="25"/>
        <v>89882.111199999999</v>
      </c>
      <c r="K153" s="27"/>
      <c r="L153" s="19"/>
    </row>
    <row r="154" spans="1:12" ht="15" x14ac:dyDescent="0.25">
      <c r="A154" s="41"/>
      <c r="B154" s="41"/>
      <c r="C154" s="36"/>
      <c r="D154" s="37"/>
      <c r="E154" s="37"/>
      <c r="F154" s="25"/>
      <c r="G154" s="25"/>
      <c r="H154" s="38"/>
      <c r="I154" s="38"/>
      <c r="J154" s="39"/>
      <c r="K154" s="35"/>
      <c r="L154" s="14"/>
    </row>
    <row r="155" spans="1:12" ht="15" x14ac:dyDescent="0.25">
      <c r="A155" s="41"/>
      <c r="B155" s="41"/>
      <c r="C155" s="36"/>
      <c r="D155" s="37"/>
      <c r="E155" s="37"/>
      <c r="F155" s="42"/>
      <c r="G155" s="42"/>
      <c r="H155" s="42"/>
      <c r="I155" s="42" t="s">
        <v>128</v>
      </c>
      <c r="J155" s="39">
        <f>SUM(J145:J154)</f>
        <v>1389546.5098666667</v>
      </c>
      <c r="K155" s="35"/>
      <c r="L155" s="14"/>
    </row>
    <row r="156" spans="1:12" ht="15.75" thickBot="1" x14ac:dyDescent="0.3">
      <c r="A156" s="44"/>
      <c r="B156" s="44"/>
      <c r="C156" s="45"/>
      <c r="D156" s="22"/>
      <c r="E156" s="22"/>
      <c r="F156" s="46"/>
      <c r="G156" s="46"/>
      <c r="H156" s="46"/>
      <c r="I156" s="46"/>
      <c r="J156" s="47"/>
      <c r="K156" s="14"/>
      <c r="L156" s="14"/>
    </row>
    <row r="157" spans="1:12" ht="15" thickBot="1" x14ac:dyDescent="0.25">
      <c r="A157" s="58" t="s">
        <v>223</v>
      </c>
      <c r="B157" s="59"/>
      <c r="C157" s="60"/>
      <c r="D157" s="60"/>
      <c r="E157" s="60"/>
      <c r="F157" s="60" t="s">
        <v>270</v>
      </c>
      <c r="G157" s="60"/>
      <c r="H157" s="60"/>
      <c r="I157" s="60"/>
      <c r="J157" s="60"/>
      <c r="K157" s="68"/>
      <c r="L157" s="19"/>
    </row>
    <row r="158" spans="1:12" ht="14.25" customHeight="1" x14ac:dyDescent="0.25">
      <c r="A158" s="28">
        <v>1</v>
      </c>
      <c r="B158" s="28" t="s">
        <v>314</v>
      </c>
      <c r="C158" s="29">
        <v>1</v>
      </c>
      <c r="D158" s="48" t="s">
        <v>10</v>
      </c>
      <c r="E158" s="49" t="e">
        <f>(Detail!#REF!*4000)+(Detail!#REF!*6000)+(Detail!#REF!*6000)+(Detail!#REF!*40*6)</f>
        <v>#REF!</v>
      </c>
      <c r="F158" s="56"/>
      <c r="G158" s="25"/>
      <c r="H158" s="25"/>
      <c r="I158" s="25"/>
      <c r="J158" s="26"/>
      <c r="K158" s="50"/>
      <c r="L158" s="19"/>
    </row>
    <row r="159" spans="1:12" ht="15" x14ac:dyDescent="0.25">
      <c r="A159" s="20"/>
      <c r="B159" s="62" t="s">
        <v>216</v>
      </c>
      <c r="C159" s="21"/>
      <c r="D159" s="22"/>
      <c r="E159" s="22"/>
      <c r="F159" s="55">
        <v>1</v>
      </c>
      <c r="G159" s="25"/>
      <c r="H159" s="25">
        <f>Detail!G522*F159</f>
        <v>9850</v>
      </c>
      <c r="I159" s="25">
        <f t="shared" ref="I159:I163" si="26">H159*(1+$I$6)</f>
        <v>13790</v>
      </c>
      <c r="J159" s="26">
        <f t="shared" ref="J159:J163" si="27">I159*(1+$J$6)</f>
        <v>18561.34</v>
      </c>
      <c r="K159" s="27"/>
      <c r="L159" s="19"/>
    </row>
    <row r="160" spans="1:12" ht="15" x14ac:dyDescent="0.25">
      <c r="A160" s="20"/>
      <c r="B160" s="62" t="s">
        <v>217</v>
      </c>
      <c r="C160" s="21"/>
      <c r="D160" s="22"/>
      <c r="E160" s="22"/>
      <c r="F160" s="55">
        <v>1</v>
      </c>
      <c r="G160" s="25"/>
      <c r="H160" s="25">
        <f>Detail!G533*F160</f>
        <v>7465</v>
      </c>
      <c r="I160" s="25">
        <f t="shared" si="26"/>
        <v>10451</v>
      </c>
      <c r="J160" s="26">
        <f t="shared" si="27"/>
        <v>14067.046</v>
      </c>
      <c r="K160" s="27"/>
      <c r="L160" s="19"/>
    </row>
    <row r="161" spans="1:12" ht="15" customHeight="1" x14ac:dyDescent="0.25">
      <c r="A161" s="28">
        <v>2</v>
      </c>
      <c r="B161" s="28" t="s">
        <v>318</v>
      </c>
      <c r="C161" s="29">
        <v>1</v>
      </c>
      <c r="D161" s="48" t="s">
        <v>10</v>
      </c>
      <c r="E161" s="30" t="e">
        <f>(Detail!#REF!*7)+(Detail!#REF!*1600/9)+(Detail!#REF!*1600)+(Detail!#REF!*1600)+(Detail!#REF!*5)</f>
        <v>#REF!</v>
      </c>
      <c r="F161" s="56"/>
      <c r="G161" s="25"/>
      <c r="H161" s="25"/>
      <c r="I161" s="25"/>
      <c r="J161" s="26"/>
      <c r="K161" s="32"/>
      <c r="L161" s="19"/>
    </row>
    <row r="162" spans="1:12" ht="15" x14ac:dyDescent="0.25">
      <c r="A162" s="20"/>
      <c r="B162" s="62" t="s">
        <v>216</v>
      </c>
      <c r="C162" s="21"/>
      <c r="D162" s="22"/>
      <c r="E162" s="22"/>
      <c r="F162" s="55">
        <v>1</v>
      </c>
      <c r="G162" s="25"/>
      <c r="H162" s="25">
        <f>Detail!G522*F162</f>
        <v>9850</v>
      </c>
      <c r="I162" s="25">
        <f t="shared" si="26"/>
        <v>13790</v>
      </c>
      <c r="J162" s="26">
        <f t="shared" si="27"/>
        <v>18561.34</v>
      </c>
      <c r="K162" s="27"/>
      <c r="L162" s="19"/>
    </row>
    <row r="163" spans="1:12" ht="15" x14ac:dyDescent="0.25">
      <c r="A163" s="20"/>
      <c r="B163" s="62" t="s">
        <v>217</v>
      </c>
      <c r="C163" s="21"/>
      <c r="D163" s="22"/>
      <c r="E163" s="22"/>
      <c r="F163" s="24">
        <v>1</v>
      </c>
      <c r="G163" s="25"/>
      <c r="H163" s="25">
        <f>Detail!G533*F163</f>
        <v>7465</v>
      </c>
      <c r="I163" s="25">
        <f t="shared" si="26"/>
        <v>10451</v>
      </c>
      <c r="J163" s="26">
        <f t="shared" si="27"/>
        <v>14067.046</v>
      </c>
      <c r="K163" s="27"/>
      <c r="L163" s="19"/>
    </row>
    <row r="164" spans="1:12" ht="15" x14ac:dyDescent="0.25">
      <c r="A164" s="41"/>
      <c r="B164" s="41"/>
      <c r="C164" s="36"/>
      <c r="D164" s="37"/>
      <c r="E164" s="37"/>
      <c r="F164" s="25"/>
      <c r="G164" s="49"/>
      <c r="H164" s="38"/>
      <c r="I164" s="38"/>
      <c r="J164" s="39"/>
      <c r="K164" s="35"/>
      <c r="L164" s="14"/>
    </row>
    <row r="165" spans="1:12" ht="15" x14ac:dyDescent="0.25">
      <c r="A165" s="41"/>
      <c r="B165" s="41"/>
      <c r="C165" s="36"/>
      <c r="D165" s="37"/>
      <c r="E165" s="37"/>
      <c r="F165" s="42"/>
      <c r="G165" s="57"/>
      <c r="H165" s="42"/>
      <c r="I165" s="42" t="s">
        <v>129</v>
      </c>
      <c r="J165" s="39">
        <f>SUM(J158:J164)</f>
        <v>65256.771999999997</v>
      </c>
      <c r="K165" s="35"/>
      <c r="L165" s="14"/>
    </row>
    <row r="166" spans="1:12" ht="15" x14ac:dyDescent="0.25">
      <c r="A166" s="44"/>
      <c r="B166" s="44"/>
      <c r="C166" s="45"/>
      <c r="D166" s="22"/>
      <c r="E166" s="22"/>
      <c r="F166" s="46"/>
      <c r="G166" s="46"/>
      <c r="H166" s="46"/>
      <c r="I166" s="46"/>
      <c r="J166" s="47"/>
      <c r="K166" s="14"/>
      <c r="L166" s="14"/>
    </row>
  </sheetData>
  <mergeCells count="1">
    <mergeCell ref="A4:K4"/>
  </mergeCells>
  <pageMargins left="0.7" right="0.7" top="0.75" bottom="0.75" header="0.3" footer="0.3"/>
  <pageSetup scale="52" fitToHeight="0" orientation="portrait" r:id="rId1"/>
  <headerFooter>
    <oddHeader>&amp;R&amp;D</oddHeader>
  </headerFooter>
  <rowBreaks count="2" manualBreakCount="2">
    <brk id="67" max="10" man="1"/>
    <brk id="143"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33"/>
  <sheetViews>
    <sheetView view="pageBreakPreview" zoomScaleNormal="100" zoomScaleSheetLayoutView="100" workbookViewId="0">
      <selection activeCell="O230" sqref="O230"/>
    </sheetView>
  </sheetViews>
  <sheetFormatPr defaultColWidth="8.85546875" defaultRowHeight="12.75" x14ac:dyDescent="0.2"/>
  <cols>
    <col min="1" max="1" width="3.28515625" style="82" customWidth="1"/>
    <col min="2" max="2" width="6" style="82" customWidth="1"/>
    <col min="3" max="3" width="40.85546875" style="82" customWidth="1"/>
    <col min="4" max="4" width="2" style="82" customWidth="1"/>
    <col min="5" max="5" width="8.42578125" style="82" customWidth="1"/>
    <col min="6" max="6" width="8.85546875" style="82"/>
    <col min="7" max="7" width="12.28515625" style="107" bestFit="1" customWidth="1"/>
    <col min="8" max="8" width="12.5703125" style="82" customWidth="1"/>
    <col min="9" max="16384" width="8.85546875" style="82"/>
  </cols>
  <sheetData>
    <row r="1" spans="1:7" x14ac:dyDescent="0.2">
      <c r="G1" s="83"/>
    </row>
    <row r="2" spans="1:7" ht="13.5" thickBot="1" x14ac:dyDescent="0.25">
      <c r="G2" s="83"/>
    </row>
    <row r="3" spans="1:7" ht="13.5" thickBot="1" x14ac:dyDescent="0.25">
      <c r="A3" s="137"/>
      <c r="B3" s="152" t="s">
        <v>11</v>
      </c>
      <c r="C3" s="152"/>
      <c r="D3" s="152"/>
      <c r="E3" s="138" t="s">
        <v>12</v>
      </c>
      <c r="F3" s="138" t="s">
        <v>13</v>
      </c>
      <c r="G3" s="139" t="s">
        <v>14</v>
      </c>
    </row>
    <row r="4" spans="1:7" x14ac:dyDescent="0.2">
      <c r="G4" s="83"/>
    </row>
    <row r="5" spans="1:7" x14ac:dyDescent="0.2">
      <c r="A5" s="84"/>
      <c r="B5" s="84"/>
      <c r="C5" s="85" t="s">
        <v>93</v>
      </c>
      <c r="D5" s="84"/>
      <c r="E5" s="84"/>
      <c r="F5" s="84"/>
      <c r="G5" s="86"/>
    </row>
    <row r="6" spans="1:7" x14ac:dyDescent="0.2">
      <c r="A6" s="87"/>
      <c r="B6" s="87"/>
      <c r="C6" s="88"/>
      <c r="D6" s="87"/>
      <c r="E6" s="87"/>
      <c r="F6" s="87"/>
      <c r="G6" s="83"/>
    </row>
    <row r="7" spans="1:7" x14ac:dyDescent="0.2">
      <c r="C7" s="89" t="s">
        <v>94</v>
      </c>
      <c r="G7" s="83"/>
    </row>
    <row r="8" spans="1:7" x14ac:dyDescent="0.2">
      <c r="C8" s="82" t="s">
        <v>114</v>
      </c>
      <c r="E8" s="82">
        <v>1</v>
      </c>
      <c r="F8" s="82" t="s">
        <v>3</v>
      </c>
      <c r="G8" s="83">
        <v>3.75</v>
      </c>
    </row>
    <row r="9" spans="1:7" x14ac:dyDescent="0.2">
      <c r="C9" s="82" t="s">
        <v>87</v>
      </c>
      <c r="E9" s="82">
        <v>1</v>
      </c>
      <c r="F9" s="82" t="s">
        <v>3</v>
      </c>
      <c r="G9" s="83">
        <f>50/27*0.5</f>
        <v>0.92592592592592593</v>
      </c>
    </row>
    <row r="10" spans="1:7" x14ac:dyDescent="0.2">
      <c r="C10" s="82" t="s">
        <v>88</v>
      </c>
      <c r="E10" s="82">
        <v>1</v>
      </c>
      <c r="F10" s="82" t="s">
        <v>3</v>
      </c>
      <c r="G10" s="83">
        <v>0.15</v>
      </c>
    </row>
    <row r="11" spans="1:7" x14ac:dyDescent="0.2">
      <c r="C11" s="82" t="s">
        <v>89</v>
      </c>
      <c r="E11" s="82">
        <v>1</v>
      </c>
      <c r="F11" s="82" t="s">
        <v>3</v>
      </c>
      <c r="G11" s="83">
        <v>0.3</v>
      </c>
    </row>
    <row r="12" spans="1:7" x14ac:dyDescent="0.2">
      <c r="C12" s="90" t="s">
        <v>90</v>
      </c>
      <c r="D12" s="90"/>
      <c r="E12" s="90">
        <v>1</v>
      </c>
      <c r="F12" s="90" t="s">
        <v>3</v>
      </c>
      <c r="G12" s="91">
        <v>0.4</v>
      </c>
    </row>
    <row r="13" spans="1:7" x14ac:dyDescent="0.2">
      <c r="G13" s="92">
        <f>SUM(G8:G12)*5280</f>
        <v>29176.888888888891</v>
      </c>
    </row>
    <row r="14" spans="1:7" x14ac:dyDescent="0.2">
      <c r="C14" s="89" t="s">
        <v>96</v>
      </c>
      <c r="G14" s="83"/>
    </row>
    <row r="15" spans="1:7" x14ac:dyDescent="0.2">
      <c r="C15" s="82" t="s">
        <v>95</v>
      </c>
      <c r="E15" s="82">
        <v>1</v>
      </c>
      <c r="F15" s="82" t="s">
        <v>3</v>
      </c>
      <c r="G15" s="83">
        <v>8.75</v>
      </c>
    </row>
    <row r="16" spans="1:7" x14ac:dyDescent="0.2">
      <c r="C16" s="82" t="s">
        <v>87</v>
      </c>
      <c r="E16" s="82">
        <v>1</v>
      </c>
      <c r="F16" s="82" t="s">
        <v>3</v>
      </c>
      <c r="G16" s="83">
        <f>50/27*0.5</f>
        <v>0.92592592592592593</v>
      </c>
    </row>
    <row r="17" spans="3:7" x14ac:dyDescent="0.2">
      <c r="C17" s="82" t="s">
        <v>88</v>
      </c>
      <c r="E17" s="82">
        <v>1</v>
      </c>
      <c r="F17" s="82" t="s">
        <v>3</v>
      </c>
      <c r="G17" s="83">
        <v>0.15</v>
      </c>
    </row>
    <row r="18" spans="3:7" x14ac:dyDescent="0.2">
      <c r="C18" s="82" t="s">
        <v>89</v>
      </c>
      <c r="E18" s="82">
        <v>1</v>
      </c>
      <c r="F18" s="82" t="s">
        <v>3</v>
      </c>
      <c r="G18" s="83">
        <v>0.3</v>
      </c>
    </row>
    <row r="19" spans="3:7" x14ac:dyDescent="0.2">
      <c r="C19" s="90" t="s">
        <v>90</v>
      </c>
      <c r="D19" s="90"/>
      <c r="E19" s="90">
        <v>1</v>
      </c>
      <c r="F19" s="90" t="s">
        <v>3</v>
      </c>
      <c r="G19" s="91">
        <v>0.4</v>
      </c>
    </row>
    <row r="20" spans="3:7" x14ac:dyDescent="0.2">
      <c r="G20" s="92">
        <f>SUM(G15:G19)*5280</f>
        <v>55576.888888888898</v>
      </c>
    </row>
    <row r="21" spans="3:7" x14ac:dyDescent="0.2">
      <c r="G21" s="92"/>
    </row>
    <row r="22" spans="3:7" x14ac:dyDescent="0.2">
      <c r="C22" s="89" t="s">
        <v>280</v>
      </c>
      <c r="G22" s="83"/>
    </row>
    <row r="23" spans="3:7" x14ac:dyDescent="0.2">
      <c r="C23" s="82" t="s">
        <v>97</v>
      </c>
      <c r="E23" s="82">
        <v>1</v>
      </c>
      <c r="F23" s="82" t="s">
        <v>3</v>
      </c>
      <c r="G23" s="83">
        <f>85*0.33/27</f>
        <v>1.038888888888889</v>
      </c>
    </row>
    <row r="24" spans="3:7" x14ac:dyDescent="0.2">
      <c r="C24" s="82" t="s">
        <v>87</v>
      </c>
      <c r="E24" s="82">
        <v>1</v>
      </c>
      <c r="F24" s="82" t="s">
        <v>3</v>
      </c>
      <c r="G24" s="83">
        <f>50/27*0.5</f>
        <v>0.92592592592592593</v>
      </c>
    </row>
    <row r="25" spans="3:7" x14ac:dyDescent="0.2">
      <c r="C25" s="82" t="s">
        <v>88</v>
      </c>
      <c r="E25" s="82">
        <v>1</v>
      </c>
      <c r="F25" s="82" t="s">
        <v>3</v>
      </c>
      <c r="G25" s="83">
        <v>0.15</v>
      </c>
    </row>
    <row r="26" spans="3:7" x14ac:dyDescent="0.2">
      <c r="C26" s="82" t="s">
        <v>89</v>
      </c>
      <c r="E26" s="82">
        <v>1</v>
      </c>
      <c r="F26" s="82" t="s">
        <v>3</v>
      </c>
      <c r="G26" s="83">
        <v>0.3</v>
      </c>
    </row>
    <row r="27" spans="3:7" x14ac:dyDescent="0.2">
      <c r="C27" s="90" t="s">
        <v>90</v>
      </c>
      <c r="D27" s="90"/>
      <c r="E27" s="90">
        <v>1</v>
      </c>
      <c r="F27" s="90" t="s">
        <v>3</v>
      </c>
      <c r="G27" s="91">
        <v>0.4</v>
      </c>
    </row>
    <row r="28" spans="3:7" x14ac:dyDescent="0.2">
      <c r="G28" s="92">
        <f>SUM(G23:G27)*5280</f>
        <v>14862.222222222221</v>
      </c>
    </row>
    <row r="29" spans="3:7" x14ac:dyDescent="0.2">
      <c r="G29" s="92"/>
    </row>
    <row r="30" spans="3:7" x14ac:dyDescent="0.2">
      <c r="C30" s="89" t="s">
        <v>281</v>
      </c>
      <c r="G30" s="83"/>
    </row>
    <row r="31" spans="3:7" x14ac:dyDescent="0.2">
      <c r="C31" s="82" t="s">
        <v>282</v>
      </c>
      <c r="E31" s="82">
        <v>1</v>
      </c>
      <c r="F31" s="82" t="s">
        <v>3</v>
      </c>
      <c r="G31" s="83">
        <v>0.45</v>
      </c>
    </row>
    <row r="32" spans="3:7" x14ac:dyDescent="0.2">
      <c r="C32" s="82" t="s">
        <v>88</v>
      </c>
      <c r="E32" s="82">
        <v>1</v>
      </c>
      <c r="F32" s="82" t="s">
        <v>3</v>
      </c>
      <c r="G32" s="83">
        <v>0.15</v>
      </c>
    </row>
    <row r="33" spans="1:7" x14ac:dyDescent="0.2">
      <c r="C33" s="82" t="s">
        <v>89</v>
      </c>
      <c r="E33" s="82">
        <v>1</v>
      </c>
      <c r="F33" s="82" t="s">
        <v>3</v>
      </c>
      <c r="G33" s="83">
        <v>0.3</v>
      </c>
    </row>
    <row r="34" spans="1:7" x14ac:dyDescent="0.2">
      <c r="C34" s="90" t="s">
        <v>90</v>
      </c>
      <c r="D34" s="90"/>
      <c r="E34" s="90">
        <v>1</v>
      </c>
      <c r="F34" s="90" t="s">
        <v>3</v>
      </c>
      <c r="G34" s="91">
        <v>0.4</v>
      </c>
    </row>
    <row r="35" spans="1:7" x14ac:dyDescent="0.2">
      <c r="G35" s="92">
        <f>SUM(G31:G34)*5280</f>
        <v>6863.9999999999991</v>
      </c>
    </row>
    <row r="36" spans="1:7" x14ac:dyDescent="0.2">
      <c r="G36" s="92"/>
    </row>
    <row r="37" spans="1:7" x14ac:dyDescent="0.2">
      <c r="A37" s="84"/>
      <c r="B37" s="84"/>
      <c r="C37" s="85" t="s">
        <v>113</v>
      </c>
      <c r="D37" s="84"/>
      <c r="E37" s="84"/>
      <c r="F37" s="84"/>
      <c r="G37" s="86"/>
    </row>
    <row r="38" spans="1:7" x14ac:dyDescent="0.2">
      <c r="A38" s="87"/>
      <c r="B38" s="87"/>
      <c r="C38" s="88"/>
      <c r="D38" s="87"/>
      <c r="E38" s="87"/>
      <c r="F38" s="87"/>
      <c r="G38" s="83"/>
    </row>
    <row r="39" spans="1:7" x14ac:dyDescent="0.2">
      <c r="C39" s="89" t="s">
        <v>291</v>
      </c>
      <c r="G39" s="83"/>
    </row>
    <row r="40" spans="1:7" x14ac:dyDescent="0.2">
      <c r="C40" s="82" t="s">
        <v>292</v>
      </c>
      <c r="E40" s="82">
        <v>1</v>
      </c>
      <c r="F40" s="82" t="s">
        <v>3</v>
      </c>
      <c r="G40" s="83">
        <v>65</v>
      </c>
    </row>
    <row r="41" spans="1:7" x14ac:dyDescent="0.2">
      <c r="C41" s="82" t="s">
        <v>104</v>
      </c>
      <c r="E41" s="82">
        <v>1</v>
      </c>
      <c r="F41" s="82" t="s">
        <v>3</v>
      </c>
      <c r="G41" s="83">
        <f>550*2/10/Summary!G17</f>
        <v>22</v>
      </c>
    </row>
    <row r="42" spans="1:7" x14ac:dyDescent="0.2">
      <c r="C42" s="82" t="s">
        <v>89</v>
      </c>
      <c r="E42" s="82">
        <v>1</v>
      </c>
      <c r="F42" s="82" t="s">
        <v>3</v>
      </c>
      <c r="G42" s="83">
        <v>0.3</v>
      </c>
    </row>
    <row r="43" spans="1:7" x14ac:dyDescent="0.2">
      <c r="C43" s="82" t="s">
        <v>16</v>
      </c>
      <c r="E43" s="82">
        <v>1</v>
      </c>
      <c r="F43" s="82" t="s">
        <v>3</v>
      </c>
      <c r="G43" s="83">
        <f>35/27</f>
        <v>1.2962962962962963</v>
      </c>
    </row>
    <row r="44" spans="1:7" x14ac:dyDescent="0.2">
      <c r="C44" s="90" t="s">
        <v>90</v>
      </c>
      <c r="D44" s="90"/>
      <c r="E44" s="90">
        <v>1</v>
      </c>
      <c r="F44" s="90" t="s">
        <v>3</v>
      </c>
      <c r="G44" s="91">
        <v>0.4</v>
      </c>
    </row>
    <row r="45" spans="1:7" x14ac:dyDescent="0.2">
      <c r="G45" s="92">
        <f>SUM(G40:G44)</f>
        <v>88.996296296296293</v>
      </c>
    </row>
    <row r="46" spans="1:7" x14ac:dyDescent="0.2">
      <c r="C46" s="89" t="s">
        <v>313</v>
      </c>
      <c r="G46" s="83"/>
    </row>
    <row r="47" spans="1:7" x14ac:dyDescent="0.2">
      <c r="C47" s="82" t="s">
        <v>105</v>
      </c>
      <c r="E47" s="82">
        <v>1</v>
      </c>
      <c r="F47" s="82" t="s">
        <v>3</v>
      </c>
      <c r="G47" s="83">
        <v>18.5</v>
      </c>
    </row>
    <row r="48" spans="1:7" x14ac:dyDescent="0.2">
      <c r="C48" s="82" t="s">
        <v>106</v>
      </c>
      <c r="E48" s="82">
        <v>1</v>
      </c>
      <c r="F48" s="82" t="s">
        <v>3</v>
      </c>
      <c r="G48" s="83">
        <v>14</v>
      </c>
    </row>
    <row r="49" spans="3:7" x14ac:dyDescent="0.2">
      <c r="C49" s="82" t="s">
        <v>104</v>
      </c>
      <c r="E49" s="82">
        <v>1</v>
      </c>
      <c r="F49" s="82" t="s">
        <v>3</v>
      </c>
      <c r="G49" s="83">
        <f>550*2/10/Summary!G17</f>
        <v>22</v>
      </c>
    </row>
    <row r="50" spans="3:7" x14ac:dyDescent="0.2">
      <c r="C50" s="82" t="s">
        <v>89</v>
      </c>
      <c r="E50" s="82">
        <v>1</v>
      </c>
      <c r="F50" s="82" t="s">
        <v>3</v>
      </c>
      <c r="G50" s="83">
        <v>0.3</v>
      </c>
    </row>
    <row r="51" spans="3:7" x14ac:dyDescent="0.2">
      <c r="C51" s="82" t="s">
        <v>16</v>
      </c>
      <c r="E51" s="82">
        <v>1</v>
      </c>
      <c r="F51" s="82" t="s">
        <v>3</v>
      </c>
      <c r="G51" s="83">
        <f>35/27</f>
        <v>1.2962962962962963</v>
      </c>
    </row>
    <row r="52" spans="3:7" x14ac:dyDescent="0.2">
      <c r="C52" s="90" t="s">
        <v>90</v>
      </c>
      <c r="D52" s="90"/>
      <c r="E52" s="90">
        <v>1</v>
      </c>
      <c r="F52" s="90" t="s">
        <v>3</v>
      </c>
      <c r="G52" s="91">
        <v>0.4</v>
      </c>
    </row>
    <row r="53" spans="3:7" x14ac:dyDescent="0.2">
      <c r="G53" s="92">
        <f>SUM(G47:G52)</f>
        <v>56.496296296296293</v>
      </c>
    </row>
    <row r="54" spans="3:7" x14ac:dyDescent="0.2">
      <c r="C54" s="89" t="s">
        <v>101</v>
      </c>
      <c r="G54" s="83"/>
    </row>
    <row r="55" spans="3:7" x14ac:dyDescent="0.2">
      <c r="C55" s="82" t="s">
        <v>102</v>
      </c>
      <c r="E55" s="82">
        <v>1</v>
      </c>
      <c r="F55" s="82" t="s">
        <v>3</v>
      </c>
      <c r="G55" s="83">
        <v>12</v>
      </c>
    </row>
    <row r="56" spans="3:7" x14ac:dyDescent="0.2">
      <c r="C56" s="82" t="s">
        <v>103</v>
      </c>
      <c r="E56" s="82">
        <v>1</v>
      </c>
      <c r="F56" s="82" t="s">
        <v>3</v>
      </c>
      <c r="G56" s="83">
        <v>12</v>
      </c>
    </row>
    <row r="57" spans="3:7" x14ac:dyDescent="0.2">
      <c r="C57" s="82" t="s">
        <v>104</v>
      </c>
      <c r="E57" s="82">
        <v>1</v>
      </c>
      <c r="F57" s="87" t="s">
        <v>3</v>
      </c>
      <c r="G57" s="83">
        <f>550*2/10/Summary!G18</f>
        <v>22</v>
      </c>
    </row>
    <row r="58" spans="3:7" x14ac:dyDescent="0.2">
      <c r="C58" s="82" t="s">
        <v>89</v>
      </c>
      <c r="E58" s="82">
        <v>1</v>
      </c>
      <c r="F58" s="87" t="s">
        <v>3</v>
      </c>
      <c r="G58" s="83">
        <v>0.3</v>
      </c>
    </row>
    <row r="59" spans="3:7" x14ac:dyDescent="0.2">
      <c r="C59" s="82" t="s">
        <v>16</v>
      </c>
      <c r="E59" s="82">
        <v>1</v>
      </c>
      <c r="F59" s="87" t="s">
        <v>3</v>
      </c>
      <c r="G59" s="83">
        <f>35/27</f>
        <v>1.2962962962962963</v>
      </c>
    </row>
    <row r="60" spans="3:7" x14ac:dyDescent="0.2">
      <c r="C60" s="90" t="s">
        <v>90</v>
      </c>
      <c r="D60" s="90"/>
      <c r="E60" s="90">
        <v>1</v>
      </c>
      <c r="F60" s="93" t="s">
        <v>3</v>
      </c>
      <c r="G60" s="91">
        <v>0.4</v>
      </c>
    </row>
    <row r="61" spans="3:7" x14ac:dyDescent="0.2">
      <c r="F61" s="87"/>
      <c r="G61" s="92">
        <f>SUM(G55:G60)</f>
        <v>47.996296296296293</v>
      </c>
    </row>
    <row r="62" spans="3:7" x14ac:dyDescent="0.2">
      <c r="C62" s="89" t="s">
        <v>293</v>
      </c>
      <c r="F62" s="87"/>
      <c r="G62" s="83"/>
    </row>
    <row r="63" spans="3:7" x14ac:dyDescent="0.2">
      <c r="C63" s="82" t="s">
        <v>294</v>
      </c>
      <c r="E63" s="82">
        <v>1</v>
      </c>
      <c r="F63" s="87" t="s">
        <v>3</v>
      </c>
      <c r="G63" s="83">
        <v>7.5</v>
      </c>
    </row>
    <row r="64" spans="3:7" x14ac:dyDescent="0.2">
      <c r="C64" s="82" t="s">
        <v>295</v>
      </c>
      <c r="E64" s="82">
        <v>1</v>
      </c>
      <c r="F64" s="87" t="s">
        <v>3</v>
      </c>
      <c r="G64" s="83">
        <v>10.5</v>
      </c>
    </row>
    <row r="65" spans="1:7" x14ac:dyDescent="0.2">
      <c r="C65" s="82" t="s">
        <v>104</v>
      </c>
      <c r="E65" s="82">
        <v>1</v>
      </c>
      <c r="F65" s="87" t="s">
        <v>3</v>
      </c>
      <c r="G65" s="83">
        <f>550*2/10/Summary!G19</f>
        <v>22</v>
      </c>
    </row>
    <row r="66" spans="1:7" x14ac:dyDescent="0.2">
      <c r="C66" s="82" t="s">
        <v>89</v>
      </c>
      <c r="E66" s="82">
        <v>1</v>
      </c>
      <c r="F66" s="87" t="s">
        <v>3</v>
      </c>
      <c r="G66" s="83">
        <v>0.3</v>
      </c>
    </row>
    <row r="67" spans="1:7" x14ac:dyDescent="0.2">
      <c r="C67" s="82" t="s">
        <v>16</v>
      </c>
      <c r="E67" s="82">
        <v>1</v>
      </c>
      <c r="F67" s="87" t="s">
        <v>3</v>
      </c>
      <c r="G67" s="83">
        <f>35/27</f>
        <v>1.2962962962962963</v>
      </c>
    </row>
    <row r="68" spans="1:7" x14ac:dyDescent="0.2">
      <c r="C68" s="90" t="s">
        <v>90</v>
      </c>
      <c r="D68" s="90"/>
      <c r="E68" s="90">
        <v>1</v>
      </c>
      <c r="F68" s="93" t="s">
        <v>3</v>
      </c>
      <c r="G68" s="91">
        <v>0.4</v>
      </c>
    </row>
    <row r="69" spans="1:7" x14ac:dyDescent="0.2">
      <c r="F69" s="87"/>
      <c r="G69" s="92">
        <f>SUM(G63:G68)</f>
        <v>41.996296296296293</v>
      </c>
    </row>
    <row r="70" spans="1:7" x14ac:dyDescent="0.2">
      <c r="F70" s="87"/>
      <c r="G70" s="92"/>
    </row>
    <row r="71" spans="1:7" x14ac:dyDescent="0.2">
      <c r="A71" s="84"/>
      <c r="B71" s="84"/>
      <c r="C71" s="85" t="s">
        <v>112</v>
      </c>
      <c r="D71" s="84"/>
      <c r="E71" s="84"/>
      <c r="F71" s="84"/>
      <c r="G71" s="86"/>
    </row>
    <row r="72" spans="1:7" x14ac:dyDescent="0.2">
      <c r="A72" s="87"/>
      <c r="B72" s="87"/>
      <c r="C72" s="88"/>
      <c r="D72" s="87"/>
      <c r="E72" s="87"/>
      <c r="F72" s="87"/>
      <c r="G72" s="83"/>
    </row>
    <row r="73" spans="1:7" x14ac:dyDescent="0.2">
      <c r="C73" s="89" t="s">
        <v>300</v>
      </c>
      <c r="G73" s="83"/>
    </row>
    <row r="74" spans="1:7" x14ac:dyDescent="0.2">
      <c r="C74" s="82" t="s">
        <v>292</v>
      </c>
      <c r="E74" s="82">
        <v>1</v>
      </c>
      <c r="F74" s="82" t="s">
        <v>3</v>
      </c>
      <c r="G74" s="83">
        <v>65</v>
      </c>
    </row>
    <row r="75" spans="1:7" x14ac:dyDescent="0.2">
      <c r="C75" s="82" t="s">
        <v>301</v>
      </c>
      <c r="E75" s="82">
        <v>1</v>
      </c>
      <c r="F75" s="82" t="s">
        <v>3</v>
      </c>
      <c r="G75" s="83">
        <f>225*2/Summary!G24</f>
        <v>37.5</v>
      </c>
    </row>
    <row r="76" spans="1:7" x14ac:dyDescent="0.2">
      <c r="C76" s="82" t="s">
        <v>104</v>
      </c>
      <c r="E76" s="82">
        <v>1</v>
      </c>
      <c r="F76" s="82" t="s">
        <v>3</v>
      </c>
      <c r="G76" s="83">
        <f>550*2/10/5*5</f>
        <v>110</v>
      </c>
    </row>
    <row r="77" spans="1:7" x14ac:dyDescent="0.2">
      <c r="C77" s="82" t="s">
        <v>89</v>
      </c>
      <c r="E77" s="82">
        <v>1</v>
      </c>
      <c r="F77" s="82" t="s">
        <v>3</v>
      </c>
      <c r="G77" s="83">
        <v>0.3</v>
      </c>
    </row>
    <row r="78" spans="1:7" x14ac:dyDescent="0.2">
      <c r="C78" s="82" t="s">
        <v>16</v>
      </c>
      <c r="E78" s="82">
        <v>1</v>
      </c>
      <c r="F78" s="82" t="s">
        <v>3</v>
      </c>
      <c r="G78" s="83">
        <f>35/27</f>
        <v>1.2962962962962963</v>
      </c>
    </row>
    <row r="79" spans="1:7" x14ac:dyDescent="0.2">
      <c r="C79" s="90" t="s">
        <v>90</v>
      </c>
      <c r="D79" s="90"/>
      <c r="E79" s="90">
        <v>1</v>
      </c>
      <c r="F79" s="90" t="s">
        <v>3</v>
      </c>
      <c r="G79" s="91">
        <v>0.4</v>
      </c>
    </row>
    <row r="80" spans="1:7" x14ac:dyDescent="0.2">
      <c r="G80" s="92">
        <f>SUM(G74:G79)</f>
        <v>214.49629629629632</v>
      </c>
    </row>
    <row r="81" spans="3:7" x14ac:dyDescent="0.2">
      <c r="C81" s="89" t="s">
        <v>296</v>
      </c>
      <c r="G81" s="83"/>
    </row>
    <row r="82" spans="3:7" x14ac:dyDescent="0.2">
      <c r="C82" s="82" t="s">
        <v>105</v>
      </c>
      <c r="E82" s="82">
        <v>1</v>
      </c>
      <c r="F82" s="82" t="s">
        <v>3</v>
      </c>
      <c r="G82" s="83">
        <v>30</v>
      </c>
    </row>
    <row r="83" spans="3:7" x14ac:dyDescent="0.2">
      <c r="C83" s="82" t="s">
        <v>106</v>
      </c>
      <c r="E83" s="82">
        <v>1</v>
      </c>
      <c r="F83" s="82" t="s">
        <v>3</v>
      </c>
      <c r="G83" s="83">
        <v>27.5</v>
      </c>
    </row>
    <row r="84" spans="3:7" x14ac:dyDescent="0.2">
      <c r="C84" s="82" t="s">
        <v>109</v>
      </c>
      <c r="E84" s="82">
        <v>1</v>
      </c>
      <c r="F84" s="82" t="s">
        <v>3</v>
      </c>
      <c r="G84" s="83">
        <f>200*2/Summary!G25</f>
        <v>33.333333333333336</v>
      </c>
    </row>
    <row r="85" spans="3:7" x14ac:dyDescent="0.2">
      <c r="C85" s="82" t="s">
        <v>104</v>
      </c>
      <c r="E85" s="82">
        <v>1</v>
      </c>
      <c r="F85" s="82" t="s">
        <v>3</v>
      </c>
      <c r="G85" s="83">
        <f>550*2/10/5*5</f>
        <v>110</v>
      </c>
    </row>
    <row r="86" spans="3:7" x14ac:dyDescent="0.2">
      <c r="C86" s="82" t="s">
        <v>89</v>
      </c>
      <c r="E86" s="82">
        <v>1</v>
      </c>
      <c r="F86" s="82" t="s">
        <v>3</v>
      </c>
      <c r="G86" s="83">
        <v>0.3</v>
      </c>
    </row>
    <row r="87" spans="3:7" x14ac:dyDescent="0.2">
      <c r="C87" s="82" t="s">
        <v>16</v>
      </c>
      <c r="E87" s="82">
        <v>1</v>
      </c>
      <c r="F87" s="82" t="s">
        <v>3</v>
      </c>
      <c r="G87" s="83">
        <f>35/27</f>
        <v>1.2962962962962963</v>
      </c>
    </row>
    <row r="88" spans="3:7" x14ac:dyDescent="0.2">
      <c r="C88" s="90" t="s">
        <v>90</v>
      </c>
      <c r="D88" s="90"/>
      <c r="E88" s="90">
        <v>1</v>
      </c>
      <c r="F88" s="90" t="s">
        <v>3</v>
      </c>
      <c r="G88" s="91">
        <v>0.4</v>
      </c>
    </row>
    <row r="89" spans="3:7" x14ac:dyDescent="0.2">
      <c r="G89" s="92">
        <f>SUM(G82:G88)</f>
        <v>202.82962962962966</v>
      </c>
    </row>
    <row r="90" spans="3:7" x14ac:dyDescent="0.2">
      <c r="C90" s="89" t="s">
        <v>108</v>
      </c>
      <c r="G90" s="83"/>
    </row>
    <row r="91" spans="3:7" x14ac:dyDescent="0.2">
      <c r="C91" s="82" t="s">
        <v>102</v>
      </c>
      <c r="E91" s="82">
        <v>1</v>
      </c>
      <c r="F91" s="82" t="s">
        <v>3</v>
      </c>
      <c r="G91" s="83">
        <v>12</v>
      </c>
    </row>
    <row r="92" spans="3:7" x14ac:dyDescent="0.2">
      <c r="C92" s="82" t="s">
        <v>103</v>
      </c>
      <c r="E92" s="82">
        <v>1</v>
      </c>
      <c r="F92" s="82" t="s">
        <v>3</v>
      </c>
      <c r="G92" s="83">
        <v>12</v>
      </c>
    </row>
    <row r="93" spans="3:7" x14ac:dyDescent="0.2">
      <c r="C93" s="82" t="s">
        <v>111</v>
      </c>
      <c r="E93" s="82">
        <v>1</v>
      </c>
      <c r="F93" s="82" t="s">
        <v>3</v>
      </c>
      <c r="G93" s="83">
        <f>150*2/Summary!G26</f>
        <v>25</v>
      </c>
    </row>
    <row r="94" spans="3:7" x14ac:dyDescent="0.2">
      <c r="C94" s="82" t="s">
        <v>104</v>
      </c>
      <c r="E94" s="82">
        <v>1</v>
      </c>
      <c r="F94" s="82" t="s">
        <v>3</v>
      </c>
      <c r="G94" s="83">
        <f>G85</f>
        <v>110</v>
      </c>
    </row>
    <row r="95" spans="3:7" x14ac:dyDescent="0.2">
      <c r="C95" s="82" t="s">
        <v>89</v>
      </c>
      <c r="E95" s="82">
        <v>1</v>
      </c>
      <c r="F95" s="82" t="s">
        <v>3</v>
      </c>
      <c r="G95" s="83">
        <v>0.3</v>
      </c>
    </row>
    <row r="96" spans="3:7" x14ac:dyDescent="0.2">
      <c r="C96" s="82" t="s">
        <v>16</v>
      </c>
      <c r="E96" s="82">
        <v>1</v>
      </c>
      <c r="F96" s="82" t="s">
        <v>3</v>
      </c>
      <c r="G96" s="83">
        <f>35/27</f>
        <v>1.2962962962962963</v>
      </c>
    </row>
    <row r="97" spans="1:7" x14ac:dyDescent="0.2">
      <c r="C97" s="90" t="s">
        <v>90</v>
      </c>
      <c r="D97" s="90"/>
      <c r="E97" s="90">
        <v>1</v>
      </c>
      <c r="F97" s="90" t="s">
        <v>3</v>
      </c>
      <c r="G97" s="91">
        <v>0.4</v>
      </c>
    </row>
    <row r="98" spans="1:7" x14ac:dyDescent="0.2">
      <c r="G98" s="92">
        <f>SUM(G91:G97)</f>
        <v>160.99629629629632</v>
      </c>
    </row>
    <row r="99" spans="1:7" x14ac:dyDescent="0.2">
      <c r="C99" s="89" t="s">
        <v>297</v>
      </c>
      <c r="G99" s="83"/>
    </row>
    <row r="100" spans="1:7" x14ac:dyDescent="0.2">
      <c r="C100" s="82" t="s">
        <v>298</v>
      </c>
      <c r="E100" s="82">
        <v>1</v>
      </c>
      <c r="F100" s="82" t="s">
        <v>3</v>
      </c>
      <c r="G100" s="83">
        <v>7.5</v>
      </c>
    </row>
    <row r="101" spans="1:7" x14ac:dyDescent="0.2">
      <c r="C101" s="82" t="s">
        <v>299</v>
      </c>
      <c r="E101" s="82">
        <v>1</v>
      </c>
      <c r="F101" s="82" t="s">
        <v>3</v>
      </c>
      <c r="G101" s="83">
        <v>10.5</v>
      </c>
    </row>
    <row r="102" spans="1:7" x14ac:dyDescent="0.2">
      <c r="C102" s="82" t="s">
        <v>110</v>
      </c>
      <c r="E102" s="82">
        <v>1</v>
      </c>
      <c r="F102" s="82" t="s">
        <v>3</v>
      </c>
      <c r="G102" s="83">
        <f>115*2/Summary!G27</f>
        <v>19.166666666666668</v>
      </c>
    </row>
    <row r="103" spans="1:7" x14ac:dyDescent="0.2">
      <c r="C103" s="82" t="s">
        <v>104</v>
      </c>
      <c r="E103" s="82">
        <v>1</v>
      </c>
      <c r="F103" s="82" t="s">
        <v>3</v>
      </c>
      <c r="G103" s="83">
        <f>G94</f>
        <v>110</v>
      </c>
    </row>
    <row r="104" spans="1:7" x14ac:dyDescent="0.2">
      <c r="C104" s="82" t="s">
        <v>89</v>
      </c>
      <c r="E104" s="82">
        <v>1</v>
      </c>
      <c r="F104" s="82" t="s">
        <v>3</v>
      </c>
      <c r="G104" s="83">
        <v>0.3</v>
      </c>
    </row>
    <row r="105" spans="1:7" x14ac:dyDescent="0.2">
      <c r="C105" s="82" t="s">
        <v>16</v>
      </c>
      <c r="E105" s="82">
        <v>1</v>
      </c>
      <c r="F105" s="82" t="s">
        <v>3</v>
      </c>
      <c r="G105" s="83">
        <f>35/27</f>
        <v>1.2962962962962963</v>
      </c>
    </row>
    <row r="106" spans="1:7" x14ac:dyDescent="0.2">
      <c r="C106" s="90" t="s">
        <v>90</v>
      </c>
      <c r="D106" s="90"/>
      <c r="E106" s="90">
        <v>1</v>
      </c>
      <c r="F106" s="90" t="s">
        <v>3</v>
      </c>
      <c r="G106" s="91">
        <v>0.4</v>
      </c>
    </row>
    <row r="107" spans="1:7" x14ac:dyDescent="0.2">
      <c r="G107" s="92">
        <f>SUM(G100:G106)</f>
        <v>149.16296296296301</v>
      </c>
    </row>
    <row r="108" spans="1:7" x14ac:dyDescent="0.2">
      <c r="G108" s="92"/>
    </row>
    <row r="109" spans="1:7" x14ac:dyDescent="0.2">
      <c r="A109" s="84"/>
      <c r="B109" s="84"/>
      <c r="C109" s="85" t="s">
        <v>78</v>
      </c>
      <c r="D109" s="84"/>
      <c r="E109" s="84"/>
      <c r="F109" s="84"/>
      <c r="G109" s="86"/>
    </row>
    <row r="110" spans="1:7" x14ac:dyDescent="0.2">
      <c r="A110" s="87"/>
      <c r="B110" s="87"/>
      <c r="C110" s="88"/>
      <c r="D110" s="87"/>
      <c r="E110" s="87"/>
      <c r="F110" s="87"/>
      <c r="G110" s="83"/>
    </row>
    <row r="111" spans="1:7" x14ac:dyDescent="0.2">
      <c r="C111" s="89" t="s">
        <v>170</v>
      </c>
      <c r="G111" s="83"/>
    </row>
    <row r="112" spans="1:7" x14ac:dyDescent="0.2">
      <c r="C112" s="82" t="s">
        <v>78</v>
      </c>
      <c r="E112" s="82">
        <v>1</v>
      </c>
      <c r="F112" s="82" t="s">
        <v>8</v>
      </c>
      <c r="G112" s="83">
        <v>50</v>
      </c>
    </row>
    <row r="113" spans="3:7" x14ac:dyDescent="0.2">
      <c r="C113" s="82" t="s">
        <v>87</v>
      </c>
      <c r="E113" s="82">
        <v>1</v>
      </c>
      <c r="F113" s="82" t="s">
        <v>8</v>
      </c>
      <c r="G113" s="83">
        <f>E113*1.5/27*50/E113</f>
        <v>2.7777777777777777</v>
      </c>
    </row>
    <row r="114" spans="3:7" x14ac:dyDescent="0.2">
      <c r="C114" s="82" t="s">
        <v>16</v>
      </c>
      <c r="E114" s="82">
        <v>1</v>
      </c>
      <c r="F114" s="82" t="s">
        <v>8</v>
      </c>
      <c r="G114" s="83">
        <f>E114*1.5*1.5/27*35/E114</f>
        <v>2.9166666666666665</v>
      </c>
    </row>
    <row r="115" spans="3:7" x14ac:dyDescent="0.2">
      <c r="C115" s="82" t="s">
        <v>89</v>
      </c>
      <c r="E115" s="82">
        <v>1</v>
      </c>
      <c r="F115" s="82" t="s">
        <v>8</v>
      </c>
      <c r="G115" s="83">
        <f>0.3*1.5</f>
        <v>0.44999999999999996</v>
      </c>
    </row>
    <row r="116" spans="3:7" x14ac:dyDescent="0.2">
      <c r="C116" s="90" t="s">
        <v>90</v>
      </c>
      <c r="D116" s="90"/>
      <c r="E116" s="90">
        <v>1</v>
      </c>
      <c r="F116" s="90" t="s">
        <v>8</v>
      </c>
      <c r="G116" s="91">
        <f>0.4*2</f>
        <v>0.8</v>
      </c>
    </row>
    <row r="117" spans="3:7" x14ac:dyDescent="0.2">
      <c r="G117" s="92">
        <f>SUM(G112:G116)</f>
        <v>56.944444444444443</v>
      </c>
    </row>
    <row r="118" spans="3:7" x14ac:dyDescent="0.2">
      <c r="C118" s="89" t="s">
        <v>271</v>
      </c>
      <c r="G118" s="83"/>
    </row>
    <row r="119" spans="3:7" x14ac:dyDescent="0.2">
      <c r="C119" s="82" t="s">
        <v>78</v>
      </c>
      <c r="E119" s="82">
        <v>1</v>
      </c>
      <c r="F119" s="82" t="s">
        <v>3</v>
      </c>
      <c r="G119" s="83">
        <v>60</v>
      </c>
    </row>
    <row r="120" spans="3:7" x14ac:dyDescent="0.2">
      <c r="C120" s="82" t="s">
        <v>87</v>
      </c>
      <c r="E120" s="82">
        <v>1</v>
      </c>
      <c r="F120" s="82" t="s">
        <v>3</v>
      </c>
      <c r="G120" s="83">
        <f>E120*2/27*50/E120</f>
        <v>3.7037037037037033</v>
      </c>
    </row>
    <row r="121" spans="3:7" x14ac:dyDescent="0.2">
      <c r="C121" s="82" t="s">
        <v>16</v>
      </c>
      <c r="E121" s="82">
        <v>1</v>
      </c>
      <c r="F121" s="82" t="s">
        <v>3</v>
      </c>
      <c r="G121" s="83">
        <f>E121*2*2/27*35/E121</f>
        <v>5.1851851851851851</v>
      </c>
    </row>
    <row r="122" spans="3:7" x14ac:dyDescent="0.2">
      <c r="C122" s="82" t="s">
        <v>89</v>
      </c>
      <c r="E122" s="82">
        <v>1</v>
      </c>
      <c r="F122" s="82" t="s">
        <v>3</v>
      </c>
      <c r="G122" s="83">
        <f>0.3*2</f>
        <v>0.6</v>
      </c>
    </row>
    <row r="123" spans="3:7" x14ac:dyDescent="0.2">
      <c r="C123" s="90" t="s">
        <v>90</v>
      </c>
      <c r="D123" s="90"/>
      <c r="E123" s="90">
        <v>1</v>
      </c>
      <c r="F123" s="90" t="s">
        <v>3</v>
      </c>
      <c r="G123" s="91">
        <f>0.4*2.5</f>
        <v>1</v>
      </c>
    </row>
    <row r="124" spans="3:7" x14ac:dyDescent="0.2">
      <c r="G124" s="92">
        <f>SUM(G119:G123)</f>
        <v>70.48888888888888</v>
      </c>
    </row>
    <row r="125" spans="3:7" x14ac:dyDescent="0.2">
      <c r="C125" s="89" t="s">
        <v>194</v>
      </c>
      <c r="G125" s="83"/>
    </row>
    <row r="126" spans="3:7" x14ac:dyDescent="0.2">
      <c r="C126" s="82" t="s">
        <v>78</v>
      </c>
      <c r="E126" s="82">
        <v>1</v>
      </c>
      <c r="F126" s="82" t="s">
        <v>3</v>
      </c>
      <c r="G126" s="83">
        <f>G119*1.5</f>
        <v>90</v>
      </c>
    </row>
    <row r="127" spans="3:7" x14ac:dyDescent="0.2">
      <c r="C127" s="82" t="s">
        <v>87</v>
      </c>
      <c r="E127" s="82">
        <v>1</v>
      </c>
      <c r="F127" s="82" t="s">
        <v>3</v>
      </c>
      <c r="G127" s="83">
        <f>E127*3/27*50/E127</f>
        <v>5.5555555555555554</v>
      </c>
    </row>
    <row r="128" spans="3:7" x14ac:dyDescent="0.2">
      <c r="C128" s="82" t="s">
        <v>16</v>
      </c>
      <c r="E128" s="82">
        <v>1</v>
      </c>
      <c r="F128" s="82" t="s">
        <v>3</v>
      </c>
      <c r="G128" s="83">
        <f>E128*3*3/27*35/E128</f>
        <v>11.666666666666666</v>
      </c>
    </row>
    <row r="129" spans="1:7" x14ac:dyDescent="0.2">
      <c r="C129" s="82" t="s">
        <v>89</v>
      </c>
      <c r="E129" s="82">
        <v>1</v>
      </c>
      <c r="F129" s="82" t="s">
        <v>3</v>
      </c>
      <c r="G129" s="83">
        <f>0.3*3</f>
        <v>0.89999999999999991</v>
      </c>
    </row>
    <row r="130" spans="1:7" x14ac:dyDescent="0.2">
      <c r="C130" s="90" t="s">
        <v>90</v>
      </c>
      <c r="D130" s="90"/>
      <c r="E130" s="90">
        <v>1</v>
      </c>
      <c r="F130" s="90" t="s">
        <v>3</v>
      </c>
      <c r="G130" s="91">
        <f>0.4*3.5</f>
        <v>1.4000000000000001</v>
      </c>
    </row>
    <row r="131" spans="1:7" x14ac:dyDescent="0.2">
      <c r="C131" s="94"/>
      <c r="D131" s="94"/>
      <c r="E131" s="94"/>
      <c r="F131" s="94"/>
      <c r="G131" s="95">
        <f>SUM(G126:G130)</f>
        <v>109.52222222222224</v>
      </c>
    </row>
    <row r="132" spans="1:7" x14ac:dyDescent="0.2">
      <c r="C132" s="94"/>
      <c r="D132" s="94"/>
      <c r="E132" s="94"/>
      <c r="F132" s="94"/>
      <c r="G132" s="95"/>
    </row>
    <row r="133" spans="1:7" x14ac:dyDescent="0.2">
      <c r="C133" s="89" t="s">
        <v>195</v>
      </c>
      <c r="G133" s="83"/>
    </row>
    <row r="134" spans="1:7" x14ac:dyDescent="0.2">
      <c r="C134" s="82" t="s">
        <v>78</v>
      </c>
      <c r="E134" s="82">
        <v>1</v>
      </c>
      <c r="F134" s="82" t="s">
        <v>3</v>
      </c>
      <c r="G134" s="83">
        <v>120</v>
      </c>
    </row>
    <row r="135" spans="1:7" x14ac:dyDescent="0.2">
      <c r="C135" s="82" t="s">
        <v>87</v>
      </c>
      <c r="E135" s="82">
        <v>1</v>
      </c>
      <c r="F135" s="82" t="s">
        <v>3</v>
      </c>
      <c r="G135" s="83">
        <f>E135*4/27*50/E135</f>
        <v>7.4074074074074066</v>
      </c>
    </row>
    <row r="136" spans="1:7" x14ac:dyDescent="0.2">
      <c r="C136" s="82" t="s">
        <v>16</v>
      </c>
      <c r="E136" s="82">
        <v>1</v>
      </c>
      <c r="F136" s="82" t="s">
        <v>3</v>
      </c>
      <c r="G136" s="83">
        <f>E136*4*4/27*35/E136</f>
        <v>20.74074074074074</v>
      </c>
    </row>
    <row r="137" spans="1:7" x14ac:dyDescent="0.2">
      <c r="C137" s="82" t="s">
        <v>89</v>
      </c>
      <c r="E137" s="82">
        <v>1</v>
      </c>
      <c r="F137" s="82" t="s">
        <v>3</v>
      </c>
      <c r="G137" s="83">
        <f>0.3*4</f>
        <v>1.2</v>
      </c>
    </row>
    <row r="138" spans="1:7" x14ac:dyDescent="0.2">
      <c r="C138" s="90" t="s">
        <v>90</v>
      </c>
      <c r="D138" s="90"/>
      <c r="E138" s="90">
        <v>1</v>
      </c>
      <c r="F138" s="90" t="s">
        <v>3</v>
      </c>
      <c r="G138" s="91">
        <f>0.4*4.5</f>
        <v>1.8</v>
      </c>
    </row>
    <row r="139" spans="1:7" x14ac:dyDescent="0.2">
      <c r="C139" s="94"/>
      <c r="D139" s="94"/>
      <c r="E139" s="94"/>
      <c r="F139" s="94"/>
      <c r="G139" s="95">
        <f>SUM(G134:G138)</f>
        <v>151.14814814814815</v>
      </c>
    </row>
    <row r="140" spans="1:7" x14ac:dyDescent="0.2">
      <c r="C140" s="94"/>
      <c r="D140" s="94"/>
      <c r="E140" s="94"/>
      <c r="F140" s="94"/>
      <c r="G140" s="95"/>
    </row>
    <row r="141" spans="1:7" x14ac:dyDescent="0.2">
      <c r="A141" s="84"/>
      <c r="B141" s="84"/>
      <c r="C141" s="85" t="s">
        <v>84</v>
      </c>
      <c r="D141" s="84"/>
      <c r="E141" s="84"/>
      <c r="F141" s="84"/>
      <c r="G141" s="86"/>
    </row>
    <row r="142" spans="1:7" x14ac:dyDescent="0.2">
      <c r="A142" s="87"/>
      <c r="B142" s="87"/>
      <c r="C142" s="88"/>
      <c r="D142" s="87"/>
      <c r="E142" s="87"/>
      <c r="F142" s="87"/>
      <c r="G142" s="83"/>
    </row>
    <row r="143" spans="1:7" x14ac:dyDescent="0.2">
      <c r="C143" s="89" t="s">
        <v>119</v>
      </c>
      <c r="G143" s="83"/>
    </row>
    <row r="144" spans="1:7" x14ac:dyDescent="0.2">
      <c r="C144" s="82" t="s">
        <v>117</v>
      </c>
      <c r="E144" s="82">
        <v>1</v>
      </c>
      <c r="F144" s="82" t="s">
        <v>3</v>
      </c>
      <c r="G144" s="83">
        <v>6.15</v>
      </c>
    </row>
    <row r="145" spans="3:7" x14ac:dyDescent="0.2">
      <c r="C145" s="82" t="s">
        <v>15</v>
      </c>
      <c r="E145" s="82">
        <v>1</v>
      </c>
      <c r="F145" s="82" t="s">
        <v>3</v>
      </c>
      <c r="G145" s="83">
        <v>7.0000000000000007E-2</v>
      </c>
    </row>
    <row r="146" spans="3:7" x14ac:dyDescent="0.2">
      <c r="C146" s="82" t="s">
        <v>87</v>
      </c>
      <c r="E146" s="82">
        <v>1</v>
      </c>
      <c r="F146" s="82" t="s">
        <v>3</v>
      </c>
      <c r="G146" s="83">
        <f>65/27*0.5</f>
        <v>1.2037037037037037</v>
      </c>
    </row>
    <row r="147" spans="3:7" x14ac:dyDescent="0.2">
      <c r="C147" s="82" t="s">
        <v>88</v>
      </c>
      <c r="E147" s="82">
        <v>1</v>
      </c>
      <c r="F147" s="82" t="s">
        <v>3</v>
      </c>
      <c r="G147" s="83">
        <v>0.15</v>
      </c>
    </row>
    <row r="148" spans="3:7" x14ac:dyDescent="0.2">
      <c r="C148" s="82" t="s">
        <v>89</v>
      </c>
      <c r="E148" s="82">
        <v>1</v>
      </c>
      <c r="F148" s="82" t="s">
        <v>3</v>
      </c>
      <c r="G148" s="83">
        <v>0.3</v>
      </c>
    </row>
    <row r="149" spans="3:7" x14ac:dyDescent="0.2">
      <c r="C149" s="90" t="s">
        <v>116</v>
      </c>
      <c r="D149" s="90"/>
      <c r="E149" s="90">
        <v>1</v>
      </c>
      <c r="F149" s="90" t="s">
        <v>3</v>
      </c>
      <c r="G149" s="91">
        <v>2.25</v>
      </c>
    </row>
    <row r="150" spans="3:7" x14ac:dyDescent="0.2">
      <c r="G150" s="92">
        <f>SUM(G144:G149)</f>
        <v>10.123703703703704</v>
      </c>
    </row>
    <row r="151" spans="3:7" x14ac:dyDescent="0.2">
      <c r="C151" s="89" t="s">
        <v>120</v>
      </c>
      <c r="G151" s="83"/>
    </row>
    <row r="152" spans="3:7" x14ac:dyDescent="0.2">
      <c r="C152" s="82" t="s">
        <v>115</v>
      </c>
      <c r="E152" s="82">
        <v>1</v>
      </c>
      <c r="F152" s="82" t="s">
        <v>3</v>
      </c>
      <c r="G152" s="83">
        <v>14.5</v>
      </c>
    </row>
    <row r="153" spans="3:7" x14ac:dyDescent="0.2">
      <c r="C153" s="82" t="s">
        <v>15</v>
      </c>
      <c r="E153" s="82">
        <v>1</v>
      </c>
      <c r="F153" s="82" t="s">
        <v>3</v>
      </c>
      <c r="G153" s="83">
        <v>7.0000000000000007E-2</v>
      </c>
    </row>
    <row r="154" spans="3:7" x14ac:dyDescent="0.2">
      <c r="C154" s="82" t="s">
        <v>87</v>
      </c>
      <c r="E154" s="82">
        <v>1</v>
      </c>
      <c r="F154" s="82" t="s">
        <v>3</v>
      </c>
      <c r="G154" s="83">
        <f>65/27*0.5</f>
        <v>1.2037037037037037</v>
      </c>
    </row>
    <row r="155" spans="3:7" x14ac:dyDescent="0.2">
      <c r="C155" s="82" t="s">
        <v>88</v>
      </c>
      <c r="E155" s="82">
        <v>1</v>
      </c>
      <c r="F155" s="82" t="s">
        <v>3</v>
      </c>
      <c r="G155" s="83">
        <v>0.15</v>
      </c>
    </row>
    <row r="156" spans="3:7" x14ac:dyDescent="0.2">
      <c r="C156" s="82" t="s">
        <v>89</v>
      </c>
      <c r="E156" s="82">
        <v>1</v>
      </c>
      <c r="F156" s="82" t="s">
        <v>3</v>
      </c>
      <c r="G156" s="83">
        <v>0.3</v>
      </c>
    </row>
    <row r="157" spans="3:7" x14ac:dyDescent="0.2">
      <c r="C157" s="90" t="s">
        <v>116</v>
      </c>
      <c r="D157" s="90"/>
      <c r="E157" s="90">
        <v>1</v>
      </c>
      <c r="F157" s="90" t="s">
        <v>3</v>
      </c>
      <c r="G157" s="91">
        <v>2.25</v>
      </c>
    </row>
    <row r="158" spans="3:7" x14ac:dyDescent="0.2">
      <c r="G158" s="92">
        <f>SUM(G152:G157)</f>
        <v>18.473703703703706</v>
      </c>
    </row>
    <row r="159" spans="3:7" x14ac:dyDescent="0.2">
      <c r="C159" s="89" t="s">
        <v>118</v>
      </c>
      <c r="G159" s="83"/>
    </row>
    <row r="160" spans="3:7" x14ac:dyDescent="0.2">
      <c r="C160" s="82" t="s">
        <v>97</v>
      </c>
      <c r="E160" s="82">
        <v>1</v>
      </c>
      <c r="F160" s="82" t="s">
        <v>3</v>
      </c>
      <c r="G160" s="83">
        <f>85*0.33/27</f>
        <v>1.038888888888889</v>
      </c>
    </row>
    <row r="161" spans="1:7" x14ac:dyDescent="0.2">
      <c r="C161" s="82" t="s">
        <v>87</v>
      </c>
      <c r="E161" s="82">
        <v>1</v>
      </c>
      <c r="F161" s="82" t="s">
        <v>3</v>
      </c>
      <c r="G161" s="83">
        <f>50/27*0.5</f>
        <v>0.92592592592592593</v>
      </c>
    </row>
    <row r="162" spans="1:7" x14ac:dyDescent="0.2">
      <c r="C162" s="82" t="s">
        <v>88</v>
      </c>
      <c r="E162" s="82">
        <v>1</v>
      </c>
      <c r="F162" s="82" t="s">
        <v>3</v>
      </c>
      <c r="G162" s="83">
        <v>0.15</v>
      </c>
    </row>
    <row r="163" spans="1:7" x14ac:dyDescent="0.2">
      <c r="C163" s="82" t="s">
        <v>89</v>
      </c>
      <c r="E163" s="82">
        <v>1</v>
      </c>
      <c r="F163" s="82" t="s">
        <v>3</v>
      </c>
      <c r="G163" s="83">
        <v>0.3</v>
      </c>
    </row>
    <row r="164" spans="1:7" x14ac:dyDescent="0.2">
      <c r="C164" s="90" t="s">
        <v>116</v>
      </c>
      <c r="D164" s="90"/>
      <c r="E164" s="90">
        <v>1</v>
      </c>
      <c r="F164" s="90" t="s">
        <v>3</v>
      </c>
      <c r="G164" s="91">
        <v>1.75</v>
      </c>
    </row>
    <row r="165" spans="1:7" x14ac:dyDescent="0.2">
      <c r="G165" s="92">
        <f>SUM(G160:G164)</f>
        <v>4.1648148148148145</v>
      </c>
    </row>
    <row r="166" spans="1:7" x14ac:dyDescent="0.2">
      <c r="G166" s="92"/>
    </row>
    <row r="167" spans="1:7" x14ac:dyDescent="0.2">
      <c r="A167" s="84"/>
      <c r="B167" s="84"/>
      <c r="C167" s="85" t="s">
        <v>273</v>
      </c>
      <c r="D167" s="84"/>
      <c r="E167" s="84"/>
      <c r="F167" s="84"/>
      <c r="G167" s="86"/>
    </row>
    <row r="168" spans="1:7" x14ac:dyDescent="0.2">
      <c r="A168" s="87"/>
      <c r="B168" s="87"/>
      <c r="C168" s="88"/>
      <c r="D168" s="87"/>
      <c r="E168" s="87"/>
      <c r="F168" s="87"/>
      <c r="G168" s="83"/>
    </row>
    <row r="169" spans="1:7" x14ac:dyDescent="0.2">
      <c r="C169" s="89" t="s">
        <v>121</v>
      </c>
      <c r="G169" s="83"/>
    </row>
    <row r="170" spans="1:7" x14ac:dyDescent="0.2">
      <c r="C170" s="82" t="s">
        <v>117</v>
      </c>
      <c r="E170" s="82">
        <v>1</v>
      </c>
      <c r="F170" s="82" t="s">
        <v>3</v>
      </c>
      <c r="G170" s="83">
        <f>6.15*E170</f>
        <v>6.15</v>
      </c>
    </row>
    <row r="171" spans="1:7" x14ac:dyDescent="0.2">
      <c r="C171" s="82" t="s">
        <v>87</v>
      </c>
      <c r="E171" s="82">
        <v>1</v>
      </c>
      <c r="F171" s="82" t="s">
        <v>3</v>
      </c>
      <c r="G171" s="83">
        <f>(65/27*0.5)*E171</f>
        <v>1.2037037037037037</v>
      </c>
    </row>
    <row r="172" spans="1:7" x14ac:dyDescent="0.2">
      <c r="C172" s="82" t="s">
        <v>123</v>
      </c>
      <c r="E172" s="82">
        <v>1</v>
      </c>
      <c r="F172" s="82" t="s">
        <v>10</v>
      </c>
      <c r="G172" s="83">
        <v>15000</v>
      </c>
    </row>
    <row r="173" spans="1:7" x14ac:dyDescent="0.2">
      <c r="C173" s="82" t="s">
        <v>124</v>
      </c>
      <c r="E173" s="82">
        <v>1</v>
      </c>
      <c r="F173" s="82" t="s">
        <v>10</v>
      </c>
      <c r="G173" s="83">
        <v>3000</v>
      </c>
    </row>
    <row r="174" spans="1:7" x14ac:dyDescent="0.2">
      <c r="C174" s="82" t="s">
        <v>125</v>
      </c>
      <c r="E174" s="82">
        <v>1</v>
      </c>
      <c r="F174" s="82" t="s">
        <v>10</v>
      </c>
      <c r="G174" s="83">
        <v>5000</v>
      </c>
    </row>
    <row r="175" spans="1:7" x14ac:dyDescent="0.2">
      <c r="C175" s="82" t="s">
        <v>88</v>
      </c>
      <c r="E175" s="82">
        <v>1</v>
      </c>
      <c r="F175" s="82" t="s">
        <v>3</v>
      </c>
      <c r="G175" s="83">
        <v>0.15</v>
      </c>
    </row>
    <row r="176" spans="1:7" x14ac:dyDescent="0.2">
      <c r="C176" s="82" t="s">
        <v>89</v>
      </c>
      <c r="E176" s="82">
        <v>1</v>
      </c>
      <c r="F176" s="82" t="s">
        <v>3</v>
      </c>
      <c r="G176" s="83">
        <v>0.3</v>
      </c>
    </row>
    <row r="177" spans="3:7" x14ac:dyDescent="0.2">
      <c r="C177" s="90" t="s">
        <v>116</v>
      </c>
      <c r="D177" s="90"/>
      <c r="E177" s="90">
        <v>1</v>
      </c>
      <c r="F177" s="90" t="s">
        <v>3</v>
      </c>
      <c r="G177" s="91">
        <v>2.25</v>
      </c>
    </row>
    <row r="178" spans="3:7" x14ac:dyDescent="0.2">
      <c r="G178" s="96">
        <f>((SUM(G170:G171)+SUM(G175:G177))*Summary!F50*5280)+SUM(G172:G174)</f>
        <v>76083.555555555562</v>
      </c>
    </row>
    <row r="179" spans="3:7" x14ac:dyDescent="0.2">
      <c r="C179" s="89" t="s">
        <v>251</v>
      </c>
      <c r="G179" s="83"/>
    </row>
    <row r="180" spans="3:7" x14ac:dyDescent="0.2">
      <c r="C180" s="82" t="s">
        <v>115</v>
      </c>
      <c r="E180" s="82">
        <v>1</v>
      </c>
      <c r="F180" s="82" t="s">
        <v>3</v>
      </c>
      <c r="G180" s="83">
        <f>10.5*E180</f>
        <v>10.5</v>
      </c>
    </row>
    <row r="181" spans="3:7" x14ac:dyDescent="0.2">
      <c r="C181" s="82" t="s">
        <v>87</v>
      </c>
      <c r="E181" s="82">
        <v>1</v>
      </c>
      <c r="F181" s="82" t="s">
        <v>3</v>
      </c>
      <c r="G181" s="83">
        <f>(65/27*0.5)*E181</f>
        <v>1.2037037037037037</v>
      </c>
    </row>
    <row r="182" spans="3:7" x14ac:dyDescent="0.2">
      <c r="C182" s="82" t="s">
        <v>123</v>
      </c>
      <c r="E182" s="82">
        <v>1</v>
      </c>
      <c r="F182" s="82" t="s">
        <v>10</v>
      </c>
      <c r="G182" s="83">
        <v>15000</v>
      </c>
    </row>
    <row r="183" spans="3:7" x14ac:dyDescent="0.2">
      <c r="C183" s="82" t="s">
        <v>124</v>
      </c>
      <c r="E183" s="82">
        <v>1</v>
      </c>
      <c r="F183" s="82" t="s">
        <v>10</v>
      </c>
      <c r="G183" s="83">
        <v>3000</v>
      </c>
    </row>
    <row r="184" spans="3:7" x14ac:dyDescent="0.2">
      <c r="C184" s="82" t="s">
        <v>125</v>
      </c>
      <c r="E184" s="82">
        <v>1</v>
      </c>
      <c r="F184" s="82" t="s">
        <v>10</v>
      </c>
      <c r="G184" s="83">
        <v>5000</v>
      </c>
    </row>
    <row r="185" spans="3:7" x14ac:dyDescent="0.2">
      <c r="C185" s="82" t="s">
        <v>88</v>
      </c>
      <c r="E185" s="82">
        <v>1</v>
      </c>
      <c r="F185" s="82" t="s">
        <v>3</v>
      </c>
      <c r="G185" s="83">
        <v>0.15</v>
      </c>
    </row>
    <row r="186" spans="3:7" x14ac:dyDescent="0.2">
      <c r="C186" s="82" t="s">
        <v>89</v>
      </c>
      <c r="E186" s="82">
        <v>1</v>
      </c>
      <c r="F186" s="82" t="s">
        <v>3</v>
      </c>
      <c r="G186" s="83">
        <v>0.3</v>
      </c>
    </row>
    <row r="187" spans="3:7" x14ac:dyDescent="0.2">
      <c r="C187" s="90" t="s">
        <v>116</v>
      </c>
      <c r="D187" s="90"/>
      <c r="E187" s="90">
        <v>1</v>
      </c>
      <c r="F187" s="90" t="s">
        <v>3</v>
      </c>
      <c r="G187" s="91">
        <v>2.25</v>
      </c>
    </row>
    <row r="188" spans="3:7" x14ac:dyDescent="0.2">
      <c r="G188" s="92">
        <f>(SUM(G180:G181)+SUM(G185:G187))*Summary!F51*5280+SUM(G182:G184)</f>
        <v>99051.555555555562</v>
      </c>
    </row>
    <row r="189" spans="3:7" x14ac:dyDescent="0.2">
      <c r="C189" s="89" t="s">
        <v>122</v>
      </c>
      <c r="G189" s="83"/>
    </row>
    <row r="190" spans="3:7" x14ac:dyDescent="0.2">
      <c r="C190" s="82" t="s">
        <v>97</v>
      </c>
      <c r="E190" s="82">
        <v>1</v>
      </c>
      <c r="F190" s="82" t="s">
        <v>3</v>
      </c>
      <c r="G190" s="83">
        <f>(85*0.33/27)*E190</f>
        <v>1.038888888888889</v>
      </c>
    </row>
    <row r="191" spans="3:7" x14ac:dyDescent="0.2">
      <c r="C191" s="82" t="s">
        <v>87</v>
      </c>
      <c r="E191" s="82">
        <v>1</v>
      </c>
      <c r="F191" s="82" t="s">
        <v>3</v>
      </c>
      <c r="G191" s="83">
        <f>(50/27*0.5)*E191</f>
        <v>0.92592592592592593</v>
      </c>
    </row>
    <row r="192" spans="3:7" x14ac:dyDescent="0.2">
      <c r="C192" s="82" t="s">
        <v>123</v>
      </c>
      <c r="E192" s="82">
        <v>1</v>
      </c>
      <c r="F192" s="82" t="s">
        <v>10</v>
      </c>
      <c r="G192" s="83">
        <v>15000</v>
      </c>
    </row>
    <row r="193" spans="1:8" x14ac:dyDescent="0.2">
      <c r="C193" s="82" t="s">
        <v>124</v>
      </c>
      <c r="E193" s="82">
        <v>1</v>
      </c>
      <c r="F193" s="82" t="s">
        <v>10</v>
      </c>
      <c r="G193" s="83">
        <v>3000</v>
      </c>
    </row>
    <row r="194" spans="1:8" x14ac:dyDescent="0.2">
      <c r="C194" s="82" t="s">
        <v>125</v>
      </c>
      <c r="E194" s="82">
        <v>1</v>
      </c>
      <c r="F194" s="82" t="s">
        <v>10</v>
      </c>
      <c r="G194" s="83">
        <v>5000</v>
      </c>
    </row>
    <row r="195" spans="1:8" x14ac:dyDescent="0.2">
      <c r="C195" s="82" t="s">
        <v>88</v>
      </c>
      <c r="E195" s="82">
        <v>1</v>
      </c>
      <c r="F195" s="82" t="s">
        <v>3</v>
      </c>
      <c r="G195" s="83">
        <v>0.15</v>
      </c>
    </row>
    <row r="196" spans="1:8" x14ac:dyDescent="0.2">
      <c r="C196" s="82" t="s">
        <v>89</v>
      </c>
      <c r="E196" s="82">
        <v>1</v>
      </c>
      <c r="F196" s="82" t="s">
        <v>3</v>
      </c>
      <c r="G196" s="83">
        <v>0.3</v>
      </c>
    </row>
    <row r="197" spans="1:8" x14ac:dyDescent="0.2">
      <c r="C197" s="90" t="s">
        <v>116</v>
      </c>
      <c r="D197" s="90"/>
      <c r="E197" s="90">
        <v>1</v>
      </c>
      <c r="F197" s="90" t="s">
        <v>3</v>
      </c>
      <c r="G197" s="91">
        <v>1.75</v>
      </c>
    </row>
    <row r="198" spans="1:8" x14ac:dyDescent="0.2">
      <c r="G198" s="92">
        <f>(SUM(G190:G191)+SUM(G195:G197))*Summary!F52*5280+SUM(Detail!G192:G194)</f>
        <v>44990.222222222219</v>
      </c>
    </row>
    <row r="199" spans="1:8" x14ac:dyDescent="0.2">
      <c r="G199" s="92"/>
    </row>
    <row r="200" spans="1:8" x14ac:dyDescent="0.2">
      <c r="A200" s="84"/>
      <c r="B200" s="84"/>
      <c r="C200" s="85" t="s">
        <v>85</v>
      </c>
      <c r="D200" s="84"/>
      <c r="E200" s="84"/>
      <c r="F200" s="84"/>
      <c r="G200" s="86"/>
    </row>
    <row r="201" spans="1:8" x14ac:dyDescent="0.2">
      <c r="A201" s="87"/>
      <c r="B201" s="87"/>
      <c r="C201" s="88"/>
      <c r="D201" s="87"/>
      <c r="E201" s="87"/>
      <c r="F201" s="87"/>
      <c r="G201" s="83"/>
    </row>
    <row r="202" spans="1:8" x14ac:dyDescent="0.2">
      <c r="C202" s="89" t="s">
        <v>190</v>
      </c>
      <c r="E202" s="82">
        <f>6*8</f>
        <v>48</v>
      </c>
      <c r="F202" s="82" t="s">
        <v>3</v>
      </c>
      <c r="G202" s="83"/>
      <c r="H202" s="97"/>
    </row>
    <row r="203" spans="1:8" x14ac:dyDescent="0.2">
      <c r="C203" s="98" t="s">
        <v>28</v>
      </c>
      <c r="E203" s="82">
        <f>6+6+8+8</f>
        <v>28</v>
      </c>
      <c r="F203" s="82" t="s">
        <v>8</v>
      </c>
      <c r="G203" s="83">
        <f>ROUNDUP(E203*2*2/27*550,-1)</f>
        <v>2290</v>
      </c>
    </row>
    <row r="204" spans="1:8" x14ac:dyDescent="0.2">
      <c r="C204" s="98" t="s">
        <v>17</v>
      </c>
      <c r="E204" s="82">
        <f>E202</f>
        <v>48</v>
      </c>
      <c r="F204" s="82" t="s">
        <v>3</v>
      </c>
      <c r="G204" s="83">
        <f>10.5*E204</f>
        <v>504</v>
      </c>
    </row>
    <row r="205" spans="1:8" x14ac:dyDescent="0.2">
      <c r="C205" s="98" t="s">
        <v>193</v>
      </c>
      <c r="E205" s="82">
        <f>E203*10</f>
        <v>280</v>
      </c>
      <c r="F205" s="82" t="s">
        <v>3</v>
      </c>
      <c r="G205" s="83">
        <f>28*E205</f>
        <v>7840</v>
      </c>
    </row>
    <row r="206" spans="1:8" x14ac:dyDescent="0.2">
      <c r="C206" s="98" t="s">
        <v>30</v>
      </c>
      <c r="E206" s="82">
        <f>E202*1.25</f>
        <v>60</v>
      </c>
      <c r="F206" s="82" t="s">
        <v>3</v>
      </c>
      <c r="G206" s="83">
        <f>28.5*E206</f>
        <v>1710</v>
      </c>
    </row>
    <row r="207" spans="1:8" x14ac:dyDescent="0.2">
      <c r="C207" s="98" t="s">
        <v>18</v>
      </c>
      <c r="E207" s="82">
        <f>E202</f>
        <v>48</v>
      </c>
      <c r="F207" s="82" t="s">
        <v>3</v>
      </c>
      <c r="G207" s="83">
        <f>10.5*E207</f>
        <v>504</v>
      </c>
    </row>
    <row r="208" spans="1:8" x14ac:dyDescent="0.2">
      <c r="C208" s="98" t="s">
        <v>19</v>
      </c>
      <c r="E208" s="82">
        <f>E203</f>
        <v>28</v>
      </c>
      <c r="F208" s="82" t="s">
        <v>8</v>
      </c>
      <c r="G208" s="83">
        <f>20*E208</f>
        <v>560</v>
      </c>
    </row>
    <row r="209" spans="3:7" x14ac:dyDescent="0.2">
      <c r="C209" s="98" t="s">
        <v>20</v>
      </c>
      <c r="E209" s="82">
        <v>1</v>
      </c>
      <c r="F209" s="82" t="s">
        <v>10</v>
      </c>
      <c r="G209" s="83">
        <f>1000*E209</f>
        <v>1000</v>
      </c>
    </row>
    <row r="210" spans="3:7" x14ac:dyDescent="0.2">
      <c r="C210" s="98" t="s">
        <v>21</v>
      </c>
      <c r="E210" s="82">
        <v>1</v>
      </c>
      <c r="F210" s="82" t="s">
        <v>7</v>
      </c>
      <c r="G210" s="83">
        <v>1250</v>
      </c>
    </row>
    <row r="211" spans="3:7" x14ac:dyDescent="0.2">
      <c r="C211" s="98" t="s">
        <v>22</v>
      </c>
      <c r="E211" s="82">
        <v>1</v>
      </c>
      <c r="F211" s="82" t="s">
        <v>7</v>
      </c>
      <c r="G211" s="83">
        <f>1200*E211</f>
        <v>1200</v>
      </c>
    </row>
    <row r="212" spans="3:7" x14ac:dyDescent="0.2">
      <c r="C212" s="98" t="s">
        <v>191</v>
      </c>
      <c r="E212" s="82">
        <f>E202</f>
        <v>48</v>
      </c>
      <c r="F212" s="82" t="s">
        <v>3</v>
      </c>
      <c r="G212" s="83">
        <f>10*E212</f>
        <v>480</v>
      </c>
    </row>
    <row r="213" spans="3:7" x14ac:dyDescent="0.2">
      <c r="C213" s="98" t="s">
        <v>23</v>
      </c>
      <c r="E213" s="82">
        <f>E205</f>
        <v>280</v>
      </c>
      <c r="F213" s="82" t="s">
        <v>3</v>
      </c>
      <c r="G213" s="83">
        <f>1.75*E213</f>
        <v>490</v>
      </c>
    </row>
    <row r="214" spans="3:7" x14ac:dyDescent="0.2">
      <c r="C214" s="98" t="s">
        <v>24</v>
      </c>
      <c r="E214" s="82">
        <f>E212</f>
        <v>48</v>
      </c>
      <c r="F214" s="82" t="s">
        <v>3</v>
      </c>
      <c r="G214" s="83">
        <f>1.75*E214</f>
        <v>84</v>
      </c>
    </row>
    <row r="215" spans="3:7" x14ac:dyDescent="0.2">
      <c r="C215" s="98" t="s">
        <v>31</v>
      </c>
      <c r="E215" s="82">
        <v>1</v>
      </c>
      <c r="F215" s="82" t="s">
        <v>7</v>
      </c>
      <c r="G215" s="83">
        <f>950+500</f>
        <v>1450</v>
      </c>
    </row>
    <row r="216" spans="3:7" x14ac:dyDescent="0.2">
      <c r="C216" s="98" t="s">
        <v>25</v>
      </c>
      <c r="E216" s="82">
        <v>1</v>
      </c>
      <c r="F216" s="82" t="s">
        <v>7</v>
      </c>
      <c r="G216" s="83">
        <f>4500</f>
        <v>4500</v>
      </c>
    </row>
    <row r="217" spans="3:7" x14ac:dyDescent="0.2">
      <c r="C217" s="98" t="s">
        <v>126</v>
      </c>
      <c r="E217" s="82">
        <v>1</v>
      </c>
      <c r="F217" s="82" t="s">
        <v>127</v>
      </c>
      <c r="G217" s="83">
        <v>17500</v>
      </c>
    </row>
    <row r="218" spans="3:7" x14ac:dyDescent="0.2">
      <c r="C218" s="98" t="s">
        <v>26</v>
      </c>
      <c r="E218" s="82">
        <v>1</v>
      </c>
      <c r="F218" s="82" t="s">
        <v>7</v>
      </c>
      <c r="G218" s="83">
        <v>1250</v>
      </c>
    </row>
    <row r="219" spans="3:7" x14ac:dyDescent="0.2">
      <c r="C219" s="98" t="s">
        <v>27</v>
      </c>
      <c r="E219" s="82">
        <v>1</v>
      </c>
      <c r="F219" s="82" t="s">
        <v>7</v>
      </c>
      <c r="G219" s="83">
        <v>1500</v>
      </c>
    </row>
    <row r="220" spans="3:7" x14ac:dyDescent="0.2">
      <c r="C220" s="98" t="s">
        <v>192</v>
      </c>
      <c r="E220" s="82">
        <v>1</v>
      </c>
      <c r="F220" s="82" t="s">
        <v>10</v>
      </c>
      <c r="G220" s="83">
        <v>10000</v>
      </c>
    </row>
    <row r="221" spans="3:7" x14ac:dyDescent="0.2">
      <c r="C221" s="98" t="s">
        <v>29</v>
      </c>
      <c r="E221" s="82">
        <f>E202</f>
        <v>48</v>
      </c>
      <c r="F221" s="82" t="s">
        <v>3</v>
      </c>
      <c r="G221" s="83">
        <f>E221*20</f>
        <v>960</v>
      </c>
    </row>
    <row r="222" spans="3:7" x14ac:dyDescent="0.2">
      <c r="C222" s="90" t="s">
        <v>116</v>
      </c>
      <c r="D222" s="90"/>
      <c r="E222" s="90">
        <f>E202*1.5</f>
        <v>72</v>
      </c>
      <c r="F222" s="90" t="s">
        <v>3</v>
      </c>
      <c r="G222" s="91">
        <f>4*E222</f>
        <v>288</v>
      </c>
    </row>
    <row r="223" spans="3:7" x14ac:dyDescent="0.2">
      <c r="E223" s="97"/>
      <c r="G223" s="92">
        <f>SUM(G202:G222)</f>
        <v>55360</v>
      </c>
    </row>
    <row r="224" spans="3:7" x14ac:dyDescent="0.2">
      <c r="E224" s="97"/>
      <c r="G224" s="92"/>
    </row>
    <row r="225" spans="3:8" x14ac:dyDescent="0.2">
      <c r="C225" s="82" t="str">
        <f>Summary!B61</f>
        <v>Flush - one stall</v>
      </c>
      <c r="E225" s="97"/>
      <c r="G225" s="83">
        <f>G223</f>
        <v>55360</v>
      </c>
      <c r="H225" s="97">
        <f>G225/1</f>
        <v>55360</v>
      </c>
    </row>
    <row r="226" spans="3:8" x14ac:dyDescent="0.2">
      <c r="C226" s="82" t="str">
        <f>Summary!B62</f>
        <v>Flush - two stall</v>
      </c>
      <c r="E226" s="97"/>
      <c r="G226" s="83">
        <f>G225*0.9</f>
        <v>49824</v>
      </c>
      <c r="H226" s="97">
        <f>G226/2</f>
        <v>24912</v>
      </c>
    </row>
    <row r="227" spans="3:8" x14ac:dyDescent="0.2">
      <c r="C227" s="82" t="str">
        <f>Summary!B63</f>
        <v>Flush - three to five stall</v>
      </c>
      <c r="E227" s="97"/>
      <c r="G227" s="83">
        <f>ROUNDUP(G226*0.8,0)</f>
        <v>39860</v>
      </c>
      <c r="H227" s="97">
        <f>G227/3</f>
        <v>13286.666666666666</v>
      </c>
    </row>
    <row r="228" spans="3:8" x14ac:dyDescent="0.2">
      <c r="C228" s="82" t="str">
        <f>Summary!B64</f>
        <v>FLush - six +</v>
      </c>
      <c r="E228" s="97"/>
      <c r="G228" s="83">
        <f>G227*0.95</f>
        <v>37867</v>
      </c>
    </row>
    <row r="229" spans="3:8" x14ac:dyDescent="0.2">
      <c r="E229" s="97"/>
      <c r="G229" s="92"/>
    </row>
    <row r="230" spans="3:8" x14ac:dyDescent="0.2">
      <c r="C230" s="89" t="s">
        <v>190</v>
      </c>
      <c r="E230" s="82">
        <f t="shared" ref="E230:E244" si="0">E202</f>
        <v>48</v>
      </c>
      <c r="F230" s="82" t="s">
        <v>3</v>
      </c>
      <c r="G230" s="83"/>
      <c r="H230" s="97"/>
    </row>
    <row r="231" spans="3:8" x14ac:dyDescent="0.2">
      <c r="C231" s="98" t="str">
        <f t="shared" ref="C231:C244" si="1">C203</f>
        <v>Concrete continuous footing, 16" x 18"</v>
      </c>
      <c r="E231" s="82">
        <f t="shared" si="0"/>
        <v>28</v>
      </c>
      <c r="F231" s="82" t="s">
        <v>8</v>
      </c>
      <c r="G231" s="83">
        <f t="shared" ref="G231:G243" si="2">G203</f>
        <v>2290</v>
      </c>
    </row>
    <row r="232" spans="3:8" x14ac:dyDescent="0.2">
      <c r="C232" s="98" t="str">
        <f t="shared" si="1"/>
        <v>4" slab-on grade</v>
      </c>
      <c r="E232" s="82">
        <f t="shared" si="0"/>
        <v>48</v>
      </c>
      <c r="F232" s="82" t="s">
        <v>3</v>
      </c>
      <c r="G232" s="83">
        <f t="shared" si="2"/>
        <v>504</v>
      </c>
    </row>
    <row r="233" spans="3:8" x14ac:dyDescent="0.2">
      <c r="C233" s="98" t="str">
        <f t="shared" si="1"/>
        <v>Exterior wall - 8" CMU</v>
      </c>
      <c r="E233" s="82">
        <f t="shared" si="0"/>
        <v>280</v>
      </c>
      <c r="F233" s="82" t="s">
        <v>3</v>
      </c>
      <c r="G233" s="83">
        <f t="shared" si="2"/>
        <v>7840</v>
      </c>
    </row>
    <row r="234" spans="3:8" x14ac:dyDescent="0.2">
      <c r="C234" s="98" t="str">
        <f t="shared" si="1"/>
        <v>Steel roof deck assembly, incl waterproofing and insul.</v>
      </c>
      <c r="E234" s="82">
        <f t="shared" si="0"/>
        <v>60</v>
      </c>
      <c r="F234" s="82" t="s">
        <v>3</v>
      </c>
      <c r="G234" s="83">
        <f t="shared" si="2"/>
        <v>1710</v>
      </c>
    </row>
    <row r="235" spans="3:8" x14ac:dyDescent="0.2">
      <c r="C235" s="98" t="str">
        <f t="shared" si="1"/>
        <v>Ceiling and soffit panels</v>
      </c>
      <c r="E235" s="82">
        <f t="shared" si="0"/>
        <v>48</v>
      </c>
      <c r="F235" s="82" t="s">
        <v>3</v>
      </c>
      <c r="G235" s="83">
        <f t="shared" si="2"/>
        <v>504</v>
      </c>
    </row>
    <row r="236" spans="3:8" x14ac:dyDescent="0.2">
      <c r="C236" s="98" t="str">
        <f t="shared" si="1"/>
        <v>Roof flashing and gutter</v>
      </c>
      <c r="E236" s="82">
        <f t="shared" si="0"/>
        <v>28</v>
      </c>
      <c r="F236" s="82" t="s">
        <v>8</v>
      </c>
      <c r="G236" s="83">
        <f t="shared" si="2"/>
        <v>560</v>
      </c>
    </row>
    <row r="237" spans="3:8" x14ac:dyDescent="0.2">
      <c r="C237" s="98" t="str">
        <f t="shared" si="1"/>
        <v>Join sealant - allow</v>
      </c>
      <c r="E237" s="82">
        <f t="shared" si="0"/>
        <v>1</v>
      </c>
      <c r="F237" s="82" t="s">
        <v>7</v>
      </c>
      <c r="G237" s="83">
        <f t="shared" si="2"/>
        <v>1000</v>
      </c>
    </row>
    <row r="238" spans="3:8" x14ac:dyDescent="0.2">
      <c r="C238" s="98" t="str">
        <f t="shared" si="1"/>
        <v>Exterior door - hollow metal</v>
      </c>
      <c r="E238" s="82">
        <f t="shared" si="0"/>
        <v>1</v>
      </c>
      <c r="F238" s="82" t="s">
        <v>7</v>
      </c>
      <c r="G238" s="83">
        <f t="shared" si="2"/>
        <v>1250</v>
      </c>
    </row>
    <row r="239" spans="3:8" x14ac:dyDescent="0.2">
      <c r="C239" s="98" t="str">
        <f t="shared" si="1"/>
        <v>Exterior door hardware</v>
      </c>
      <c r="E239" s="82">
        <f t="shared" si="0"/>
        <v>1</v>
      </c>
      <c r="F239" s="82" t="s">
        <v>7</v>
      </c>
      <c r="G239" s="83">
        <f t="shared" si="2"/>
        <v>1200</v>
      </c>
    </row>
    <row r="240" spans="3:8" x14ac:dyDescent="0.2">
      <c r="C240" s="98" t="str">
        <f t="shared" si="1"/>
        <v>Floor finish - etched concrete</v>
      </c>
      <c r="E240" s="82">
        <f t="shared" si="0"/>
        <v>48</v>
      </c>
      <c r="F240" s="82" t="s">
        <v>3</v>
      </c>
      <c r="G240" s="83">
        <f t="shared" si="2"/>
        <v>480</v>
      </c>
    </row>
    <row r="241" spans="1:8" x14ac:dyDescent="0.2">
      <c r="C241" s="98" t="str">
        <f t="shared" si="1"/>
        <v>Wall finish - paint</v>
      </c>
      <c r="E241" s="82">
        <f t="shared" si="0"/>
        <v>280</v>
      </c>
      <c r="F241" s="82" t="s">
        <v>3</v>
      </c>
      <c r="G241" s="83">
        <f t="shared" si="2"/>
        <v>490</v>
      </c>
    </row>
    <row r="242" spans="1:8" x14ac:dyDescent="0.2">
      <c r="C242" s="98" t="str">
        <f t="shared" si="1"/>
        <v>Ceiling finish - open to structure</v>
      </c>
      <c r="E242" s="82">
        <f t="shared" si="0"/>
        <v>48</v>
      </c>
      <c r="F242" s="82" t="s">
        <v>3</v>
      </c>
      <c r="G242" s="83">
        <f t="shared" si="2"/>
        <v>84</v>
      </c>
    </row>
    <row r="243" spans="1:8" x14ac:dyDescent="0.2">
      <c r="C243" s="98" t="str">
        <f t="shared" si="1"/>
        <v>Toilet room accessories</v>
      </c>
      <c r="E243" s="82">
        <f t="shared" si="0"/>
        <v>1</v>
      </c>
      <c r="F243" s="82" t="s">
        <v>7</v>
      </c>
      <c r="G243" s="83">
        <f t="shared" si="2"/>
        <v>1450</v>
      </c>
    </row>
    <row r="244" spans="1:8" x14ac:dyDescent="0.2">
      <c r="C244" s="99" t="str">
        <f t="shared" si="1"/>
        <v>Plumbing fixtures and piping - per bathroom</v>
      </c>
      <c r="D244" s="87"/>
      <c r="E244" s="87">
        <f t="shared" si="0"/>
        <v>1</v>
      </c>
      <c r="F244" s="87" t="s">
        <v>7</v>
      </c>
      <c r="G244" s="83">
        <v>2000</v>
      </c>
    </row>
    <row r="245" spans="1:8" x14ac:dyDescent="0.2">
      <c r="C245" s="99" t="s">
        <v>317</v>
      </c>
      <c r="D245" s="87"/>
      <c r="E245" s="87">
        <v>1</v>
      </c>
      <c r="F245" s="87" t="s">
        <v>127</v>
      </c>
      <c r="G245" s="83">
        <v>5000</v>
      </c>
    </row>
    <row r="246" spans="1:8" x14ac:dyDescent="0.2">
      <c r="C246" s="98" t="str">
        <f>C220</f>
        <v>Power distribution and connection</v>
      </c>
      <c r="E246" s="82">
        <f t="shared" ref="E246:G248" si="3">E220</f>
        <v>1</v>
      </c>
      <c r="F246" s="82" t="str">
        <f t="shared" si="3"/>
        <v>LS</v>
      </c>
      <c r="G246" s="83">
        <f t="shared" si="3"/>
        <v>10000</v>
      </c>
    </row>
    <row r="247" spans="1:8" x14ac:dyDescent="0.2">
      <c r="C247" s="98" t="str">
        <f>C221</f>
        <v>Lighting and controls - allow</v>
      </c>
      <c r="E247" s="82">
        <f t="shared" si="3"/>
        <v>48</v>
      </c>
      <c r="F247" s="82" t="str">
        <f t="shared" si="3"/>
        <v>SF</v>
      </c>
      <c r="G247" s="83">
        <f t="shared" si="3"/>
        <v>960</v>
      </c>
    </row>
    <row r="248" spans="1:8" x14ac:dyDescent="0.2">
      <c r="C248" s="98" t="str">
        <f>C222</f>
        <v>Demolition - existing surface</v>
      </c>
      <c r="E248" s="82">
        <f t="shared" si="3"/>
        <v>72</v>
      </c>
      <c r="F248" s="82" t="str">
        <f t="shared" si="3"/>
        <v>SF</v>
      </c>
      <c r="G248" s="83">
        <f t="shared" si="3"/>
        <v>288</v>
      </c>
    </row>
    <row r="249" spans="1:8" x14ac:dyDescent="0.2">
      <c r="C249" s="100"/>
      <c r="D249" s="100"/>
      <c r="E249" s="100"/>
      <c r="F249" s="100"/>
      <c r="G249" s="101">
        <f>SUM(G231:G248)</f>
        <v>37610</v>
      </c>
    </row>
    <row r="250" spans="1:8" x14ac:dyDescent="0.2">
      <c r="C250" s="94"/>
      <c r="D250" s="94"/>
      <c r="E250" s="94"/>
      <c r="F250" s="94"/>
      <c r="G250" s="95"/>
    </row>
    <row r="251" spans="1:8" x14ac:dyDescent="0.2">
      <c r="C251" s="82" t="str">
        <f>Summary!B58</f>
        <v>Vault - one stall</v>
      </c>
      <c r="E251" s="97"/>
      <c r="G251" s="83">
        <f>G249</f>
        <v>37610</v>
      </c>
      <c r="H251" s="97">
        <f>G251/1</f>
        <v>37610</v>
      </c>
    </row>
    <row r="252" spans="1:8" x14ac:dyDescent="0.2">
      <c r="C252" s="82" t="str">
        <f>Summary!B59</f>
        <v>Vault - two stall</v>
      </c>
      <c r="E252" s="97"/>
      <c r="G252" s="83">
        <f>G251*0.9</f>
        <v>33849</v>
      </c>
      <c r="H252" s="97">
        <f>G252/2</f>
        <v>16924.5</v>
      </c>
    </row>
    <row r="253" spans="1:8" x14ac:dyDescent="0.2">
      <c r="E253" s="97"/>
      <c r="G253" s="83"/>
      <c r="H253" s="97"/>
    </row>
    <row r="254" spans="1:8" x14ac:dyDescent="0.2">
      <c r="A254" s="102"/>
      <c r="B254" s="102"/>
      <c r="C254" s="103" t="s">
        <v>204</v>
      </c>
      <c r="D254" s="102"/>
      <c r="E254" s="102"/>
      <c r="F254" s="102"/>
      <c r="G254" s="104"/>
    </row>
    <row r="255" spans="1:8" x14ac:dyDescent="0.2">
      <c r="A255" s="87"/>
      <c r="B255" s="87"/>
      <c r="C255" s="88"/>
      <c r="D255" s="87"/>
      <c r="E255" s="87"/>
      <c r="F255" s="87"/>
      <c r="G255" s="83"/>
    </row>
    <row r="256" spans="1:8" x14ac:dyDescent="0.2">
      <c r="C256" s="89" t="s">
        <v>199</v>
      </c>
      <c r="G256" s="83"/>
    </row>
    <row r="257" spans="3:7" x14ac:dyDescent="0.2">
      <c r="C257" s="82" t="s">
        <v>196</v>
      </c>
      <c r="E257" s="82">
        <v>1</v>
      </c>
      <c r="F257" s="82" t="s">
        <v>3</v>
      </c>
      <c r="G257" s="83">
        <v>2.85</v>
      </c>
    </row>
    <row r="258" spans="3:7" x14ac:dyDescent="0.2">
      <c r="C258" s="82" t="s">
        <v>197</v>
      </c>
      <c r="E258" s="82">
        <v>1</v>
      </c>
      <c r="F258" s="82" t="s">
        <v>3</v>
      </c>
      <c r="G258" s="83">
        <v>0.4</v>
      </c>
    </row>
    <row r="259" spans="3:7" x14ac:dyDescent="0.2">
      <c r="C259" s="90" t="s">
        <v>90</v>
      </c>
      <c r="D259" s="90"/>
      <c r="E259" s="90">
        <v>1</v>
      </c>
      <c r="F259" s="90" t="s">
        <v>3</v>
      </c>
      <c r="G259" s="91">
        <v>0.75</v>
      </c>
    </row>
    <row r="260" spans="3:7" x14ac:dyDescent="0.2">
      <c r="G260" s="92">
        <f>SUM(G257:G259)*5280</f>
        <v>21120</v>
      </c>
    </row>
    <row r="261" spans="3:7" x14ac:dyDescent="0.2">
      <c r="C261" s="89" t="s">
        <v>198</v>
      </c>
      <c r="G261" s="83"/>
    </row>
    <row r="262" spans="3:7" x14ac:dyDescent="0.2">
      <c r="C262" s="82" t="s">
        <v>200</v>
      </c>
      <c r="E262" s="82">
        <v>1</v>
      </c>
      <c r="F262" s="82" t="s">
        <v>3</v>
      </c>
      <c r="G262" s="83">
        <v>1.1499999999999999</v>
      </c>
    </row>
    <row r="263" spans="3:7" x14ac:dyDescent="0.2">
      <c r="C263" s="90" t="s">
        <v>90</v>
      </c>
      <c r="D263" s="90"/>
      <c r="E263" s="90">
        <v>1</v>
      </c>
      <c r="F263" s="90" t="s">
        <v>3</v>
      </c>
      <c r="G263" s="91">
        <v>0.75</v>
      </c>
    </row>
    <row r="264" spans="3:7" x14ac:dyDescent="0.2">
      <c r="G264" s="92">
        <f>SUM(G262:G263)*5280</f>
        <v>10032</v>
      </c>
    </row>
    <row r="265" spans="3:7" x14ac:dyDescent="0.2">
      <c r="C265" s="89" t="s">
        <v>201</v>
      </c>
      <c r="G265" s="83"/>
    </row>
    <row r="266" spans="3:7" x14ac:dyDescent="0.2">
      <c r="C266" s="82" t="s">
        <v>95</v>
      </c>
      <c r="E266" s="82">
        <v>1</v>
      </c>
      <c r="F266" s="82" t="s">
        <v>3</v>
      </c>
      <c r="G266" s="83">
        <v>8.75</v>
      </c>
    </row>
    <row r="267" spans="3:7" x14ac:dyDescent="0.2">
      <c r="C267" s="82" t="s">
        <v>89</v>
      </c>
      <c r="E267" s="82">
        <v>1</v>
      </c>
      <c r="F267" s="82" t="s">
        <v>3</v>
      </c>
      <c r="G267" s="83">
        <v>0.3</v>
      </c>
    </row>
    <row r="268" spans="3:7" x14ac:dyDescent="0.2">
      <c r="C268" s="90" t="s">
        <v>90</v>
      </c>
      <c r="D268" s="90"/>
      <c r="E268" s="90">
        <v>1</v>
      </c>
      <c r="F268" s="90" t="s">
        <v>3</v>
      </c>
      <c r="G268" s="91">
        <v>0.75</v>
      </c>
    </row>
    <row r="269" spans="3:7" x14ac:dyDescent="0.2">
      <c r="G269" s="92">
        <f>SUM(G266:G268)*5280</f>
        <v>51744.000000000007</v>
      </c>
    </row>
    <row r="270" spans="3:7" x14ac:dyDescent="0.2">
      <c r="C270" s="89" t="s">
        <v>202</v>
      </c>
      <c r="G270" s="83"/>
    </row>
    <row r="271" spans="3:7" x14ac:dyDescent="0.2">
      <c r="C271" s="82" t="s">
        <v>203</v>
      </c>
      <c r="E271" s="82">
        <v>1</v>
      </c>
      <c r="F271" s="82" t="s">
        <v>3</v>
      </c>
      <c r="G271" s="83">
        <v>3.5</v>
      </c>
    </row>
    <row r="272" spans="3:7" x14ac:dyDescent="0.2">
      <c r="C272" s="90" t="s">
        <v>90</v>
      </c>
      <c r="D272" s="90"/>
      <c r="E272" s="90">
        <v>1</v>
      </c>
      <c r="F272" s="90" t="s">
        <v>3</v>
      </c>
      <c r="G272" s="91">
        <v>0.75</v>
      </c>
    </row>
    <row r="273" spans="3:7" x14ac:dyDescent="0.2">
      <c r="G273" s="92">
        <f>SUM(G271:G272)*5280</f>
        <v>22440</v>
      </c>
    </row>
    <row r="274" spans="3:7" x14ac:dyDescent="0.2">
      <c r="C274" s="89" t="s">
        <v>286</v>
      </c>
      <c r="G274" s="83"/>
    </row>
    <row r="275" spans="3:7" x14ac:dyDescent="0.2">
      <c r="C275" s="82" t="s">
        <v>97</v>
      </c>
      <c r="E275" s="82">
        <v>1</v>
      </c>
      <c r="F275" s="82" t="s">
        <v>3</v>
      </c>
      <c r="G275" s="83">
        <f>85*0.33/27</f>
        <v>1.038888888888889</v>
      </c>
    </row>
    <row r="276" spans="3:7" x14ac:dyDescent="0.2">
      <c r="C276" s="82" t="s">
        <v>89</v>
      </c>
      <c r="E276" s="82">
        <v>1</v>
      </c>
      <c r="F276" s="82" t="s">
        <v>3</v>
      </c>
      <c r="G276" s="83">
        <v>0.3</v>
      </c>
    </row>
    <row r="277" spans="3:7" x14ac:dyDescent="0.2">
      <c r="C277" s="94" t="s">
        <v>90</v>
      </c>
      <c r="D277" s="94"/>
      <c r="E277" s="94">
        <v>1</v>
      </c>
      <c r="F277" s="94" t="s">
        <v>3</v>
      </c>
      <c r="G277" s="105">
        <v>0.4</v>
      </c>
    </row>
    <row r="278" spans="3:7" x14ac:dyDescent="0.2">
      <c r="C278" s="100"/>
      <c r="D278" s="100"/>
      <c r="E278" s="100"/>
      <c r="F278" s="100"/>
      <c r="G278" s="101">
        <f>SUM(G275:G277)*5280</f>
        <v>9181.3333333333339</v>
      </c>
    </row>
    <row r="279" spans="3:7" x14ac:dyDescent="0.2">
      <c r="C279" s="89" t="s">
        <v>287</v>
      </c>
      <c r="G279" s="83"/>
    </row>
    <row r="280" spans="3:7" x14ac:dyDescent="0.2">
      <c r="C280" s="82" t="s">
        <v>205</v>
      </c>
      <c r="E280" s="82">
        <v>1</v>
      </c>
      <c r="F280" s="82" t="s">
        <v>3</v>
      </c>
      <c r="G280" s="83">
        <f>85*0.33/27*0.5</f>
        <v>0.51944444444444449</v>
      </c>
    </row>
    <row r="281" spans="3:7" x14ac:dyDescent="0.2">
      <c r="C281" s="82" t="s">
        <v>89</v>
      </c>
      <c r="E281" s="82">
        <v>1</v>
      </c>
      <c r="F281" s="82" t="s">
        <v>3</v>
      </c>
      <c r="G281" s="83">
        <v>0.3</v>
      </c>
    </row>
    <row r="282" spans="3:7" x14ac:dyDescent="0.2">
      <c r="C282" s="94" t="s">
        <v>90</v>
      </c>
      <c r="D282" s="94"/>
      <c r="E282" s="94">
        <v>1</v>
      </c>
      <c r="F282" s="94" t="s">
        <v>3</v>
      </c>
      <c r="G282" s="105">
        <v>0.4</v>
      </c>
    </row>
    <row r="283" spans="3:7" x14ac:dyDescent="0.2">
      <c r="C283" s="100"/>
      <c r="D283" s="100"/>
      <c r="E283" s="100"/>
      <c r="F283" s="100"/>
      <c r="G283" s="101">
        <f>SUM(G280:G282)*5280</f>
        <v>6438.666666666667</v>
      </c>
    </row>
    <row r="284" spans="3:7" x14ac:dyDescent="0.2">
      <c r="C284" s="89" t="s">
        <v>288</v>
      </c>
      <c r="G284" s="83"/>
    </row>
    <row r="285" spans="3:7" x14ac:dyDescent="0.2">
      <c r="C285" s="82" t="s">
        <v>290</v>
      </c>
      <c r="E285" s="82">
        <v>1</v>
      </c>
      <c r="F285" s="82" t="s">
        <v>3</v>
      </c>
      <c r="G285" s="83">
        <v>0.5</v>
      </c>
    </row>
    <row r="286" spans="3:7" x14ac:dyDescent="0.2">
      <c r="C286" s="82" t="s">
        <v>89</v>
      </c>
      <c r="E286" s="82">
        <v>1</v>
      </c>
      <c r="F286" s="82" t="s">
        <v>3</v>
      </c>
      <c r="G286" s="83">
        <v>0.3</v>
      </c>
    </row>
    <row r="287" spans="3:7" x14ac:dyDescent="0.2">
      <c r="C287" s="94" t="s">
        <v>90</v>
      </c>
      <c r="D287" s="94"/>
      <c r="E287" s="94">
        <v>1</v>
      </c>
      <c r="F287" s="94" t="s">
        <v>3</v>
      </c>
      <c r="G287" s="105">
        <v>0.4</v>
      </c>
    </row>
    <row r="288" spans="3:7" x14ac:dyDescent="0.2">
      <c r="C288" s="100"/>
      <c r="D288" s="100"/>
      <c r="E288" s="100"/>
      <c r="F288" s="100"/>
      <c r="G288" s="101">
        <f>SUM(G285:G287)*5280</f>
        <v>6336.0000000000009</v>
      </c>
    </row>
    <row r="289" spans="1:7" x14ac:dyDescent="0.2">
      <c r="C289" s="89" t="s">
        <v>289</v>
      </c>
      <c r="G289" s="83"/>
    </row>
    <row r="290" spans="1:7" x14ac:dyDescent="0.2">
      <c r="C290" s="82" t="s">
        <v>89</v>
      </c>
      <c r="E290" s="82">
        <v>1</v>
      </c>
      <c r="F290" s="82" t="s">
        <v>3</v>
      </c>
      <c r="G290" s="83">
        <v>0.3</v>
      </c>
    </row>
    <row r="291" spans="1:7" x14ac:dyDescent="0.2">
      <c r="C291" s="94" t="s">
        <v>90</v>
      </c>
      <c r="D291" s="94"/>
      <c r="E291" s="94">
        <v>1</v>
      </c>
      <c r="F291" s="94" t="s">
        <v>3</v>
      </c>
      <c r="G291" s="105">
        <v>0.4</v>
      </c>
    </row>
    <row r="292" spans="1:7" x14ac:dyDescent="0.2">
      <c r="C292" s="100"/>
      <c r="D292" s="100"/>
      <c r="E292" s="100"/>
      <c r="F292" s="100"/>
      <c r="G292" s="101">
        <f>SUM(G290:G291)*5280</f>
        <v>3695.9999999999995</v>
      </c>
    </row>
    <row r="293" spans="1:7" x14ac:dyDescent="0.2">
      <c r="C293" s="94"/>
      <c r="D293" s="94"/>
      <c r="E293" s="94"/>
      <c r="F293" s="94"/>
      <c r="G293" s="95"/>
    </row>
    <row r="294" spans="1:7" x14ac:dyDescent="0.2">
      <c r="A294" s="102"/>
      <c r="B294" s="102"/>
      <c r="C294" s="103" t="s">
        <v>206</v>
      </c>
      <c r="D294" s="102"/>
      <c r="E294" s="102"/>
      <c r="F294" s="102"/>
      <c r="G294" s="104"/>
    </row>
    <row r="295" spans="1:7" x14ac:dyDescent="0.2">
      <c r="A295" s="87"/>
      <c r="B295" s="87"/>
      <c r="C295" s="88"/>
      <c r="D295" s="87"/>
      <c r="E295" s="87"/>
      <c r="F295" s="87"/>
      <c r="G295" s="83"/>
    </row>
    <row r="296" spans="1:7" x14ac:dyDescent="0.2">
      <c r="C296" s="89" t="s">
        <v>207</v>
      </c>
      <c r="G296" s="83"/>
    </row>
    <row r="297" spans="1:7" x14ac:dyDescent="0.2">
      <c r="C297" s="82" t="s">
        <v>209</v>
      </c>
      <c r="E297" s="82">
        <v>1</v>
      </c>
      <c r="F297" s="82" t="s">
        <v>3</v>
      </c>
      <c r="G297" s="83">
        <f>18.5*0.5</f>
        <v>9.25</v>
      </c>
    </row>
    <row r="298" spans="1:7" x14ac:dyDescent="0.2">
      <c r="C298" s="82" t="s">
        <v>210</v>
      </c>
      <c r="E298" s="82">
        <v>1</v>
      </c>
      <c r="F298" s="82" t="s">
        <v>3</v>
      </c>
      <c r="G298" s="83">
        <f>14*0.5</f>
        <v>7</v>
      </c>
    </row>
    <row r="299" spans="1:7" x14ac:dyDescent="0.2">
      <c r="C299" s="82" t="s">
        <v>211</v>
      </c>
      <c r="E299" s="82">
        <v>1</v>
      </c>
      <c r="F299" s="82" t="s">
        <v>3</v>
      </c>
      <c r="G299" s="83">
        <f>G41*0.25</f>
        <v>5.5</v>
      </c>
    </row>
    <row r="300" spans="1:7" x14ac:dyDescent="0.2">
      <c r="C300" s="90" t="s">
        <v>90</v>
      </c>
      <c r="D300" s="90"/>
      <c r="E300" s="90">
        <v>1</v>
      </c>
      <c r="F300" s="90" t="s">
        <v>3</v>
      </c>
      <c r="G300" s="91">
        <v>0.4</v>
      </c>
    </row>
    <row r="301" spans="1:7" x14ac:dyDescent="0.2">
      <c r="G301" s="92">
        <f>SUM(G297:G300)</f>
        <v>22.15</v>
      </c>
    </row>
    <row r="302" spans="1:7" x14ac:dyDescent="0.2">
      <c r="C302" s="89" t="s">
        <v>208</v>
      </c>
      <c r="G302" s="83"/>
    </row>
    <row r="303" spans="1:7" x14ac:dyDescent="0.2">
      <c r="C303" s="82" t="s">
        <v>212</v>
      </c>
      <c r="E303" s="82">
        <v>1</v>
      </c>
      <c r="F303" s="82" t="s">
        <v>3</v>
      </c>
      <c r="G303" s="83">
        <f>18.5*0.25</f>
        <v>4.625</v>
      </c>
    </row>
    <row r="304" spans="1:7" x14ac:dyDescent="0.2">
      <c r="C304" s="82" t="s">
        <v>213</v>
      </c>
      <c r="E304" s="82">
        <v>1</v>
      </c>
      <c r="F304" s="82" t="s">
        <v>3</v>
      </c>
      <c r="G304" s="83">
        <f>14*0.25</f>
        <v>3.5</v>
      </c>
    </row>
    <row r="305" spans="3:7" x14ac:dyDescent="0.2">
      <c r="C305" s="82" t="s">
        <v>214</v>
      </c>
      <c r="E305" s="82">
        <v>1</v>
      </c>
      <c r="F305" s="82" t="s">
        <v>3</v>
      </c>
      <c r="G305" s="83">
        <f>G57*0.15</f>
        <v>3.3</v>
      </c>
    </row>
    <row r="306" spans="3:7" x14ac:dyDescent="0.2">
      <c r="C306" s="90" t="s">
        <v>90</v>
      </c>
      <c r="D306" s="90"/>
      <c r="E306" s="90">
        <v>1</v>
      </c>
      <c r="F306" s="90" t="s">
        <v>3</v>
      </c>
      <c r="G306" s="91">
        <v>0.4</v>
      </c>
    </row>
    <row r="307" spans="3:7" x14ac:dyDescent="0.2">
      <c r="C307" s="100"/>
      <c r="D307" s="100"/>
      <c r="E307" s="100"/>
      <c r="F307" s="100"/>
      <c r="G307" s="101">
        <f>SUM(G303:G306)</f>
        <v>11.825000000000001</v>
      </c>
    </row>
    <row r="308" spans="3:7" x14ac:dyDescent="0.2">
      <c r="G308" s="92"/>
    </row>
    <row r="309" spans="3:7" x14ac:dyDescent="0.2">
      <c r="C309" s="89" t="s">
        <v>224</v>
      </c>
      <c r="G309" s="83"/>
    </row>
    <row r="310" spans="3:7" x14ac:dyDescent="0.2">
      <c r="C310" s="82" t="s">
        <v>230</v>
      </c>
      <c r="E310" s="82">
        <v>1</v>
      </c>
      <c r="F310" s="82" t="s">
        <v>3</v>
      </c>
      <c r="G310" s="83">
        <f>12*0.5</f>
        <v>6</v>
      </c>
    </row>
    <row r="311" spans="3:7" x14ac:dyDescent="0.2">
      <c r="C311" s="82" t="s">
        <v>231</v>
      </c>
      <c r="E311" s="82">
        <v>1</v>
      </c>
      <c r="F311" s="82" t="s">
        <v>3</v>
      </c>
      <c r="G311" s="83">
        <f>12*0.5</f>
        <v>6</v>
      </c>
    </row>
    <row r="312" spans="3:7" x14ac:dyDescent="0.2">
      <c r="C312" s="82" t="s">
        <v>211</v>
      </c>
      <c r="E312" s="82">
        <v>1</v>
      </c>
      <c r="F312" s="87" t="s">
        <v>3</v>
      </c>
      <c r="G312" s="83">
        <f>G299</f>
        <v>5.5</v>
      </c>
    </row>
    <row r="313" spans="3:7" x14ac:dyDescent="0.2">
      <c r="C313" s="90" t="s">
        <v>90</v>
      </c>
      <c r="D313" s="90"/>
      <c r="E313" s="90">
        <v>1</v>
      </c>
      <c r="F313" s="93" t="s">
        <v>3</v>
      </c>
      <c r="G313" s="91">
        <v>0.4</v>
      </c>
    </row>
    <row r="314" spans="3:7" x14ac:dyDescent="0.2">
      <c r="F314" s="87"/>
      <c r="G314" s="92">
        <f>SUM(G310:G313)</f>
        <v>17.899999999999999</v>
      </c>
    </row>
    <row r="315" spans="3:7" x14ac:dyDescent="0.2">
      <c r="F315" s="87"/>
      <c r="G315" s="92"/>
    </row>
    <row r="316" spans="3:7" x14ac:dyDescent="0.2">
      <c r="C316" s="89" t="s">
        <v>225</v>
      </c>
      <c r="G316" s="83"/>
    </row>
    <row r="317" spans="3:7" x14ac:dyDescent="0.2">
      <c r="C317" s="82" t="s">
        <v>232</v>
      </c>
      <c r="E317" s="82">
        <v>1</v>
      </c>
      <c r="F317" s="82" t="s">
        <v>3</v>
      </c>
      <c r="G317" s="83">
        <f>G310*0.5</f>
        <v>3</v>
      </c>
    </row>
    <row r="318" spans="3:7" x14ac:dyDescent="0.2">
      <c r="C318" s="82" t="s">
        <v>274</v>
      </c>
      <c r="E318" s="82">
        <v>1</v>
      </c>
      <c r="F318" s="82" t="s">
        <v>3</v>
      </c>
      <c r="G318" s="83">
        <f>G311*0.5</f>
        <v>3</v>
      </c>
    </row>
    <row r="319" spans="3:7" x14ac:dyDescent="0.2">
      <c r="C319" s="82" t="s">
        <v>214</v>
      </c>
      <c r="E319" s="82">
        <v>1</v>
      </c>
      <c r="F319" s="87" t="s">
        <v>3</v>
      </c>
      <c r="G319" s="83">
        <f>G305</f>
        <v>3.3</v>
      </c>
    </row>
    <row r="320" spans="3:7" x14ac:dyDescent="0.2">
      <c r="C320" s="90" t="s">
        <v>90</v>
      </c>
      <c r="D320" s="90"/>
      <c r="E320" s="90">
        <v>1</v>
      </c>
      <c r="F320" s="93" t="s">
        <v>3</v>
      </c>
      <c r="G320" s="91">
        <v>0.4</v>
      </c>
    </row>
    <row r="321" spans="3:7" x14ac:dyDescent="0.2">
      <c r="F321" s="87"/>
      <c r="G321" s="92">
        <f>SUM(G317:G320)</f>
        <v>9.7000000000000011</v>
      </c>
    </row>
    <row r="322" spans="3:7" x14ac:dyDescent="0.2">
      <c r="F322" s="87"/>
      <c r="G322" s="92"/>
    </row>
    <row r="323" spans="3:7" x14ac:dyDescent="0.2">
      <c r="C323" s="89" t="s">
        <v>226</v>
      </c>
      <c r="F323" s="87"/>
      <c r="G323" s="83"/>
    </row>
    <row r="324" spans="3:7" x14ac:dyDescent="0.2">
      <c r="C324" s="82" t="s">
        <v>275</v>
      </c>
      <c r="E324" s="82">
        <v>1</v>
      </c>
      <c r="F324" s="87" t="s">
        <v>3</v>
      </c>
      <c r="G324" s="83">
        <f>7.5*0.5</f>
        <v>3.75</v>
      </c>
    </row>
    <row r="325" spans="3:7" x14ac:dyDescent="0.2">
      <c r="C325" s="82" t="s">
        <v>233</v>
      </c>
      <c r="E325" s="82">
        <v>1</v>
      </c>
      <c r="F325" s="87" t="s">
        <v>3</v>
      </c>
      <c r="G325" s="83">
        <f>10.5*0.5</f>
        <v>5.25</v>
      </c>
    </row>
    <row r="326" spans="3:7" x14ac:dyDescent="0.2">
      <c r="C326" s="82" t="s">
        <v>211</v>
      </c>
      <c r="E326" s="82">
        <v>1</v>
      </c>
      <c r="F326" s="87" t="s">
        <v>3</v>
      </c>
      <c r="G326" s="83">
        <f>G312</f>
        <v>5.5</v>
      </c>
    </row>
    <row r="327" spans="3:7" x14ac:dyDescent="0.2">
      <c r="C327" s="90" t="s">
        <v>90</v>
      </c>
      <c r="D327" s="90"/>
      <c r="E327" s="90">
        <v>1</v>
      </c>
      <c r="F327" s="93" t="s">
        <v>3</v>
      </c>
      <c r="G327" s="91">
        <v>0.4</v>
      </c>
    </row>
    <row r="328" spans="3:7" x14ac:dyDescent="0.2">
      <c r="F328" s="87"/>
      <c r="G328" s="92">
        <f>SUM(G324:G327)</f>
        <v>14.9</v>
      </c>
    </row>
    <row r="329" spans="3:7" x14ac:dyDescent="0.2">
      <c r="F329" s="87"/>
      <c r="G329" s="92"/>
    </row>
    <row r="330" spans="3:7" x14ac:dyDescent="0.2">
      <c r="C330" s="89" t="s">
        <v>227</v>
      </c>
      <c r="F330" s="87"/>
      <c r="G330" s="83"/>
    </row>
    <row r="331" spans="3:7" x14ac:dyDescent="0.2">
      <c r="C331" s="82" t="s">
        <v>276</v>
      </c>
      <c r="E331" s="82">
        <v>1</v>
      </c>
      <c r="F331" s="87" t="s">
        <v>3</v>
      </c>
      <c r="G331" s="83">
        <f>G324*0.5</f>
        <v>1.875</v>
      </c>
    </row>
    <row r="332" spans="3:7" x14ac:dyDescent="0.2">
      <c r="C332" s="82" t="s">
        <v>234</v>
      </c>
      <c r="E332" s="82">
        <v>1</v>
      </c>
      <c r="F332" s="87" t="s">
        <v>3</v>
      </c>
      <c r="G332" s="83">
        <f>G325*0.5</f>
        <v>2.625</v>
      </c>
    </row>
    <row r="333" spans="3:7" x14ac:dyDescent="0.2">
      <c r="C333" s="82" t="s">
        <v>214</v>
      </c>
      <c r="E333" s="82">
        <v>1</v>
      </c>
      <c r="F333" s="87" t="s">
        <v>3</v>
      </c>
      <c r="G333" s="83">
        <f>G319</f>
        <v>3.3</v>
      </c>
    </row>
    <row r="334" spans="3:7" x14ac:dyDescent="0.2">
      <c r="C334" s="90" t="s">
        <v>90</v>
      </c>
      <c r="D334" s="90"/>
      <c r="E334" s="90">
        <v>1</v>
      </c>
      <c r="F334" s="93" t="s">
        <v>3</v>
      </c>
      <c r="G334" s="91">
        <v>0.4</v>
      </c>
    </row>
    <row r="335" spans="3:7" x14ac:dyDescent="0.2">
      <c r="F335" s="87"/>
      <c r="G335" s="92">
        <f>SUM(G331:G334)</f>
        <v>8.1999999999999993</v>
      </c>
    </row>
    <row r="336" spans="3:7" x14ac:dyDescent="0.2">
      <c r="F336" s="87"/>
      <c r="G336" s="92"/>
    </row>
    <row r="337" spans="1:7" x14ac:dyDescent="0.2">
      <c r="A337" s="102"/>
      <c r="B337" s="102"/>
      <c r="C337" s="103" t="s">
        <v>242</v>
      </c>
      <c r="D337" s="102"/>
      <c r="E337" s="102"/>
      <c r="F337" s="102"/>
      <c r="G337" s="104"/>
    </row>
    <row r="338" spans="1:7" x14ac:dyDescent="0.2">
      <c r="A338" s="87"/>
      <c r="B338" s="87"/>
      <c r="C338" s="88"/>
      <c r="D338" s="87"/>
      <c r="E338" s="87"/>
      <c r="F338" s="87"/>
      <c r="G338" s="83"/>
    </row>
    <row r="339" spans="1:7" x14ac:dyDescent="0.2">
      <c r="C339" s="89" t="s">
        <v>228</v>
      </c>
      <c r="G339" s="83"/>
    </row>
    <row r="340" spans="1:7" x14ac:dyDescent="0.2">
      <c r="C340" s="82" t="s">
        <v>209</v>
      </c>
      <c r="E340" s="82">
        <v>1</v>
      </c>
      <c r="F340" s="82" t="s">
        <v>3</v>
      </c>
      <c r="G340" s="83">
        <f>30*0.5</f>
        <v>15</v>
      </c>
    </row>
    <row r="341" spans="1:7" x14ac:dyDescent="0.2">
      <c r="C341" s="82" t="s">
        <v>210</v>
      </c>
      <c r="E341" s="82">
        <v>1</v>
      </c>
      <c r="F341" s="82" t="s">
        <v>3</v>
      </c>
      <c r="G341" s="83">
        <f>27.5*0.5</f>
        <v>13.75</v>
      </c>
    </row>
    <row r="342" spans="1:7" x14ac:dyDescent="0.2">
      <c r="C342" s="82" t="s">
        <v>235</v>
      </c>
      <c r="E342" s="82">
        <v>1</v>
      </c>
      <c r="F342" s="82" t="s">
        <v>3</v>
      </c>
      <c r="G342" s="83">
        <f>G84*0.5</f>
        <v>16.666666666666668</v>
      </c>
    </row>
    <row r="343" spans="1:7" x14ac:dyDescent="0.2">
      <c r="C343" s="82" t="s">
        <v>211</v>
      </c>
      <c r="E343" s="82">
        <v>1</v>
      </c>
      <c r="F343" s="82" t="s">
        <v>3</v>
      </c>
      <c r="G343" s="83">
        <f>550*2/10/5*5*0.25</f>
        <v>27.5</v>
      </c>
    </row>
    <row r="344" spans="1:7" x14ac:dyDescent="0.2">
      <c r="C344" s="90" t="s">
        <v>90</v>
      </c>
      <c r="D344" s="90"/>
      <c r="E344" s="90">
        <v>1</v>
      </c>
      <c r="F344" s="90" t="s">
        <v>3</v>
      </c>
      <c r="G344" s="91">
        <v>0.4</v>
      </c>
    </row>
    <row r="345" spans="1:7" x14ac:dyDescent="0.2">
      <c r="G345" s="92">
        <f>SUM(G340:G344)</f>
        <v>73.316666666666677</v>
      </c>
    </row>
    <row r="346" spans="1:7" x14ac:dyDescent="0.2">
      <c r="G346" s="92"/>
    </row>
    <row r="347" spans="1:7" x14ac:dyDescent="0.2">
      <c r="C347" s="89" t="s">
        <v>229</v>
      </c>
      <c r="G347" s="83"/>
    </row>
    <row r="348" spans="1:7" x14ac:dyDescent="0.2">
      <c r="C348" s="82" t="s">
        <v>212</v>
      </c>
      <c r="E348" s="82">
        <v>1</v>
      </c>
      <c r="F348" s="82" t="s">
        <v>3</v>
      </c>
      <c r="G348" s="83">
        <f>G340*0.5</f>
        <v>7.5</v>
      </c>
    </row>
    <row r="349" spans="1:7" x14ac:dyDescent="0.2">
      <c r="C349" s="82" t="s">
        <v>213</v>
      </c>
      <c r="E349" s="82">
        <v>1</v>
      </c>
      <c r="F349" s="82" t="s">
        <v>3</v>
      </c>
      <c r="G349" s="83">
        <f>G341*0.5</f>
        <v>6.875</v>
      </c>
    </row>
    <row r="350" spans="1:7" x14ac:dyDescent="0.2">
      <c r="C350" s="82" t="s">
        <v>236</v>
      </c>
      <c r="E350" s="82">
        <v>1</v>
      </c>
      <c r="F350" s="82" t="s">
        <v>3</v>
      </c>
      <c r="G350" s="83">
        <f>G342*0.5</f>
        <v>8.3333333333333339</v>
      </c>
    </row>
    <row r="351" spans="1:7" x14ac:dyDescent="0.2">
      <c r="C351" s="82" t="s">
        <v>214</v>
      </c>
      <c r="E351" s="82">
        <v>1</v>
      </c>
      <c r="F351" s="82" t="s">
        <v>3</v>
      </c>
      <c r="G351" s="83">
        <f>G343*0.5</f>
        <v>13.75</v>
      </c>
    </row>
    <row r="352" spans="1:7" x14ac:dyDescent="0.2">
      <c r="C352" s="90" t="s">
        <v>90</v>
      </c>
      <c r="D352" s="90"/>
      <c r="E352" s="90">
        <v>1</v>
      </c>
      <c r="F352" s="90" t="s">
        <v>3</v>
      </c>
      <c r="G352" s="91">
        <v>0.4</v>
      </c>
    </row>
    <row r="353" spans="3:7" x14ac:dyDescent="0.2">
      <c r="G353" s="92">
        <f>SUM(G348:G352)</f>
        <v>36.858333333333334</v>
      </c>
    </row>
    <row r="354" spans="3:7" x14ac:dyDescent="0.2">
      <c r="C354" s="89" t="s">
        <v>238</v>
      </c>
      <c r="G354" s="83"/>
    </row>
    <row r="355" spans="3:7" x14ac:dyDescent="0.2">
      <c r="C355" s="82" t="s">
        <v>102</v>
      </c>
      <c r="E355" s="82">
        <v>1</v>
      </c>
      <c r="F355" s="82" t="s">
        <v>3</v>
      </c>
      <c r="G355" s="83">
        <f>12*0.5</f>
        <v>6</v>
      </c>
    </row>
    <row r="356" spans="3:7" x14ac:dyDescent="0.2">
      <c r="C356" s="82" t="s">
        <v>103</v>
      </c>
      <c r="E356" s="82">
        <v>1</v>
      </c>
      <c r="F356" s="82" t="s">
        <v>3</v>
      </c>
      <c r="G356" s="83">
        <f>12*0.5</f>
        <v>6</v>
      </c>
    </row>
    <row r="357" spans="3:7" x14ac:dyDescent="0.2">
      <c r="C357" s="82" t="s">
        <v>111</v>
      </c>
      <c r="E357" s="82">
        <v>1</v>
      </c>
      <c r="F357" s="82" t="s">
        <v>3</v>
      </c>
      <c r="G357" s="83">
        <f>G93*0.5</f>
        <v>12.5</v>
      </c>
    </row>
    <row r="358" spans="3:7" x14ac:dyDescent="0.2">
      <c r="C358" s="82" t="s">
        <v>104</v>
      </c>
      <c r="E358" s="82">
        <v>1</v>
      </c>
      <c r="F358" s="82" t="s">
        <v>3</v>
      </c>
      <c r="G358" s="83">
        <f>G343*0.25</f>
        <v>6.875</v>
      </c>
    </row>
    <row r="359" spans="3:7" x14ac:dyDescent="0.2">
      <c r="C359" s="90" t="s">
        <v>90</v>
      </c>
      <c r="D359" s="90"/>
      <c r="E359" s="90">
        <v>1</v>
      </c>
      <c r="F359" s="90" t="s">
        <v>3</v>
      </c>
      <c r="G359" s="91">
        <v>0.4</v>
      </c>
    </row>
    <row r="360" spans="3:7" x14ac:dyDescent="0.2">
      <c r="G360" s="92">
        <f>SUM(G355:G359)</f>
        <v>31.774999999999999</v>
      </c>
    </row>
    <row r="361" spans="3:7" x14ac:dyDescent="0.2">
      <c r="G361" s="92"/>
    </row>
    <row r="362" spans="3:7" x14ac:dyDescent="0.2">
      <c r="C362" s="89" t="s">
        <v>237</v>
      </c>
      <c r="G362" s="83"/>
    </row>
    <row r="363" spans="3:7" x14ac:dyDescent="0.2">
      <c r="C363" s="82" t="s">
        <v>102</v>
      </c>
      <c r="E363" s="82">
        <v>1</v>
      </c>
      <c r="F363" s="82" t="s">
        <v>3</v>
      </c>
      <c r="G363" s="83">
        <f>G355*0.5</f>
        <v>3</v>
      </c>
    </row>
    <row r="364" spans="3:7" x14ac:dyDescent="0.2">
      <c r="C364" s="82" t="s">
        <v>103</v>
      </c>
      <c r="E364" s="82">
        <v>1</v>
      </c>
      <c r="F364" s="82" t="s">
        <v>3</v>
      </c>
      <c r="G364" s="83">
        <f t="shared" ref="G364:G366" si="4">G356*0.5</f>
        <v>3</v>
      </c>
    </row>
    <row r="365" spans="3:7" x14ac:dyDescent="0.2">
      <c r="C365" s="82" t="s">
        <v>111</v>
      </c>
      <c r="E365" s="82">
        <v>1</v>
      </c>
      <c r="F365" s="82" t="s">
        <v>3</v>
      </c>
      <c r="G365" s="83">
        <f t="shared" si="4"/>
        <v>6.25</v>
      </c>
    </row>
    <row r="366" spans="3:7" x14ac:dyDescent="0.2">
      <c r="C366" s="82" t="s">
        <v>104</v>
      </c>
      <c r="E366" s="82">
        <v>1</v>
      </c>
      <c r="F366" s="82" t="s">
        <v>3</v>
      </c>
      <c r="G366" s="83">
        <f t="shared" si="4"/>
        <v>3.4375</v>
      </c>
    </row>
    <row r="367" spans="3:7" x14ac:dyDescent="0.2">
      <c r="C367" s="90" t="s">
        <v>90</v>
      </c>
      <c r="D367" s="90"/>
      <c r="E367" s="90">
        <v>1</v>
      </c>
      <c r="F367" s="90" t="s">
        <v>3</v>
      </c>
      <c r="G367" s="91">
        <v>0.4</v>
      </c>
    </row>
    <row r="368" spans="3:7" x14ac:dyDescent="0.2">
      <c r="G368" s="92">
        <f>SUM(G363:G367)</f>
        <v>16.087499999999999</v>
      </c>
    </row>
    <row r="369" spans="3:7" x14ac:dyDescent="0.2">
      <c r="G369" s="92"/>
    </row>
    <row r="370" spans="3:7" x14ac:dyDescent="0.2">
      <c r="C370" s="89" t="s">
        <v>239</v>
      </c>
      <c r="G370" s="83"/>
    </row>
    <row r="371" spans="3:7" x14ac:dyDescent="0.2">
      <c r="C371" s="82" t="s">
        <v>272</v>
      </c>
      <c r="E371" s="82">
        <v>1</v>
      </c>
      <c r="F371" s="82" t="s">
        <v>3</v>
      </c>
      <c r="G371" s="83">
        <f>7.5*0.5</f>
        <v>3.75</v>
      </c>
    </row>
    <row r="372" spans="3:7" x14ac:dyDescent="0.2">
      <c r="C372" s="82" t="s">
        <v>107</v>
      </c>
      <c r="E372" s="82">
        <v>1</v>
      </c>
      <c r="F372" s="82" t="s">
        <v>3</v>
      </c>
      <c r="G372" s="83">
        <f>10.5*0.5</f>
        <v>5.25</v>
      </c>
    </row>
    <row r="373" spans="3:7" x14ac:dyDescent="0.2">
      <c r="C373" s="82" t="s">
        <v>110</v>
      </c>
      <c r="E373" s="82">
        <v>1</v>
      </c>
      <c r="F373" s="82" t="s">
        <v>3</v>
      </c>
      <c r="G373" s="83">
        <f>G102*0.5</f>
        <v>9.5833333333333339</v>
      </c>
    </row>
    <row r="374" spans="3:7" x14ac:dyDescent="0.2">
      <c r="C374" s="82" t="s">
        <v>104</v>
      </c>
      <c r="E374" s="82">
        <v>1</v>
      </c>
      <c r="F374" s="82" t="s">
        <v>3</v>
      </c>
      <c r="G374" s="83">
        <f>G358*0.25</f>
        <v>1.71875</v>
      </c>
    </row>
    <row r="375" spans="3:7" x14ac:dyDescent="0.2">
      <c r="C375" s="90" t="s">
        <v>90</v>
      </c>
      <c r="D375" s="90"/>
      <c r="E375" s="90">
        <v>1</v>
      </c>
      <c r="F375" s="90" t="s">
        <v>3</v>
      </c>
      <c r="G375" s="91">
        <v>0.4</v>
      </c>
    </row>
    <row r="376" spans="3:7" x14ac:dyDescent="0.2">
      <c r="G376" s="92">
        <f>SUM(G371:G375)</f>
        <v>20.702083333333334</v>
      </c>
    </row>
    <row r="377" spans="3:7" x14ac:dyDescent="0.2">
      <c r="C377" s="89" t="s">
        <v>240</v>
      </c>
      <c r="G377" s="83"/>
    </row>
    <row r="378" spans="3:7" x14ac:dyDescent="0.2">
      <c r="C378" s="82" t="s">
        <v>272</v>
      </c>
      <c r="E378" s="82">
        <v>1</v>
      </c>
      <c r="F378" s="82" t="s">
        <v>3</v>
      </c>
      <c r="G378" s="83">
        <f>G371*0.5</f>
        <v>1.875</v>
      </c>
    </row>
    <row r="379" spans="3:7" x14ac:dyDescent="0.2">
      <c r="C379" s="82" t="s">
        <v>107</v>
      </c>
      <c r="E379" s="82">
        <v>1</v>
      </c>
      <c r="F379" s="82" t="s">
        <v>3</v>
      </c>
      <c r="G379" s="83">
        <f t="shared" ref="G379:G381" si="5">G372*0.5</f>
        <v>2.625</v>
      </c>
    </row>
    <row r="380" spans="3:7" x14ac:dyDescent="0.2">
      <c r="C380" s="82" t="s">
        <v>110</v>
      </c>
      <c r="E380" s="82">
        <v>1</v>
      </c>
      <c r="F380" s="82" t="s">
        <v>3</v>
      </c>
      <c r="G380" s="83">
        <f t="shared" si="5"/>
        <v>4.791666666666667</v>
      </c>
    </row>
    <row r="381" spans="3:7" x14ac:dyDescent="0.2">
      <c r="C381" s="82" t="s">
        <v>104</v>
      </c>
      <c r="E381" s="82">
        <v>1</v>
      </c>
      <c r="F381" s="82" t="s">
        <v>3</v>
      </c>
      <c r="G381" s="83">
        <f t="shared" si="5"/>
        <v>0.859375</v>
      </c>
    </row>
    <row r="382" spans="3:7" x14ac:dyDescent="0.2">
      <c r="C382" s="90" t="s">
        <v>90</v>
      </c>
      <c r="D382" s="90"/>
      <c r="E382" s="90">
        <v>1</v>
      </c>
      <c r="F382" s="90" t="s">
        <v>3</v>
      </c>
      <c r="G382" s="91">
        <v>0.4</v>
      </c>
    </row>
    <row r="383" spans="3:7" x14ac:dyDescent="0.2">
      <c r="G383" s="92">
        <f>SUM(G378:G382)</f>
        <v>10.551041666666668</v>
      </c>
    </row>
    <row r="384" spans="3:7" x14ac:dyDescent="0.2">
      <c r="G384" s="92"/>
    </row>
    <row r="385" spans="1:7" x14ac:dyDescent="0.2">
      <c r="A385" s="102"/>
      <c r="B385" s="102"/>
      <c r="C385" s="103" t="s">
        <v>243</v>
      </c>
      <c r="D385" s="102"/>
      <c r="E385" s="102"/>
      <c r="F385" s="102"/>
      <c r="G385" s="104"/>
    </row>
    <row r="386" spans="1:7" x14ac:dyDescent="0.2">
      <c r="A386" s="87"/>
      <c r="B386" s="87"/>
      <c r="C386" s="88"/>
      <c r="D386" s="87"/>
      <c r="E386" s="87"/>
      <c r="F386" s="87"/>
      <c r="G386" s="83"/>
    </row>
    <row r="387" spans="1:7" x14ac:dyDescent="0.2">
      <c r="C387" s="89" t="s">
        <v>308</v>
      </c>
      <c r="G387" s="83"/>
    </row>
    <row r="388" spans="1:7" x14ac:dyDescent="0.2">
      <c r="C388" s="82" t="s">
        <v>241</v>
      </c>
      <c r="E388" s="82">
        <v>1</v>
      </c>
      <c r="F388" s="82" t="s">
        <v>8</v>
      </c>
      <c r="G388" s="83">
        <f>50*0.1</f>
        <v>5</v>
      </c>
    </row>
    <row r="389" spans="1:7" x14ac:dyDescent="0.2">
      <c r="C389" s="90" t="s">
        <v>90</v>
      </c>
      <c r="D389" s="90"/>
      <c r="E389" s="90">
        <v>1</v>
      </c>
      <c r="F389" s="90" t="s">
        <v>8</v>
      </c>
      <c r="G389" s="91">
        <f>0.4*2</f>
        <v>0.8</v>
      </c>
    </row>
    <row r="390" spans="1:7" x14ac:dyDescent="0.2">
      <c r="G390" s="92">
        <f>SUM(G388:G389)</f>
        <v>5.8</v>
      </c>
    </row>
    <row r="391" spans="1:7" x14ac:dyDescent="0.2">
      <c r="C391" s="89" t="s">
        <v>304</v>
      </c>
      <c r="G391" s="83"/>
    </row>
    <row r="392" spans="1:7" x14ac:dyDescent="0.2">
      <c r="C392" s="82" t="s">
        <v>78</v>
      </c>
      <c r="E392" s="82">
        <v>1</v>
      </c>
      <c r="F392" s="82" t="s">
        <v>8</v>
      </c>
      <c r="G392" s="83">
        <v>50</v>
      </c>
    </row>
    <row r="393" spans="1:7" x14ac:dyDescent="0.2">
      <c r="C393" s="82" t="s">
        <v>89</v>
      </c>
      <c r="E393" s="82">
        <v>1</v>
      </c>
      <c r="F393" s="82" t="s">
        <v>8</v>
      </c>
      <c r="G393" s="83">
        <f>0.3*1.5</f>
        <v>0.44999999999999996</v>
      </c>
    </row>
    <row r="394" spans="1:7" x14ac:dyDescent="0.2">
      <c r="C394" s="90" t="s">
        <v>90</v>
      </c>
      <c r="D394" s="90"/>
      <c r="E394" s="90">
        <v>1</v>
      </c>
      <c r="F394" s="90" t="s">
        <v>8</v>
      </c>
      <c r="G394" s="91">
        <f>0.4*2</f>
        <v>0.8</v>
      </c>
    </row>
    <row r="395" spans="1:7" x14ac:dyDescent="0.2">
      <c r="G395" s="92">
        <f>SUM(G392:G394)</f>
        <v>51.25</v>
      </c>
    </row>
    <row r="396" spans="1:7" x14ac:dyDescent="0.2">
      <c r="C396" s="89" t="s">
        <v>309</v>
      </c>
      <c r="G396" s="83"/>
    </row>
    <row r="397" spans="1:7" x14ac:dyDescent="0.2">
      <c r="C397" s="82" t="s">
        <v>241</v>
      </c>
      <c r="E397" s="82">
        <v>1</v>
      </c>
      <c r="F397" s="82" t="s">
        <v>3</v>
      </c>
      <c r="G397" s="83">
        <v>6</v>
      </c>
    </row>
    <row r="398" spans="1:7" x14ac:dyDescent="0.2">
      <c r="C398" s="90" t="s">
        <v>90</v>
      </c>
      <c r="D398" s="90"/>
      <c r="E398" s="90">
        <v>1</v>
      </c>
      <c r="F398" s="90" t="s">
        <v>3</v>
      </c>
      <c r="G398" s="91">
        <f>0.4*2.5</f>
        <v>1</v>
      </c>
    </row>
    <row r="399" spans="1:7" x14ac:dyDescent="0.2">
      <c r="G399" s="92">
        <f>SUM(G397:G398)</f>
        <v>7</v>
      </c>
    </row>
    <row r="400" spans="1:7" x14ac:dyDescent="0.2">
      <c r="C400" s="89" t="s">
        <v>305</v>
      </c>
      <c r="G400" s="83"/>
    </row>
    <row r="401" spans="3:7" x14ac:dyDescent="0.2">
      <c r="C401" s="82" t="s">
        <v>78</v>
      </c>
      <c r="E401" s="82">
        <v>1</v>
      </c>
      <c r="F401" s="82" t="s">
        <v>3</v>
      </c>
      <c r="G401" s="83">
        <v>60</v>
      </c>
    </row>
    <row r="402" spans="3:7" x14ac:dyDescent="0.2">
      <c r="C402" s="82" t="s">
        <v>89</v>
      </c>
      <c r="E402" s="82">
        <v>1</v>
      </c>
      <c r="F402" s="82" t="s">
        <v>3</v>
      </c>
      <c r="G402" s="83">
        <f>0.3*2</f>
        <v>0.6</v>
      </c>
    </row>
    <row r="403" spans="3:7" x14ac:dyDescent="0.2">
      <c r="C403" s="90" t="s">
        <v>90</v>
      </c>
      <c r="D403" s="90"/>
      <c r="E403" s="90">
        <v>1</v>
      </c>
      <c r="F403" s="90" t="s">
        <v>3</v>
      </c>
      <c r="G403" s="91">
        <f>0.4*2.5</f>
        <v>1</v>
      </c>
    </row>
    <row r="404" spans="3:7" x14ac:dyDescent="0.2">
      <c r="G404" s="92">
        <f>SUM(G401:G403)</f>
        <v>61.6</v>
      </c>
    </row>
    <row r="405" spans="3:7" x14ac:dyDescent="0.2">
      <c r="C405" s="89" t="s">
        <v>310</v>
      </c>
      <c r="G405" s="83"/>
    </row>
    <row r="406" spans="3:7" x14ac:dyDescent="0.2">
      <c r="C406" s="82" t="s">
        <v>78</v>
      </c>
      <c r="E406" s="82">
        <v>1</v>
      </c>
      <c r="F406" s="82" t="s">
        <v>3</v>
      </c>
      <c r="G406" s="83">
        <f>G397*1.5</f>
        <v>9</v>
      </c>
    </row>
    <row r="407" spans="3:7" x14ac:dyDescent="0.2">
      <c r="C407" s="90" t="s">
        <v>90</v>
      </c>
      <c r="D407" s="90"/>
      <c r="E407" s="90">
        <v>1</v>
      </c>
      <c r="F407" s="90" t="s">
        <v>3</v>
      </c>
      <c r="G407" s="91">
        <f>0.4*3.5</f>
        <v>1.4000000000000001</v>
      </c>
    </row>
    <row r="408" spans="3:7" x14ac:dyDescent="0.2">
      <c r="C408" s="94"/>
      <c r="D408" s="94"/>
      <c r="E408" s="94"/>
      <c r="F408" s="94"/>
      <c r="G408" s="95">
        <f>SUM(G406:G407)</f>
        <v>10.4</v>
      </c>
    </row>
    <row r="409" spans="3:7" x14ac:dyDescent="0.2">
      <c r="C409" s="89" t="s">
        <v>306</v>
      </c>
      <c r="G409" s="83"/>
    </row>
    <row r="410" spans="3:7" x14ac:dyDescent="0.2">
      <c r="C410" s="82" t="s">
        <v>78</v>
      </c>
      <c r="E410" s="82">
        <v>1</v>
      </c>
      <c r="F410" s="82" t="s">
        <v>3</v>
      </c>
      <c r="G410" s="83">
        <f>G401*1.5</f>
        <v>90</v>
      </c>
    </row>
    <row r="411" spans="3:7" x14ac:dyDescent="0.2">
      <c r="C411" s="82" t="s">
        <v>89</v>
      </c>
      <c r="E411" s="82">
        <v>1</v>
      </c>
      <c r="F411" s="82" t="s">
        <v>3</v>
      </c>
      <c r="G411" s="83">
        <f>0.3*3</f>
        <v>0.89999999999999991</v>
      </c>
    </row>
    <row r="412" spans="3:7" x14ac:dyDescent="0.2">
      <c r="C412" s="90" t="s">
        <v>90</v>
      </c>
      <c r="D412" s="90"/>
      <c r="E412" s="90">
        <v>1</v>
      </c>
      <c r="F412" s="90" t="s">
        <v>3</v>
      </c>
      <c r="G412" s="91">
        <f>0.4*3.5</f>
        <v>1.4000000000000001</v>
      </c>
    </row>
    <row r="413" spans="3:7" x14ac:dyDescent="0.2">
      <c r="C413" s="94"/>
      <c r="D413" s="94"/>
      <c r="E413" s="94"/>
      <c r="F413" s="94"/>
      <c r="G413" s="95">
        <f>SUM(G410:G412)</f>
        <v>92.300000000000011</v>
      </c>
    </row>
    <row r="414" spans="3:7" x14ac:dyDescent="0.2">
      <c r="C414" s="89" t="s">
        <v>311</v>
      </c>
      <c r="G414" s="83"/>
    </row>
    <row r="415" spans="3:7" x14ac:dyDescent="0.2">
      <c r="C415" s="82" t="s">
        <v>78</v>
      </c>
      <c r="E415" s="82">
        <v>1</v>
      </c>
      <c r="F415" s="82" t="s">
        <v>3</v>
      </c>
      <c r="G415" s="83">
        <v>12</v>
      </c>
    </row>
    <row r="416" spans="3:7" x14ac:dyDescent="0.2">
      <c r="C416" s="90" t="s">
        <v>90</v>
      </c>
      <c r="D416" s="90"/>
      <c r="E416" s="90">
        <v>1</v>
      </c>
      <c r="F416" s="90" t="s">
        <v>3</v>
      </c>
      <c r="G416" s="91">
        <f>0.4*4.5</f>
        <v>1.8</v>
      </c>
    </row>
    <row r="417" spans="1:7" x14ac:dyDescent="0.2">
      <c r="C417" s="94"/>
      <c r="D417" s="94"/>
      <c r="E417" s="94"/>
      <c r="F417" s="94"/>
      <c r="G417" s="95">
        <f>SUM(G415:G416)</f>
        <v>13.8</v>
      </c>
    </row>
    <row r="418" spans="1:7" x14ac:dyDescent="0.2">
      <c r="C418" s="89" t="s">
        <v>307</v>
      </c>
      <c r="G418" s="83"/>
    </row>
    <row r="419" spans="1:7" x14ac:dyDescent="0.2">
      <c r="C419" s="82" t="s">
        <v>78</v>
      </c>
      <c r="E419" s="82">
        <v>1</v>
      </c>
      <c r="F419" s="82" t="s">
        <v>3</v>
      </c>
      <c r="G419" s="83">
        <v>120</v>
      </c>
    </row>
    <row r="420" spans="1:7" x14ac:dyDescent="0.2">
      <c r="C420" s="82" t="s">
        <v>89</v>
      </c>
      <c r="E420" s="82">
        <v>1</v>
      </c>
      <c r="F420" s="82" t="s">
        <v>3</v>
      </c>
      <c r="G420" s="83">
        <f>0.3*4</f>
        <v>1.2</v>
      </c>
    </row>
    <row r="421" spans="1:7" x14ac:dyDescent="0.2">
      <c r="C421" s="90" t="s">
        <v>90</v>
      </c>
      <c r="D421" s="90"/>
      <c r="E421" s="90">
        <v>1</v>
      </c>
      <c r="F421" s="90" t="s">
        <v>3</v>
      </c>
      <c r="G421" s="91">
        <f>0.4*4.5</f>
        <v>1.8</v>
      </c>
    </row>
    <row r="422" spans="1:7" x14ac:dyDescent="0.2">
      <c r="C422" s="94"/>
      <c r="D422" s="94"/>
      <c r="E422" s="94"/>
      <c r="F422" s="94"/>
      <c r="G422" s="95">
        <f>SUM(G419:G421)</f>
        <v>123</v>
      </c>
    </row>
    <row r="423" spans="1:7" x14ac:dyDescent="0.2">
      <c r="A423" s="102"/>
      <c r="B423" s="102"/>
      <c r="C423" s="103" t="s">
        <v>256</v>
      </c>
      <c r="D423" s="102"/>
      <c r="E423" s="102"/>
      <c r="F423" s="102"/>
      <c r="G423" s="104"/>
    </row>
    <row r="424" spans="1:7" x14ac:dyDescent="0.2">
      <c r="A424" s="87"/>
      <c r="B424" s="87"/>
      <c r="C424" s="88"/>
      <c r="D424" s="87"/>
      <c r="E424" s="87"/>
      <c r="F424" s="87"/>
      <c r="G424" s="83"/>
    </row>
    <row r="425" spans="1:7" x14ac:dyDescent="0.2">
      <c r="C425" s="89" t="s">
        <v>244</v>
      </c>
      <c r="G425" s="83"/>
    </row>
    <row r="426" spans="1:7" x14ac:dyDescent="0.2">
      <c r="C426" s="82" t="s">
        <v>196</v>
      </c>
      <c r="E426" s="82">
        <v>1</v>
      </c>
      <c r="F426" s="82" t="s">
        <v>3</v>
      </c>
      <c r="G426" s="83">
        <v>2.85</v>
      </c>
    </row>
    <row r="427" spans="1:7" x14ac:dyDescent="0.2">
      <c r="C427" s="82" t="s">
        <v>15</v>
      </c>
      <c r="E427" s="82">
        <v>1</v>
      </c>
      <c r="F427" s="82" t="s">
        <v>3</v>
      </c>
      <c r="G427" s="83">
        <v>7.0000000000000007E-2</v>
      </c>
    </row>
    <row r="428" spans="1:7" x14ac:dyDescent="0.2">
      <c r="C428" s="82" t="s">
        <v>197</v>
      </c>
      <c r="E428" s="82">
        <v>1</v>
      </c>
      <c r="F428" s="82" t="s">
        <v>3</v>
      </c>
      <c r="G428" s="83">
        <v>0.4</v>
      </c>
    </row>
    <row r="429" spans="1:7" x14ac:dyDescent="0.2">
      <c r="C429" s="90" t="s">
        <v>90</v>
      </c>
      <c r="D429" s="90"/>
      <c r="E429" s="90">
        <v>1</v>
      </c>
      <c r="F429" s="90" t="s">
        <v>3</v>
      </c>
      <c r="G429" s="91">
        <v>0.75</v>
      </c>
    </row>
    <row r="430" spans="1:7" x14ac:dyDescent="0.2">
      <c r="G430" s="92">
        <f>SUM(G426:G429)</f>
        <v>4.07</v>
      </c>
    </row>
    <row r="431" spans="1:7" x14ac:dyDescent="0.2">
      <c r="G431" s="92"/>
    </row>
    <row r="432" spans="1:7" x14ac:dyDescent="0.2">
      <c r="C432" s="89" t="s">
        <v>245</v>
      </c>
      <c r="G432" s="83"/>
    </row>
    <row r="433" spans="3:7" x14ac:dyDescent="0.2">
      <c r="C433" s="82" t="s">
        <v>200</v>
      </c>
      <c r="E433" s="82">
        <v>1</v>
      </c>
      <c r="F433" s="82" t="s">
        <v>3</v>
      </c>
      <c r="G433" s="83">
        <v>1.1499999999999999</v>
      </c>
    </row>
    <row r="434" spans="3:7" x14ac:dyDescent="0.2">
      <c r="C434" s="82" t="s">
        <v>15</v>
      </c>
      <c r="E434" s="82">
        <v>1</v>
      </c>
      <c r="F434" s="82" t="s">
        <v>3</v>
      </c>
      <c r="G434" s="83">
        <v>7.0000000000000007E-2</v>
      </c>
    </row>
    <row r="435" spans="3:7" x14ac:dyDescent="0.2">
      <c r="C435" s="90" t="s">
        <v>90</v>
      </c>
      <c r="D435" s="90"/>
      <c r="E435" s="90">
        <v>1</v>
      </c>
      <c r="F435" s="90" t="s">
        <v>3</v>
      </c>
      <c r="G435" s="91">
        <v>0.75</v>
      </c>
    </row>
    <row r="436" spans="3:7" x14ac:dyDescent="0.2">
      <c r="G436" s="92">
        <f>SUM(G433:G435)</f>
        <v>1.97</v>
      </c>
    </row>
    <row r="437" spans="3:7" x14ac:dyDescent="0.2">
      <c r="G437" s="92"/>
    </row>
    <row r="438" spans="3:7" x14ac:dyDescent="0.2">
      <c r="C438" s="89" t="s">
        <v>246</v>
      </c>
      <c r="G438" s="83"/>
    </row>
    <row r="439" spans="3:7" x14ac:dyDescent="0.2">
      <c r="C439" s="82" t="s">
        <v>115</v>
      </c>
      <c r="E439" s="82">
        <v>1</v>
      </c>
      <c r="F439" s="82" t="s">
        <v>3</v>
      </c>
      <c r="G439" s="83">
        <v>10.5</v>
      </c>
    </row>
    <row r="440" spans="3:7" x14ac:dyDescent="0.2">
      <c r="C440" s="82" t="s">
        <v>15</v>
      </c>
      <c r="E440" s="82">
        <v>1</v>
      </c>
      <c r="F440" s="82" t="s">
        <v>3</v>
      </c>
      <c r="G440" s="83">
        <v>7.0000000000000007E-2</v>
      </c>
    </row>
    <row r="441" spans="3:7" x14ac:dyDescent="0.2">
      <c r="C441" s="82" t="s">
        <v>197</v>
      </c>
      <c r="E441" s="82">
        <v>1</v>
      </c>
      <c r="F441" s="82" t="s">
        <v>3</v>
      </c>
      <c r="G441" s="83">
        <v>0.4</v>
      </c>
    </row>
    <row r="442" spans="3:7" x14ac:dyDescent="0.2">
      <c r="C442" s="90" t="s">
        <v>90</v>
      </c>
      <c r="D442" s="90"/>
      <c r="E442" s="90">
        <v>1</v>
      </c>
      <c r="F442" s="90" t="s">
        <v>3</v>
      </c>
      <c r="G442" s="91">
        <v>2.25</v>
      </c>
    </row>
    <row r="443" spans="3:7" x14ac:dyDescent="0.2">
      <c r="G443" s="92">
        <f>SUM(G439:G442)</f>
        <v>13.22</v>
      </c>
    </row>
    <row r="444" spans="3:7" x14ac:dyDescent="0.2">
      <c r="G444" s="92"/>
    </row>
    <row r="445" spans="3:7" x14ac:dyDescent="0.2">
      <c r="C445" s="89" t="s">
        <v>247</v>
      </c>
      <c r="G445" s="83"/>
    </row>
    <row r="446" spans="3:7" x14ac:dyDescent="0.2">
      <c r="C446" s="82" t="s">
        <v>203</v>
      </c>
      <c r="E446" s="82">
        <v>1</v>
      </c>
      <c r="F446" s="82" t="s">
        <v>3</v>
      </c>
      <c r="G446" s="83">
        <v>3.5</v>
      </c>
    </row>
    <row r="447" spans="3:7" x14ac:dyDescent="0.2">
      <c r="C447" s="82" t="s">
        <v>15</v>
      </c>
      <c r="E447" s="82">
        <v>1</v>
      </c>
      <c r="F447" s="82" t="s">
        <v>3</v>
      </c>
      <c r="G447" s="83">
        <v>7.0000000000000007E-2</v>
      </c>
    </row>
    <row r="448" spans="3:7" x14ac:dyDescent="0.2">
      <c r="C448" s="90" t="s">
        <v>90</v>
      </c>
      <c r="D448" s="90"/>
      <c r="E448" s="90">
        <v>1</v>
      </c>
      <c r="F448" s="90" t="s">
        <v>3</v>
      </c>
      <c r="G448" s="91">
        <v>2.25</v>
      </c>
    </row>
    <row r="449" spans="1:7" x14ac:dyDescent="0.2">
      <c r="G449" s="92">
        <f>SUM(G446:G448)</f>
        <v>5.82</v>
      </c>
    </row>
    <row r="450" spans="1:7" x14ac:dyDescent="0.2">
      <c r="G450" s="92"/>
    </row>
    <row r="451" spans="1:7" x14ac:dyDescent="0.2">
      <c r="C451" s="89" t="s">
        <v>248</v>
      </c>
      <c r="G451" s="83"/>
    </row>
    <row r="452" spans="1:7" x14ac:dyDescent="0.2">
      <c r="C452" s="82" t="s">
        <v>97</v>
      </c>
      <c r="E452" s="82">
        <v>1</v>
      </c>
      <c r="F452" s="82" t="s">
        <v>3</v>
      </c>
      <c r="G452" s="83">
        <f>85*0.33/27</f>
        <v>1.038888888888889</v>
      </c>
    </row>
    <row r="453" spans="1:7" x14ac:dyDescent="0.2">
      <c r="C453" s="82" t="s">
        <v>89</v>
      </c>
      <c r="E453" s="82">
        <v>1</v>
      </c>
      <c r="F453" s="82" t="s">
        <v>3</v>
      </c>
      <c r="G453" s="83">
        <v>0.3</v>
      </c>
    </row>
    <row r="454" spans="1:7" x14ac:dyDescent="0.2">
      <c r="C454" s="90" t="s">
        <v>90</v>
      </c>
      <c r="D454" s="90"/>
      <c r="E454" s="90">
        <v>1</v>
      </c>
      <c r="F454" s="90" t="s">
        <v>3</v>
      </c>
      <c r="G454" s="91">
        <v>0.4</v>
      </c>
    </row>
    <row r="455" spans="1:7" x14ac:dyDescent="0.2">
      <c r="G455" s="92">
        <f>SUM(G452:G454)</f>
        <v>1.7388888888888889</v>
      </c>
    </row>
    <row r="456" spans="1:7" x14ac:dyDescent="0.2">
      <c r="G456" s="92"/>
    </row>
    <row r="457" spans="1:7" x14ac:dyDescent="0.2">
      <c r="C457" s="89" t="s">
        <v>249</v>
      </c>
      <c r="G457" s="83"/>
    </row>
    <row r="458" spans="1:7" x14ac:dyDescent="0.2">
      <c r="C458" s="82" t="s">
        <v>205</v>
      </c>
      <c r="E458" s="82">
        <v>1</v>
      </c>
      <c r="F458" s="82" t="s">
        <v>3</v>
      </c>
      <c r="G458" s="83">
        <v>0.52</v>
      </c>
    </row>
    <row r="459" spans="1:7" x14ac:dyDescent="0.2">
      <c r="C459" s="82" t="s">
        <v>89</v>
      </c>
      <c r="E459" s="82">
        <v>1</v>
      </c>
      <c r="F459" s="82" t="s">
        <v>3</v>
      </c>
      <c r="G459" s="83">
        <v>0.3</v>
      </c>
    </row>
    <row r="460" spans="1:7" x14ac:dyDescent="0.2">
      <c r="C460" s="90" t="s">
        <v>90</v>
      </c>
      <c r="D460" s="90"/>
      <c r="E460" s="90">
        <v>1</v>
      </c>
      <c r="F460" s="90" t="s">
        <v>3</v>
      </c>
      <c r="G460" s="91">
        <v>0.4</v>
      </c>
    </row>
    <row r="461" spans="1:7" x14ac:dyDescent="0.2">
      <c r="G461" s="92">
        <f>SUM(G458:G460)</f>
        <v>1.2200000000000002</v>
      </c>
    </row>
    <row r="462" spans="1:7" x14ac:dyDescent="0.2">
      <c r="G462" s="92"/>
    </row>
    <row r="463" spans="1:7" x14ac:dyDescent="0.2">
      <c r="A463" s="102"/>
      <c r="B463" s="102"/>
      <c r="C463" s="103" t="s">
        <v>277</v>
      </c>
      <c r="D463" s="102"/>
      <c r="E463" s="102"/>
      <c r="F463" s="102"/>
      <c r="G463" s="104"/>
    </row>
    <row r="464" spans="1:7" x14ac:dyDescent="0.2">
      <c r="A464" s="87"/>
      <c r="B464" s="87"/>
      <c r="C464" s="88"/>
      <c r="D464" s="87"/>
      <c r="E464" s="87"/>
      <c r="F464" s="87"/>
      <c r="G464" s="83"/>
    </row>
    <row r="465" spans="3:7" x14ac:dyDescent="0.2">
      <c r="C465" s="89" t="s">
        <v>250</v>
      </c>
      <c r="G465" s="83"/>
    </row>
    <row r="466" spans="3:7" x14ac:dyDescent="0.2">
      <c r="C466" s="82" t="s">
        <v>196</v>
      </c>
      <c r="E466" s="82">
        <v>1</v>
      </c>
      <c r="F466" s="82" t="s">
        <v>3</v>
      </c>
      <c r="G466" s="83">
        <v>2.85</v>
      </c>
    </row>
    <row r="467" spans="3:7" x14ac:dyDescent="0.2">
      <c r="C467" s="82" t="s">
        <v>197</v>
      </c>
      <c r="E467" s="82">
        <v>1</v>
      </c>
      <c r="F467" s="82" t="s">
        <v>3</v>
      </c>
      <c r="G467" s="83">
        <v>0.4</v>
      </c>
    </row>
    <row r="468" spans="3:7" x14ac:dyDescent="0.2">
      <c r="C468" s="82" t="s">
        <v>254</v>
      </c>
      <c r="E468" s="82">
        <v>1</v>
      </c>
      <c r="F468" s="82" t="s">
        <v>10</v>
      </c>
      <c r="G468" s="83">
        <v>1500</v>
      </c>
    </row>
    <row r="469" spans="3:7" x14ac:dyDescent="0.2">
      <c r="C469" s="82" t="s">
        <v>255</v>
      </c>
      <c r="E469" s="82">
        <v>1</v>
      </c>
      <c r="F469" s="82" t="s">
        <v>10</v>
      </c>
      <c r="G469" s="83">
        <v>1250</v>
      </c>
    </row>
    <row r="470" spans="3:7" x14ac:dyDescent="0.2">
      <c r="C470" s="90" t="s">
        <v>90</v>
      </c>
      <c r="D470" s="90"/>
      <c r="E470" s="90">
        <v>1</v>
      </c>
      <c r="F470" s="90" t="s">
        <v>3</v>
      </c>
      <c r="G470" s="91">
        <v>0.75</v>
      </c>
    </row>
    <row r="471" spans="3:7" x14ac:dyDescent="0.2">
      <c r="G471" s="96">
        <f>(SUM(G466:G467)+SUM(G470))*5280+SUM(G468:G469)</f>
        <v>23870</v>
      </c>
    </row>
    <row r="472" spans="3:7" x14ac:dyDescent="0.2">
      <c r="G472" s="96"/>
    </row>
    <row r="473" spans="3:7" x14ac:dyDescent="0.2">
      <c r="C473" s="89" t="s">
        <v>278</v>
      </c>
      <c r="G473" s="83"/>
    </row>
    <row r="474" spans="3:7" x14ac:dyDescent="0.2">
      <c r="C474" s="82" t="s">
        <v>200</v>
      </c>
      <c r="E474" s="82">
        <v>1</v>
      </c>
      <c r="F474" s="82" t="s">
        <v>3</v>
      </c>
      <c r="G474" s="83">
        <v>1.1499999999999999</v>
      </c>
    </row>
    <row r="475" spans="3:7" x14ac:dyDescent="0.2">
      <c r="C475" s="82" t="s">
        <v>197</v>
      </c>
      <c r="E475" s="82">
        <v>1</v>
      </c>
      <c r="F475" s="82" t="s">
        <v>3</v>
      </c>
      <c r="G475" s="83">
        <v>0.25</v>
      </c>
    </row>
    <row r="476" spans="3:7" x14ac:dyDescent="0.2">
      <c r="C476" s="82" t="s">
        <v>254</v>
      </c>
      <c r="E476" s="82">
        <v>1</v>
      </c>
      <c r="F476" s="82" t="s">
        <v>10</v>
      </c>
      <c r="G476" s="83">
        <v>500</v>
      </c>
    </row>
    <row r="477" spans="3:7" x14ac:dyDescent="0.2">
      <c r="C477" s="82" t="s">
        <v>255</v>
      </c>
      <c r="E477" s="82">
        <v>1</v>
      </c>
      <c r="F477" s="82" t="s">
        <v>10</v>
      </c>
      <c r="G477" s="83">
        <v>750</v>
      </c>
    </row>
    <row r="478" spans="3:7" x14ac:dyDescent="0.2">
      <c r="C478" s="90" t="s">
        <v>90</v>
      </c>
      <c r="D478" s="90"/>
      <c r="E478" s="90">
        <v>1</v>
      </c>
      <c r="F478" s="90" t="s">
        <v>3</v>
      </c>
      <c r="G478" s="91">
        <v>0.75</v>
      </c>
    </row>
    <row r="479" spans="3:7" x14ac:dyDescent="0.2">
      <c r="G479" s="96">
        <f>(SUM(G474:G475)+SUM(G478))*5280+SUM(G476:G477)</f>
        <v>12602</v>
      </c>
    </row>
    <row r="480" spans="3:7" x14ac:dyDescent="0.2">
      <c r="G480" s="96"/>
    </row>
    <row r="481" spans="3:7" x14ac:dyDescent="0.2">
      <c r="C481" s="89" t="s">
        <v>252</v>
      </c>
      <c r="G481" s="83"/>
    </row>
    <row r="482" spans="3:7" x14ac:dyDescent="0.2">
      <c r="C482" s="82" t="s">
        <v>115</v>
      </c>
      <c r="E482" s="82">
        <v>1</v>
      </c>
      <c r="F482" s="82" t="s">
        <v>3</v>
      </c>
      <c r="G482" s="83">
        <f>G439</f>
        <v>10.5</v>
      </c>
    </row>
    <row r="483" spans="3:7" x14ac:dyDescent="0.2">
      <c r="C483" s="82" t="str">
        <f>C467</f>
        <v>Base compaction</v>
      </c>
      <c r="E483" s="82">
        <v>1</v>
      </c>
      <c r="F483" s="82" t="s">
        <v>3</v>
      </c>
      <c r="G483" s="83">
        <f>G467</f>
        <v>0.4</v>
      </c>
    </row>
    <row r="484" spans="3:7" x14ac:dyDescent="0.2">
      <c r="C484" s="82" t="str">
        <f>C468</f>
        <v>Entry sign - clean and repair</v>
      </c>
      <c r="E484" s="82">
        <v>1</v>
      </c>
      <c r="F484" s="82" t="s">
        <v>10</v>
      </c>
      <c r="G484" s="83">
        <f>G468</f>
        <v>1500</v>
      </c>
    </row>
    <row r="485" spans="3:7" x14ac:dyDescent="0.2">
      <c r="C485" s="82" t="str">
        <f>C469</f>
        <v>Gate/bollard - repair as required</v>
      </c>
      <c r="E485" s="82">
        <v>1</v>
      </c>
      <c r="F485" s="82" t="s">
        <v>10</v>
      </c>
      <c r="G485" s="83">
        <f>G469</f>
        <v>1250</v>
      </c>
    </row>
    <row r="486" spans="3:7" x14ac:dyDescent="0.2">
      <c r="C486" s="90" t="s">
        <v>90</v>
      </c>
      <c r="D486" s="90"/>
      <c r="E486" s="90">
        <v>1</v>
      </c>
      <c r="F486" s="90" t="s">
        <v>3</v>
      </c>
      <c r="G486" s="91">
        <v>0.75</v>
      </c>
    </row>
    <row r="487" spans="3:7" x14ac:dyDescent="0.2">
      <c r="G487" s="96">
        <f>(SUM(G482:G483)+SUM(G486))*5280+SUM(G484:G485)</f>
        <v>64262</v>
      </c>
    </row>
    <row r="488" spans="3:7" x14ac:dyDescent="0.2">
      <c r="G488" s="92"/>
    </row>
    <row r="489" spans="3:7" x14ac:dyDescent="0.2">
      <c r="C489" s="89" t="s">
        <v>279</v>
      </c>
      <c r="G489" s="83"/>
    </row>
    <row r="490" spans="3:7" x14ac:dyDescent="0.2">
      <c r="C490" s="82" t="s">
        <v>203</v>
      </c>
      <c r="E490" s="82">
        <v>1</v>
      </c>
      <c r="F490" s="82" t="s">
        <v>3</v>
      </c>
      <c r="G490" s="83">
        <v>3.5</v>
      </c>
    </row>
    <row r="491" spans="3:7" x14ac:dyDescent="0.2">
      <c r="C491" s="82" t="s">
        <v>197</v>
      </c>
      <c r="E491" s="82">
        <v>1</v>
      </c>
      <c r="F491" s="82" t="s">
        <v>3</v>
      </c>
      <c r="G491" s="83">
        <v>0.25</v>
      </c>
    </row>
    <row r="492" spans="3:7" x14ac:dyDescent="0.2">
      <c r="C492" s="82" t="s">
        <v>254</v>
      </c>
      <c r="E492" s="82">
        <v>1</v>
      </c>
      <c r="F492" s="82" t="s">
        <v>10</v>
      </c>
      <c r="G492" s="83">
        <v>500</v>
      </c>
    </row>
    <row r="493" spans="3:7" x14ac:dyDescent="0.2">
      <c r="C493" s="82" t="s">
        <v>255</v>
      </c>
      <c r="E493" s="82">
        <v>1</v>
      </c>
      <c r="F493" s="82" t="s">
        <v>10</v>
      </c>
      <c r="G493" s="83">
        <v>750</v>
      </c>
    </row>
    <row r="494" spans="3:7" x14ac:dyDescent="0.2">
      <c r="C494" s="90" t="s">
        <v>90</v>
      </c>
      <c r="D494" s="90"/>
      <c r="E494" s="90">
        <v>1</v>
      </c>
      <c r="F494" s="90" t="s">
        <v>3</v>
      </c>
      <c r="G494" s="91">
        <v>0.75</v>
      </c>
    </row>
    <row r="495" spans="3:7" x14ac:dyDescent="0.2">
      <c r="G495" s="96">
        <f>(SUM(G490:G491)+SUM(G494))*5280+SUM(G492:G493)</f>
        <v>25010</v>
      </c>
    </row>
    <row r="496" spans="3:7" x14ac:dyDescent="0.2">
      <c r="C496" s="89" t="s">
        <v>253</v>
      </c>
      <c r="G496" s="83"/>
    </row>
    <row r="497" spans="1:7" x14ac:dyDescent="0.2">
      <c r="C497" s="82" t="s">
        <v>97</v>
      </c>
      <c r="E497" s="82">
        <v>1</v>
      </c>
      <c r="F497" s="82" t="s">
        <v>3</v>
      </c>
      <c r="G497" s="83">
        <f>(85*0.33/27)*E497</f>
        <v>1.038888888888889</v>
      </c>
    </row>
    <row r="498" spans="1:7" x14ac:dyDescent="0.2">
      <c r="C498" s="82" t="str">
        <f>C484</f>
        <v>Entry sign - clean and repair</v>
      </c>
      <c r="E498" s="82">
        <v>1</v>
      </c>
      <c r="F498" s="82" t="s">
        <v>10</v>
      </c>
      <c r="G498" s="83">
        <f>G484</f>
        <v>1500</v>
      </c>
    </row>
    <row r="499" spans="1:7" x14ac:dyDescent="0.2">
      <c r="C499" s="82" t="str">
        <f>C485</f>
        <v>Gate/bollard - repair as required</v>
      </c>
      <c r="E499" s="82">
        <v>1</v>
      </c>
      <c r="F499" s="82" t="s">
        <v>10</v>
      </c>
      <c r="G499" s="83">
        <f>G485</f>
        <v>1250</v>
      </c>
    </row>
    <row r="500" spans="1:7" x14ac:dyDescent="0.2">
      <c r="C500" s="90" t="s">
        <v>90</v>
      </c>
      <c r="D500" s="90"/>
      <c r="E500" s="90">
        <v>1</v>
      </c>
      <c r="F500" s="90" t="s">
        <v>3</v>
      </c>
      <c r="G500" s="91">
        <v>0.75</v>
      </c>
    </row>
    <row r="501" spans="1:7" x14ac:dyDescent="0.2">
      <c r="G501" s="96">
        <f>(SUM(G496:G497)+SUM(G500))*5280+SUM(G498:G499)</f>
        <v>12195.333333333334</v>
      </c>
    </row>
    <row r="502" spans="1:7" x14ac:dyDescent="0.2">
      <c r="G502" s="92"/>
    </row>
    <row r="503" spans="1:7" x14ac:dyDescent="0.2">
      <c r="C503" s="89" t="s">
        <v>258</v>
      </c>
      <c r="G503" s="83"/>
    </row>
    <row r="504" spans="1:7" x14ac:dyDescent="0.2">
      <c r="C504" s="82" t="s">
        <v>205</v>
      </c>
      <c r="E504" s="82">
        <v>1</v>
      </c>
      <c r="F504" s="82" t="s">
        <v>3</v>
      </c>
      <c r="G504" s="83">
        <v>0.52</v>
      </c>
    </row>
    <row r="505" spans="1:7" x14ac:dyDescent="0.2">
      <c r="C505" s="82" t="s">
        <v>89</v>
      </c>
      <c r="E505" s="82">
        <v>1</v>
      </c>
      <c r="F505" s="82" t="s">
        <v>3</v>
      </c>
      <c r="G505" s="83">
        <v>0.3</v>
      </c>
    </row>
    <row r="506" spans="1:7" x14ac:dyDescent="0.2">
      <c r="C506" s="82" t="str">
        <f>C492</f>
        <v>Entry sign - clean and repair</v>
      </c>
      <c r="E506" s="82">
        <v>1</v>
      </c>
      <c r="F506" s="82" t="s">
        <v>10</v>
      </c>
      <c r="G506" s="83">
        <f>G492</f>
        <v>500</v>
      </c>
    </row>
    <row r="507" spans="1:7" x14ac:dyDescent="0.2">
      <c r="C507" s="82" t="s">
        <v>255</v>
      </c>
      <c r="E507" s="82">
        <v>1</v>
      </c>
      <c r="F507" s="82" t="s">
        <v>10</v>
      </c>
      <c r="G507" s="83">
        <v>750</v>
      </c>
    </row>
    <row r="508" spans="1:7" x14ac:dyDescent="0.2">
      <c r="C508" s="90" t="s">
        <v>90</v>
      </c>
      <c r="D508" s="90"/>
      <c r="E508" s="90">
        <v>1</v>
      </c>
      <c r="F508" s="90" t="s">
        <v>3</v>
      </c>
      <c r="G508" s="91">
        <v>0.75</v>
      </c>
    </row>
    <row r="509" spans="1:7" x14ac:dyDescent="0.2">
      <c r="G509" s="96">
        <f>(SUM(G504:G505)+SUM(G508))*5280+SUM(G506:G507)</f>
        <v>9539.6</v>
      </c>
    </row>
    <row r="510" spans="1:7" x14ac:dyDescent="0.2">
      <c r="G510" s="92"/>
    </row>
    <row r="511" spans="1:7" x14ac:dyDescent="0.2">
      <c r="A511" s="102"/>
      <c r="B511" s="102"/>
      <c r="C511" s="103" t="s">
        <v>257</v>
      </c>
      <c r="D511" s="102"/>
      <c r="E511" s="102"/>
      <c r="F511" s="102"/>
      <c r="G511" s="104"/>
    </row>
    <row r="512" spans="1:7" x14ac:dyDescent="0.2">
      <c r="A512" s="87"/>
      <c r="B512" s="87"/>
      <c r="C512" s="88"/>
      <c r="D512" s="87"/>
      <c r="E512" s="87"/>
      <c r="F512" s="87"/>
      <c r="G512" s="83"/>
    </row>
    <row r="513" spans="3:8" x14ac:dyDescent="0.2">
      <c r="C513" s="89" t="s">
        <v>259</v>
      </c>
      <c r="E513" s="82">
        <f>6*8</f>
        <v>48</v>
      </c>
      <c r="F513" s="82" t="s">
        <v>3</v>
      </c>
      <c r="G513" s="83"/>
      <c r="H513" s="97"/>
    </row>
    <row r="514" spans="3:8" x14ac:dyDescent="0.2">
      <c r="C514" s="82" t="s">
        <v>261</v>
      </c>
      <c r="E514" s="82">
        <f>(6+6+8+8)*10</f>
        <v>280</v>
      </c>
      <c r="F514" s="82" t="s">
        <v>3</v>
      </c>
      <c r="G514" s="83">
        <f>4.5*E514</f>
        <v>1260</v>
      </c>
      <c r="H514" s="97"/>
    </row>
    <row r="515" spans="3:8" x14ac:dyDescent="0.2">
      <c r="C515" s="82" t="s">
        <v>262</v>
      </c>
      <c r="E515" s="82">
        <v>280</v>
      </c>
      <c r="F515" s="82" t="s">
        <v>3</v>
      </c>
      <c r="G515" s="83">
        <f>E515*6</f>
        <v>1680</v>
      </c>
      <c r="H515" s="97"/>
    </row>
    <row r="516" spans="3:8" x14ac:dyDescent="0.2">
      <c r="C516" s="98" t="s">
        <v>264</v>
      </c>
      <c r="E516" s="82">
        <v>1</v>
      </c>
      <c r="F516" s="82" t="s">
        <v>10</v>
      </c>
      <c r="G516" s="83">
        <v>750</v>
      </c>
    </row>
    <row r="517" spans="3:8" x14ac:dyDescent="0.2">
      <c r="C517" s="98" t="s">
        <v>263</v>
      </c>
      <c r="E517" s="82">
        <v>1</v>
      </c>
      <c r="F517" s="82" t="s">
        <v>7</v>
      </c>
      <c r="G517" s="83">
        <f>950+500</f>
        <v>1450</v>
      </c>
    </row>
    <row r="518" spans="3:8" x14ac:dyDescent="0.2">
      <c r="C518" s="98" t="s">
        <v>267</v>
      </c>
      <c r="E518" s="82">
        <v>1</v>
      </c>
      <c r="F518" s="82" t="s">
        <v>7</v>
      </c>
      <c r="G518" s="83">
        <f>4500*0.5</f>
        <v>2250</v>
      </c>
    </row>
    <row r="519" spans="3:8" x14ac:dyDescent="0.2">
      <c r="C519" s="98" t="s">
        <v>126</v>
      </c>
      <c r="E519" s="82">
        <v>1</v>
      </c>
      <c r="F519" s="82" t="s">
        <v>127</v>
      </c>
      <c r="G519" s="83">
        <v>750</v>
      </c>
    </row>
    <row r="520" spans="3:8" x14ac:dyDescent="0.2">
      <c r="C520" s="98" t="s">
        <v>265</v>
      </c>
      <c r="E520" s="82">
        <v>1</v>
      </c>
      <c r="F520" s="82" t="s">
        <v>7</v>
      </c>
      <c r="G520" s="83">
        <v>750</v>
      </c>
    </row>
    <row r="521" spans="3:8" x14ac:dyDescent="0.2">
      <c r="C521" s="98" t="s">
        <v>266</v>
      </c>
      <c r="E521" s="82">
        <f>E513</f>
        <v>48</v>
      </c>
      <c r="F521" s="82" t="s">
        <v>3</v>
      </c>
      <c r="G521" s="83">
        <f>E521*20</f>
        <v>960</v>
      </c>
    </row>
    <row r="522" spans="3:8" x14ac:dyDescent="0.2">
      <c r="C522" s="100"/>
      <c r="D522" s="100"/>
      <c r="E522" s="106"/>
      <c r="F522" s="100"/>
      <c r="G522" s="101">
        <f>SUM(G513:G521)</f>
        <v>9850</v>
      </c>
    </row>
    <row r="523" spans="3:8" x14ac:dyDescent="0.2">
      <c r="E523" s="97"/>
      <c r="G523" s="92"/>
    </row>
    <row r="524" spans="3:8" x14ac:dyDescent="0.2">
      <c r="C524" s="89" t="s">
        <v>260</v>
      </c>
      <c r="E524" s="82">
        <f>6*8</f>
        <v>48</v>
      </c>
      <c r="F524" s="82" t="s">
        <v>3</v>
      </c>
      <c r="G524" s="83"/>
      <c r="H524" s="97"/>
    </row>
    <row r="525" spans="3:8" x14ac:dyDescent="0.2">
      <c r="C525" s="82" t="s">
        <v>269</v>
      </c>
      <c r="E525" s="82">
        <f>(6+6+8+8)*10</f>
        <v>280</v>
      </c>
      <c r="F525" s="82" t="s">
        <v>3</v>
      </c>
      <c r="G525" s="83">
        <f>E525*2.5</f>
        <v>700</v>
      </c>
      <c r="H525" s="97"/>
    </row>
    <row r="526" spans="3:8" x14ac:dyDescent="0.2">
      <c r="C526" s="82" t="s">
        <v>262</v>
      </c>
      <c r="E526" s="82">
        <v>280</v>
      </c>
      <c r="F526" s="82" t="s">
        <v>3</v>
      </c>
      <c r="G526" s="83">
        <f>E526*3.5</f>
        <v>980</v>
      </c>
      <c r="H526" s="97"/>
    </row>
    <row r="527" spans="3:8" x14ac:dyDescent="0.2">
      <c r="C527" s="98" t="s">
        <v>264</v>
      </c>
      <c r="E527" s="82">
        <v>1</v>
      </c>
      <c r="F527" s="82" t="s">
        <v>10</v>
      </c>
      <c r="G527" s="83">
        <v>750</v>
      </c>
    </row>
    <row r="528" spans="3:8" x14ac:dyDescent="0.2">
      <c r="C528" s="98" t="s">
        <v>263</v>
      </c>
      <c r="E528" s="82">
        <v>1</v>
      </c>
      <c r="F528" s="82" t="s">
        <v>7</v>
      </c>
      <c r="G528" s="83">
        <f>950+500</f>
        <v>1450</v>
      </c>
    </row>
    <row r="529" spans="3:7" x14ac:dyDescent="0.2">
      <c r="C529" s="98" t="s">
        <v>268</v>
      </c>
      <c r="E529" s="82">
        <v>1</v>
      </c>
      <c r="F529" s="82" t="s">
        <v>7</v>
      </c>
      <c r="G529" s="83">
        <f>4500*0.5*0.5</f>
        <v>1125</v>
      </c>
    </row>
    <row r="530" spans="3:7" x14ac:dyDescent="0.2">
      <c r="C530" s="98" t="s">
        <v>126</v>
      </c>
      <c r="E530" s="82">
        <v>1</v>
      </c>
      <c r="F530" s="82" t="s">
        <v>127</v>
      </c>
      <c r="G530" s="83">
        <v>750</v>
      </c>
    </row>
    <row r="531" spans="3:7" x14ac:dyDescent="0.2">
      <c r="C531" s="98" t="s">
        <v>265</v>
      </c>
      <c r="E531" s="82">
        <v>1</v>
      </c>
      <c r="F531" s="82" t="s">
        <v>7</v>
      </c>
      <c r="G531" s="83">
        <v>750</v>
      </c>
    </row>
    <row r="532" spans="3:7" x14ac:dyDescent="0.2">
      <c r="C532" s="98" t="s">
        <v>266</v>
      </c>
      <c r="E532" s="82">
        <f>E524</f>
        <v>48</v>
      </c>
      <c r="F532" s="82" t="s">
        <v>3</v>
      </c>
      <c r="G532" s="83">
        <f>E532*20</f>
        <v>960</v>
      </c>
    </row>
    <row r="533" spans="3:7" x14ac:dyDescent="0.2">
      <c r="C533" s="100"/>
      <c r="D533" s="100"/>
      <c r="E533" s="106"/>
      <c r="F533" s="100"/>
      <c r="G533" s="101">
        <f>SUM(G524:G532)</f>
        <v>7465</v>
      </c>
    </row>
  </sheetData>
  <mergeCells count="1">
    <mergeCell ref="B3:D3"/>
  </mergeCells>
  <pageMargins left="0.7" right="0.7" top="0.75" bottom="0.75" header="0.3" footer="0.3"/>
  <pageSetup orientation="portrait" r:id="rId1"/>
  <headerFooter>
    <oddHeader>&amp;L&amp;"Arial Narrow,Bold"&amp;9DCW Cost Management&amp;R&amp;"Arial Narrow,Regular"&amp;9&amp;D</oddHeader>
    <oddFooter>&amp;C&amp;"Arial Narrow,Regular"&amp;9&amp;P</oddFooter>
  </headerFooter>
  <rowBreaks count="5" manualBreakCount="5">
    <brk id="53" max="6" man="1"/>
    <brk id="158" max="6" man="1"/>
    <brk id="322" max="6" man="1"/>
    <brk id="376" max="6" man="1"/>
    <brk id="480"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7F7B1-7452-4201-9ECC-C17F3DC011B2}">
  <dimension ref="A1:D66"/>
  <sheetViews>
    <sheetView view="pageBreakPreview" zoomScale="70" zoomScaleNormal="100" zoomScaleSheetLayoutView="70" workbookViewId="0">
      <selection activeCell="D10" sqref="D10"/>
    </sheetView>
  </sheetViews>
  <sheetFormatPr defaultRowHeight="14.25" x14ac:dyDescent="0.2"/>
  <cols>
    <col min="1" max="1" width="2.42578125" style="82" customWidth="1"/>
    <col min="2" max="2" width="7.140625" style="82" customWidth="1"/>
    <col min="3" max="3" width="49.5703125" style="82" customWidth="1"/>
    <col min="4" max="4" width="13.42578125" style="82" bestFit="1" customWidth="1"/>
    <col min="5" max="16384" width="9.140625" style="1"/>
  </cols>
  <sheetData>
    <row r="1" spans="1:4" x14ac:dyDescent="0.2">
      <c r="A1" s="87"/>
      <c r="B1" s="87"/>
      <c r="C1" s="87"/>
      <c r="D1" s="87"/>
    </row>
    <row r="2" spans="1:4" ht="15" thickBot="1" x14ac:dyDescent="0.25">
      <c r="A2" s="87"/>
      <c r="B2" s="148" t="s">
        <v>130</v>
      </c>
      <c r="C2" s="87"/>
      <c r="D2" s="87"/>
    </row>
    <row r="3" spans="1:4" ht="15" thickBot="1" x14ac:dyDescent="0.25">
      <c r="A3" s="108"/>
      <c r="B3" s="149"/>
      <c r="C3" s="142" t="s">
        <v>131</v>
      </c>
      <c r="D3" s="143" t="s">
        <v>132</v>
      </c>
    </row>
    <row r="4" spans="1:4" x14ac:dyDescent="0.2">
      <c r="A4" s="109"/>
      <c r="B4" s="110"/>
      <c r="C4" s="140" t="s">
        <v>133</v>
      </c>
      <c r="D4" s="141">
        <v>0.1</v>
      </c>
    </row>
    <row r="5" spans="1:4" x14ac:dyDescent="0.2">
      <c r="A5" s="109"/>
      <c r="B5" s="110"/>
      <c r="C5" s="111" t="s">
        <v>134</v>
      </c>
      <c r="D5" s="112">
        <v>0.08</v>
      </c>
    </row>
    <row r="6" spans="1:4" x14ac:dyDescent="0.2">
      <c r="A6" s="113"/>
      <c r="B6" s="110"/>
      <c r="C6" s="111" t="s">
        <v>135</v>
      </c>
      <c r="D6" s="112">
        <v>0.02</v>
      </c>
    </row>
    <row r="7" spans="1:4" x14ac:dyDescent="0.2">
      <c r="A7" s="113"/>
      <c r="B7" s="110"/>
      <c r="C7" s="111"/>
      <c r="D7" s="112"/>
    </row>
    <row r="8" spans="1:4" x14ac:dyDescent="0.2">
      <c r="A8" s="109"/>
      <c r="B8" s="110"/>
      <c r="C8" s="114" t="s">
        <v>136</v>
      </c>
      <c r="D8" s="112">
        <v>0.2</v>
      </c>
    </row>
    <row r="9" spans="1:4" x14ac:dyDescent="0.2">
      <c r="B9" s="94"/>
      <c r="C9" s="115"/>
      <c r="D9" s="116">
        <f>SUM(D4:D8)</f>
        <v>0.4</v>
      </c>
    </row>
    <row r="10" spans="1:4" x14ac:dyDescent="0.2">
      <c r="B10" s="82" t="s">
        <v>137</v>
      </c>
    </row>
    <row r="12" spans="1:4" ht="15" thickBot="1" x14ac:dyDescent="0.25">
      <c r="B12" s="82" t="s">
        <v>138</v>
      </c>
      <c r="C12" s="89"/>
    </row>
    <row r="13" spans="1:4" ht="15" thickBot="1" x14ac:dyDescent="0.25">
      <c r="C13" s="142" t="s">
        <v>139</v>
      </c>
      <c r="D13" s="143" t="s">
        <v>132</v>
      </c>
    </row>
    <row r="14" spans="1:4" x14ac:dyDescent="0.2">
      <c r="C14" s="117" t="s">
        <v>140</v>
      </c>
      <c r="D14" s="118">
        <v>0.02</v>
      </c>
    </row>
    <row r="15" spans="1:4" ht="15" thickBot="1" x14ac:dyDescent="0.25">
      <c r="C15" s="119" t="s">
        <v>141</v>
      </c>
      <c r="D15" s="120">
        <v>0.02</v>
      </c>
    </row>
    <row r="17" spans="1:4" x14ac:dyDescent="0.2">
      <c r="B17" s="82" t="s">
        <v>142</v>
      </c>
    </row>
    <row r="19" spans="1:4" x14ac:dyDescent="0.2">
      <c r="B19" s="82" t="s">
        <v>143</v>
      </c>
    </row>
    <row r="21" spans="1:4" ht="15" thickBot="1" x14ac:dyDescent="0.25">
      <c r="A21" s="121"/>
      <c r="B21" s="121"/>
      <c r="C21" s="121"/>
      <c r="D21" s="121"/>
    </row>
    <row r="23" spans="1:4" x14ac:dyDescent="0.2">
      <c r="B23" s="82" t="s">
        <v>144</v>
      </c>
    </row>
    <row r="24" spans="1:4" x14ac:dyDescent="0.2">
      <c r="A24" s="87"/>
      <c r="B24" s="87"/>
      <c r="C24" s="87"/>
      <c r="D24" s="87"/>
    </row>
    <row r="25" spans="1:4" ht="15" thickBot="1" x14ac:dyDescent="0.25">
      <c r="A25" s="87"/>
      <c r="B25" s="148" t="s">
        <v>145</v>
      </c>
      <c r="C25" s="87"/>
      <c r="D25" s="87"/>
    </row>
    <row r="26" spans="1:4" ht="15" thickBot="1" x14ac:dyDescent="0.25">
      <c r="A26" s="108"/>
      <c r="B26" s="149"/>
      <c r="C26" s="144" t="s">
        <v>139</v>
      </c>
      <c r="D26" s="145" t="s">
        <v>132</v>
      </c>
    </row>
    <row r="27" spans="1:4" x14ac:dyDescent="0.2">
      <c r="A27" s="109"/>
      <c r="B27" s="110"/>
      <c r="C27" s="140" t="s">
        <v>146</v>
      </c>
      <c r="D27" s="141">
        <v>0.125</v>
      </c>
    </row>
    <row r="28" spans="1:4" x14ac:dyDescent="0.2">
      <c r="A28" s="109"/>
      <c r="B28" s="110"/>
      <c r="C28" s="111" t="s">
        <v>147</v>
      </c>
      <c r="D28" s="112">
        <v>0</v>
      </c>
    </row>
    <row r="29" spans="1:4" x14ac:dyDescent="0.2">
      <c r="A29" s="109"/>
      <c r="B29" s="110"/>
      <c r="C29" s="111" t="s">
        <v>148</v>
      </c>
      <c r="D29" s="112">
        <v>0.02</v>
      </c>
    </row>
    <row r="30" spans="1:4" x14ac:dyDescent="0.2">
      <c r="A30" s="109"/>
      <c r="B30" s="110"/>
      <c r="C30" s="111"/>
      <c r="D30" s="112"/>
    </row>
    <row r="31" spans="1:4" x14ac:dyDescent="0.2">
      <c r="A31" s="109"/>
      <c r="B31" s="110"/>
      <c r="C31" s="111" t="s">
        <v>149</v>
      </c>
      <c r="D31" s="112">
        <v>3.0000000000000001E-3</v>
      </c>
    </row>
    <row r="32" spans="1:4" x14ac:dyDescent="0.2">
      <c r="A32" s="109"/>
      <c r="B32" s="110"/>
      <c r="C32" s="111" t="s">
        <v>150</v>
      </c>
      <c r="D32" s="112">
        <v>2E-3</v>
      </c>
    </row>
    <row r="33" spans="1:4" x14ac:dyDescent="0.2">
      <c r="A33" s="109"/>
      <c r="B33" s="110"/>
      <c r="C33" s="111" t="s">
        <v>151</v>
      </c>
      <c r="D33" s="112">
        <v>0</v>
      </c>
    </row>
    <row r="34" spans="1:4" x14ac:dyDescent="0.2">
      <c r="A34" s="109"/>
      <c r="B34" s="110"/>
      <c r="C34" s="111" t="s">
        <v>152</v>
      </c>
      <c r="D34" s="112"/>
    </row>
    <row r="35" spans="1:4" x14ac:dyDescent="0.2">
      <c r="A35" s="109"/>
      <c r="B35" s="110"/>
      <c r="C35" s="114"/>
      <c r="D35" s="112"/>
    </row>
    <row r="36" spans="1:4" ht="15" thickBot="1" x14ac:dyDescent="0.25">
      <c r="B36" s="94"/>
      <c r="C36" s="122"/>
      <c r="D36" s="123"/>
    </row>
    <row r="37" spans="1:4" x14ac:dyDescent="0.2">
      <c r="B37" s="94"/>
      <c r="C37" s="115"/>
      <c r="D37" s="116">
        <f>SUM(D27:D36)</f>
        <v>0.15</v>
      </c>
    </row>
    <row r="38" spans="1:4" x14ac:dyDescent="0.2">
      <c r="B38" s="82" t="s">
        <v>153</v>
      </c>
    </row>
    <row r="41" spans="1:4" x14ac:dyDescent="0.2">
      <c r="B41" s="82" t="s">
        <v>154</v>
      </c>
    </row>
    <row r="42" spans="1:4" ht="15" thickBot="1" x14ac:dyDescent="0.25">
      <c r="A42" s="121"/>
      <c r="B42" s="121"/>
      <c r="C42" s="121"/>
      <c r="D42" s="121"/>
    </row>
    <row r="44" spans="1:4" ht="15" thickBot="1" x14ac:dyDescent="0.25">
      <c r="A44" s="87"/>
      <c r="B44" s="148" t="s">
        <v>155</v>
      </c>
      <c r="C44" s="87"/>
      <c r="D44" s="87"/>
    </row>
    <row r="45" spans="1:4" ht="15" thickBot="1" x14ac:dyDescent="0.25">
      <c r="A45" s="108"/>
      <c r="B45" s="149"/>
      <c r="C45" s="146" t="s">
        <v>139</v>
      </c>
      <c r="D45" s="147" t="s">
        <v>156</v>
      </c>
    </row>
    <row r="46" spans="1:4" x14ac:dyDescent="0.2">
      <c r="A46" s="109"/>
      <c r="B46" s="110"/>
      <c r="C46" s="140" t="s">
        <v>157</v>
      </c>
      <c r="D46" s="141">
        <v>0.15</v>
      </c>
    </row>
    <row r="47" spans="1:4" x14ac:dyDescent="0.2">
      <c r="A47" s="109"/>
      <c r="B47" s="110"/>
      <c r="C47" s="111" t="s">
        <v>158</v>
      </c>
      <c r="D47" s="112">
        <v>0.15</v>
      </c>
    </row>
    <row r="48" spans="1:4" x14ac:dyDescent="0.2">
      <c r="A48" s="109"/>
      <c r="B48" s="110"/>
      <c r="C48" s="111" t="s">
        <v>159</v>
      </c>
      <c r="D48" s="112">
        <v>0.03</v>
      </c>
    </row>
    <row r="49" spans="1:4" x14ac:dyDescent="0.2">
      <c r="A49" s="109"/>
      <c r="B49" s="110"/>
      <c r="C49" s="111" t="s">
        <v>160</v>
      </c>
      <c r="D49" s="112">
        <v>0.01</v>
      </c>
    </row>
    <row r="50" spans="1:4" x14ac:dyDescent="0.2">
      <c r="A50" s="109"/>
      <c r="B50" s="110"/>
      <c r="C50" s="111" t="s">
        <v>161</v>
      </c>
      <c r="D50" s="112">
        <v>5.0000000000000001E-3</v>
      </c>
    </row>
    <row r="51" spans="1:4" x14ac:dyDescent="0.2">
      <c r="A51" s="109"/>
      <c r="B51" s="110"/>
      <c r="C51" s="111" t="s">
        <v>162</v>
      </c>
      <c r="D51" s="112">
        <v>1E-3</v>
      </c>
    </row>
    <row r="52" spans="1:4" x14ac:dyDescent="0.2">
      <c r="A52" s="109"/>
      <c r="B52" s="110"/>
      <c r="C52" s="111"/>
      <c r="D52" s="112"/>
    </row>
    <row r="53" spans="1:4" ht="15" thickBot="1" x14ac:dyDescent="0.25">
      <c r="B53" s="94"/>
      <c r="C53" s="122"/>
      <c r="D53" s="123"/>
    </row>
    <row r="54" spans="1:4" x14ac:dyDescent="0.2">
      <c r="D54" s="124">
        <f>SUM(D46:D53)</f>
        <v>0.34599999999999997</v>
      </c>
    </row>
    <row r="55" spans="1:4" x14ac:dyDescent="0.2">
      <c r="B55" s="82" t="s">
        <v>153</v>
      </c>
    </row>
    <row r="57" spans="1:4" ht="15" thickBot="1" x14ac:dyDescent="0.25">
      <c r="B57" s="82" t="s">
        <v>163</v>
      </c>
    </row>
    <row r="58" spans="1:4" ht="15" thickBot="1" x14ac:dyDescent="0.25">
      <c r="C58" s="146" t="s">
        <v>139</v>
      </c>
      <c r="D58" s="147" t="s">
        <v>156</v>
      </c>
    </row>
    <row r="59" spans="1:4" x14ac:dyDescent="0.2">
      <c r="C59" s="140" t="s">
        <v>164</v>
      </c>
      <c r="D59" s="141">
        <v>0.1</v>
      </c>
    </row>
    <row r="60" spans="1:4" x14ac:dyDescent="0.2">
      <c r="C60" s="111" t="s">
        <v>165</v>
      </c>
      <c r="D60" s="112">
        <v>0.03</v>
      </c>
    </row>
    <row r="61" spans="1:4" x14ac:dyDescent="0.2">
      <c r="C61" s="111" t="s">
        <v>166</v>
      </c>
      <c r="D61" s="112">
        <v>0.03</v>
      </c>
    </row>
    <row r="62" spans="1:4" x14ac:dyDescent="0.2">
      <c r="C62" s="111" t="s">
        <v>152</v>
      </c>
      <c r="D62" s="112"/>
    </row>
    <row r="63" spans="1:4" x14ac:dyDescent="0.2">
      <c r="C63" s="111"/>
      <c r="D63" s="112"/>
    </row>
    <row r="64" spans="1:4" ht="15" thickBot="1" x14ac:dyDescent="0.25">
      <c r="C64" s="122"/>
      <c r="D64" s="123"/>
    </row>
    <row r="66" spans="2:2" x14ac:dyDescent="0.2">
      <c r="B66" s="82" t="s">
        <v>167</v>
      </c>
    </row>
  </sheetData>
  <pageMargins left="0.7" right="0.7" top="0.75" bottom="0.75" header="0.3" footer="0.3"/>
  <pageSetup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56"/>
  <sheetViews>
    <sheetView showWhiteSpace="0" view="pageBreakPreview" zoomScaleNormal="100" zoomScaleSheetLayoutView="100" workbookViewId="0">
      <selection activeCell="B5" sqref="B5"/>
    </sheetView>
  </sheetViews>
  <sheetFormatPr defaultRowHeight="14.25" x14ac:dyDescent="0.2"/>
  <cols>
    <col min="1" max="1" width="1.140625" style="1" customWidth="1"/>
    <col min="2" max="2" width="88.85546875" style="1" customWidth="1"/>
    <col min="3" max="3" width="12.7109375" style="126" customWidth="1"/>
    <col min="4" max="16384" width="9.140625" style="1"/>
  </cols>
  <sheetData>
    <row r="2" spans="2:2" x14ac:dyDescent="0.2">
      <c r="B2" s="125" t="s">
        <v>32</v>
      </c>
    </row>
    <row r="3" spans="2:2" ht="38.25" x14ac:dyDescent="0.2">
      <c r="B3" s="127" t="s">
        <v>168</v>
      </c>
    </row>
    <row r="4" spans="2:2" x14ac:dyDescent="0.2">
      <c r="B4" s="127" t="s">
        <v>33</v>
      </c>
    </row>
    <row r="5" spans="2:2" ht="51" x14ac:dyDescent="0.2">
      <c r="B5" s="127" t="s">
        <v>34</v>
      </c>
    </row>
    <row r="6" spans="2:2" x14ac:dyDescent="0.2">
      <c r="B6" s="125" t="s">
        <v>35</v>
      </c>
    </row>
    <row r="7" spans="2:2" ht="51" x14ac:dyDescent="0.2">
      <c r="B7" s="127" t="s">
        <v>169</v>
      </c>
    </row>
    <row r="8" spans="2:2" hidden="1" x14ac:dyDescent="0.2">
      <c r="B8" s="125" t="s">
        <v>36</v>
      </c>
    </row>
    <row r="9" spans="2:2" hidden="1" x14ac:dyDescent="0.2">
      <c r="B9" s="125" t="s">
        <v>36</v>
      </c>
    </row>
    <row r="10" spans="2:2" hidden="1" x14ac:dyDescent="0.2">
      <c r="B10" s="125" t="s">
        <v>37</v>
      </c>
    </row>
    <row r="11" spans="2:2" ht="25.5" hidden="1" x14ac:dyDescent="0.2">
      <c r="B11" s="127" t="s">
        <v>38</v>
      </c>
    </row>
    <row r="12" spans="2:2" ht="10.35" hidden="1" customHeight="1" x14ac:dyDescent="0.2">
      <c r="B12" s="127" t="s">
        <v>36</v>
      </c>
    </row>
    <row r="13" spans="2:2" hidden="1" x14ac:dyDescent="0.2">
      <c r="B13" s="127" t="s">
        <v>44</v>
      </c>
    </row>
    <row r="14" spans="2:2" hidden="1" x14ac:dyDescent="0.2">
      <c r="B14" s="127" t="s">
        <v>45</v>
      </c>
    </row>
    <row r="15" spans="2:2" hidden="1" x14ac:dyDescent="0.2">
      <c r="B15" s="127" t="s">
        <v>46</v>
      </c>
    </row>
    <row r="16" spans="2:2" hidden="1" x14ac:dyDescent="0.2">
      <c r="B16" s="127" t="s">
        <v>47</v>
      </c>
    </row>
    <row r="17" spans="2:4" hidden="1" x14ac:dyDescent="0.2">
      <c r="B17" s="127" t="s">
        <v>48</v>
      </c>
    </row>
    <row r="18" spans="2:4" hidden="1" x14ac:dyDescent="0.2">
      <c r="B18" s="127" t="s">
        <v>67</v>
      </c>
    </row>
    <row r="19" spans="2:4" hidden="1" x14ac:dyDescent="0.2">
      <c r="B19" s="127" t="s">
        <v>36</v>
      </c>
    </row>
    <row r="20" spans="2:4" hidden="1" x14ac:dyDescent="0.2">
      <c r="B20" s="127" t="s">
        <v>39</v>
      </c>
    </row>
    <row r="21" spans="2:4" hidden="1" x14ac:dyDescent="0.2">
      <c r="B21" s="127" t="s">
        <v>36</v>
      </c>
    </row>
    <row r="22" spans="2:4" ht="16.899999999999999" hidden="1" customHeight="1" x14ac:dyDescent="0.2">
      <c r="B22" s="125" t="s">
        <v>40</v>
      </c>
    </row>
    <row r="23" spans="2:4" ht="9" hidden="1" customHeight="1" x14ac:dyDescent="0.2">
      <c r="B23" s="125" t="s">
        <v>36</v>
      </c>
    </row>
    <row r="24" spans="2:4" hidden="1" x14ac:dyDescent="0.2">
      <c r="B24" s="125" t="s">
        <v>41</v>
      </c>
    </row>
    <row r="25" spans="2:4" ht="25.5" hidden="1" x14ac:dyDescent="0.2">
      <c r="B25" s="127" t="s">
        <v>68</v>
      </c>
    </row>
    <row r="26" spans="2:4" ht="18" hidden="1" customHeight="1" x14ac:dyDescent="0.2">
      <c r="B26" s="127" t="s">
        <v>36</v>
      </c>
    </row>
    <row r="27" spans="2:4" hidden="1" x14ac:dyDescent="0.2">
      <c r="B27" s="127" t="s">
        <v>49</v>
      </c>
      <c r="D27" s="128"/>
    </row>
    <row r="28" spans="2:4" ht="25.5" hidden="1" x14ac:dyDescent="0.2">
      <c r="B28" s="127" t="s">
        <v>66</v>
      </c>
      <c r="D28" s="128"/>
    </row>
    <row r="29" spans="2:4" hidden="1" x14ac:dyDescent="0.2">
      <c r="B29" s="127" t="s">
        <v>50</v>
      </c>
      <c r="D29" s="128"/>
    </row>
    <row r="30" spans="2:4" hidden="1" x14ac:dyDescent="0.2">
      <c r="B30" s="127" t="s">
        <v>51</v>
      </c>
      <c r="D30" s="128"/>
    </row>
    <row r="31" spans="2:4" hidden="1" x14ac:dyDescent="0.2">
      <c r="B31" s="127" t="s">
        <v>52</v>
      </c>
      <c r="D31" s="128"/>
    </row>
    <row r="32" spans="2:4" hidden="1" x14ac:dyDescent="0.2">
      <c r="B32" s="127" t="s">
        <v>53</v>
      </c>
      <c r="D32" s="128"/>
    </row>
    <row r="33" spans="2:4" ht="7.9" hidden="1" customHeight="1" x14ac:dyDescent="0.2">
      <c r="B33" s="127" t="s">
        <v>36</v>
      </c>
      <c r="D33" s="128"/>
    </row>
    <row r="34" spans="2:4" hidden="1" x14ac:dyDescent="0.2">
      <c r="B34" s="125" t="s">
        <v>69</v>
      </c>
    </row>
    <row r="35" spans="2:4" ht="7.35" hidden="1" customHeight="1" x14ac:dyDescent="0.2">
      <c r="B35" s="125"/>
    </row>
    <row r="36" spans="2:4" ht="56.45" hidden="1" customHeight="1" x14ac:dyDescent="0.2">
      <c r="B36" s="127" t="s">
        <v>70</v>
      </c>
    </row>
    <row r="37" spans="2:4" ht="7.9" hidden="1" customHeight="1" x14ac:dyDescent="0.2">
      <c r="B37" s="127"/>
      <c r="D37" s="128"/>
    </row>
    <row r="38" spans="2:4" hidden="1" x14ac:dyDescent="0.2">
      <c r="B38" s="125" t="s">
        <v>42</v>
      </c>
    </row>
    <row r="39" spans="2:4" ht="8.4499999999999993" hidden="1" customHeight="1" x14ac:dyDescent="0.2">
      <c r="B39" s="125" t="s">
        <v>36</v>
      </c>
    </row>
    <row r="40" spans="2:4" ht="36.6" hidden="1" customHeight="1" x14ac:dyDescent="0.2">
      <c r="B40" s="127" t="s">
        <v>43</v>
      </c>
    </row>
    <row r="41" spans="2:4" ht="10.35" hidden="1" customHeight="1" x14ac:dyDescent="0.2">
      <c r="B41" s="127" t="s">
        <v>36</v>
      </c>
    </row>
    <row r="42" spans="2:4" hidden="1" x14ac:dyDescent="0.2">
      <c r="B42" s="127" t="s">
        <v>54</v>
      </c>
    </row>
    <row r="43" spans="2:4" hidden="1" x14ac:dyDescent="0.2">
      <c r="B43" s="127" t="s">
        <v>55</v>
      </c>
    </row>
    <row r="44" spans="2:4" hidden="1" x14ac:dyDescent="0.2">
      <c r="B44" s="127" t="s">
        <v>56</v>
      </c>
    </row>
    <row r="45" spans="2:4" hidden="1" x14ac:dyDescent="0.2">
      <c r="B45" s="127" t="s">
        <v>57</v>
      </c>
    </row>
    <row r="46" spans="2:4" hidden="1" x14ac:dyDescent="0.2">
      <c r="B46" s="127" t="s">
        <v>58</v>
      </c>
    </row>
    <row r="47" spans="2:4" hidden="1" x14ac:dyDescent="0.2">
      <c r="B47" s="127" t="s">
        <v>59</v>
      </c>
    </row>
    <row r="48" spans="2:4" hidden="1" x14ac:dyDescent="0.2">
      <c r="B48" s="127" t="s">
        <v>60</v>
      </c>
    </row>
    <row r="49" spans="2:2" hidden="1" x14ac:dyDescent="0.2">
      <c r="B49" s="127" t="s">
        <v>61</v>
      </c>
    </row>
    <row r="50" spans="2:2" hidden="1" x14ac:dyDescent="0.2">
      <c r="B50" s="127" t="s">
        <v>62</v>
      </c>
    </row>
    <row r="51" spans="2:2" hidden="1" x14ac:dyDescent="0.2">
      <c r="B51" s="127" t="s">
        <v>63</v>
      </c>
    </row>
    <row r="52" spans="2:2" hidden="1" x14ac:dyDescent="0.2">
      <c r="B52" s="127" t="s">
        <v>64</v>
      </c>
    </row>
    <row r="53" spans="2:2" hidden="1" x14ac:dyDescent="0.2">
      <c r="B53" s="127" t="s">
        <v>65</v>
      </c>
    </row>
    <row r="54" spans="2:2" hidden="1" x14ac:dyDescent="0.2">
      <c r="B54" s="4" t="s">
        <v>36</v>
      </c>
    </row>
    <row r="55" spans="2:2" x14ac:dyDescent="0.2">
      <c r="B55" s="4" t="s">
        <v>36</v>
      </c>
    </row>
    <row r="56" spans="2:2" x14ac:dyDescent="0.2">
      <c r="B56" s="4" t="s">
        <v>36</v>
      </c>
    </row>
  </sheetData>
  <pageMargins left="0.7" right="0.7" top="0.75" bottom="0.75" header="0.3" footer="0.3"/>
  <pageSetup orientation="portrait" r:id="rId1"/>
  <headerFooter>
    <oddHeader>&amp;L&amp;"Arial Narrow,Bold"&amp;9DCW Cost Management&amp;R&amp;"Arial Narrow,Regular"&amp;9&amp;D</oddHeader>
    <oddFooter>&amp;C&amp;"Arial Narrow,Regular"&amp;9&amp;P</oddFooter>
  </headerFooter>
  <rowBreaks count="1" manualBreakCount="1">
    <brk id="37" max="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gs xmlns="c005052c-fb1a-41f0-82de-57c309266e91">GRA</Tag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7294ABE8A00B7409C332BA874183FF5" ma:contentTypeVersion="3" ma:contentTypeDescription="Create a new document." ma:contentTypeScope="" ma:versionID="8a50fe14ff9ec56bb433a032a2870541">
  <xsd:schema xmlns:xsd="http://www.w3.org/2001/XMLSchema" xmlns:xs="http://www.w3.org/2001/XMLSchema" xmlns:p="http://schemas.microsoft.com/office/2006/metadata/properties" xmlns:ns1="http://schemas.microsoft.com/sharepoint/v3" xmlns:ns2="97863827-5b6a-4200-a971-f0b8232253f0" xmlns:ns3="c005052c-fb1a-41f0-82de-57c309266e91" targetNamespace="http://schemas.microsoft.com/office/2006/metadata/properties" ma:root="true" ma:fieldsID="ec7a8aa8c5b3dbc898e60d6e84e5adc3" ns1:_="" ns2:_="" ns3:_="">
    <xsd:import namespace="http://schemas.microsoft.com/sharepoint/v3"/>
    <xsd:import namespace="97863827-5b6a-4200-a971-f0b8232253f0"/>
    <xsd:import namespace="c005052c-fb1a-41f0-82de-57c309266e91"/>
    <xsd:element name="properties">
      <xsd:complexType>
        <xsd:sequence>
          <xsd:element name="documentManagement">
            <xsd:complexType>
              <xsd:all>
                <xsd:element ref="ns1:PublishingStartDate" minOccurs="0"/>
                <xsd:element ref="ns1:PublishingExpirationDate" minOccurs="0"/>
                <xsd:element ref="ns2:SharedWithUsers" minOccurs="0"/>
                <xsd:element ref="ns3:Tag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863827-5b6a-4200-a971-f0b8232253f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005052c-fb1a-41f0-82de-57c309266e91" elementFormDefault="qualified">
    <xsd:import namespace="http://schemas.microsoft.com/office/2006/documentManagement/types"/>
    <xsd:import namespace="http://schemas.microsoft.com/office/infopath/2007/PartnerControls"/>
    <xsd:element name="Tags" ma:index="11" ma:displayName="Tags" ma:internalName="Tag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F7FF80-5545-4EE8-B454-7C45BDD697C2}">
  <ds:schemaRefs>
    <ds:schemaRef ds:uri="c005052c-fb1a-41f0-82de-57c309266e91"/>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elements/1.1/"/>
    <ds:schemaRef ds:uri="http://purl.org/dc/terms/"/>
    <ds:schemaRef ds:uri="http://schemas.openxmlformats.org/package/2006/metadata/core-properties"/>
    <ds:schemaRef ds:uri="97863827-5b6a-4200-a971-f0b8232253f0"/>
    <ds:schemaRef ds:uri="http://schemas.microsoft.com/sharepoint/v3"/>
  </ds:schemaRefs>
</ds:datastoreItem>
</file>

<file path=customXml/itemProps2.xml><?xml version="1.0" encoding="utf-8"?>
<ds:datastoreItem xmlns:ds="http://schemas.openxmlformats.org/officeDocument/2006/customXml" ds:itemID="{63739845-8ADC-4CDB-B622-35452458ED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7863827-5b6a-4200-a971-f0b8232253f0"/>
    <ds:schemaRef ds:uri="c005052c-fb1a-41f0-82de-57c309266e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0F8231-8141-4295-8940-2E118CBBE9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Detail</vt:lpstr>
      <vt:lpstr>Markup</vt:lpstr>
      <vt:lpstr>Assumptions</vt:lpstr>
      <vt:lpstr>Assumptions!Print_Area</vt:lpstr>
      <vt:lpstr>Detail!Print_Area</vt:lpstr>
      <vt:lpstr>Summary!Print_Area</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Greg Murphy</dc:creator>
  <cp:lastModifiedBy>Jodi Bellefeuille</cp:lastModifiedBy>
  <cp:lastPrinted>2018-10-12T22:18:59Z</cp:lastPrinted>
  <dcterms:created xsi:type="dcterms:W3CDTF">2016-05-02T18:30:23Z</dcterms:created>
  <dcterms:modified xsi:type="dcterms:W3CDTF">2022-07-19T19:51:44Z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0x010100B7294ABE8A00B7409C332BA874183FF5</vt:lpwstr>
  </property>
</Properties>
</file>