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25" yWindow="4410" windowWidth="9045" windowHeight="4350" tabRatio="908" firstSheet="2" activeTab="2"/>
  </bookViews>
  <sheets>
    <sheet name="PPC ECHO WX GMR 17-19" sheetId="1" state="hidden" r:id="rId1"/>
    <sheet name="Program Statement 17-19" sheetId="2" state="hidden" r:id="rId2"/>
    <sheet name="External Report" sheetId="3" r:id="rId3"/>
    <sheet name="Cash Flow 17-19" sheetId="4" state="hidden" r:id="rId4"/>
    <sheet name="Obligations 17-19 at 06-30-18" sheetId="5" state="hidden" r:id="rId5"/>
    <sheet name="Obligations 15-17 at 12-31-17" sheetId="6" state="hidden" r:id="rId6"/>
    <sheet name="Obligations 17-19 at 9-30-17" sheetId="7" state="hidden" r:id="rId7"/>
    <sheet name="PPC ECHO WX External wrkng copy" sheetId="8" state="hidden" r:id="rId8"/>
    <sheet name="Cash Flow 15-17" sheetId="9" state="hidden" r:id="rId9"/>
    <sheet name="Cash Flow 11-13" sheetId="10" state="hidden" r:id="rId10"/>
    <sheet name="Obligations 13-15 at 12-31-15" sheetId="11" state="hidden" r:id="rId11"/>
    <sheet name="Obligations 13-15 at 6-30-15" sheetId="12" state="hidden" r:id="rId12"/>
    <sheet name="Obligations 11-13 at 6-30-13" sheetId="13" state="hidden" r:id="rId13"/>
    <sheet name="PPC ECHO WX GMR" sheetId="14" state="hidden" r:id="rId14"/>
    <sheet name="Program Statement 15-17" sheetId="15" state="hidden" r:id="rId15"/>
    <sheet name="Reconciliation old" sheetId="16" state="hidden" r:id="rId16"/>
  </sheets>
  <externalReferences>
    <externalReference r:id="rId19"/>
  </externalReferences>
  <definedNames>
    <definedName name="_1PROJECT_COSTS">#N/A</definedName>
    <definedName name="AWARDED">#N/A</definedName>
    <definedName name="_xlnm.Print_Area" localSheetId="8">'Cash Flow 15-17'!$A$1:$AE$72</definedName>
    <definedName name="_xlnm.Print_Area" localSheetId="3">'Cash Flow 17-19'!$A$1:$AE$72</definedName>
    <definedName name="_xlnm.Print_Area" localSheetId="7">'PPC ECHO WX External wrkng copy'!$A$1:$T$161</definedName>
    <definedName name="_xlnm.Print_Area" localSheetId="13">'PPC ECHO WX GMR'!$A$1:$H$26</definedName>
    <definedName name="_xlnm.Print_Area" localSheetId="0">'PPC ECHO WX GMR 17-19'!$A$1:$H$26</definedName>
    <definedName name="_xlnm.Print_Area" localSheetId="15">'Reconciliation old'!$A$1:$H$39</definedName>
    <definedName name="_xlnm.Print_Titles" localSheetId="8">'Cash Flow 15-17'!$A:$B</definedName>
    <definedName name="_xlnm.Print_Titles" localSheetId="3">'Cash Flow 17-19'!$A:$B</definedName>
  </definedNames>
  <calcPr fullCalcOnLoad="1"/>
</workbook>
</file>

<file path=xl/comments16.xml><?xml version="1.0" encoding="utf-8"?>
<comments xmlns="http://schemas.openxmlformats.org/spreadsheetml/2006/main">
  <authors>
    <author>Jeffrey Lucas</author>
  </authors>
  <commentList>
    <comment ref="A27" authorId="0">
      <text>
        <r>
          <rPr>
            <b/>
            <sz val="8"/>
            <rFont val="Tahoma"/>
            <family val="2"/>
          </rPr>
          <t>Carol Wagner:</t>
        </r>
        <r>
          <rPr>
            <sz val="8"/>
            <rFont val="Tahoma"/>
            <family val="2"/>
          </rPr>
          <t xml:space="preserve">
From SFMA, not OPUS</t>
        </r>
      </text>
    </comment>
  </commentList>
</comments>
</file>

<file path=xl/comments7.xml><?xml version="1.0" encoding="utf-8"?>
<comments xmlns="http://schemas.openxmlformats.org/spreadsheetml/2006/main">
  <authors>
    <author>Carol Wagner</author>
  </authors>
  <commentList>
    <comment ref="Z187" authorId="0">
      <text>
        <r>
          <rPr>
            <b/>
            <sz val="9"/>
            <rFont val="Tahoma"/>
            <family val="2"/>
          </rPr>
          <t>Carol Wagner:</t>
        </r>
        <r>
          <rPr>
            <sz val="9"/>
            <rFont val="Tahoma"/>
            <family val="2"/>
          </rPr>
          <t xml:space="preserve">
Wrong PCA was entered in OPUS &amp; SFMA, correcting documents submitted 10/18/17
</t>
        </r>
      </text>
    </comment>
  </commentList>
</comments>
</file>

<file path=xl/comments8.xml><?xml version="1.0" encoding="utf-8"?>
<comments xmlns="http://schemas.openxmlformats.org/spreadsheetml/2006/main">
  <authors>
    <author>Carol Wagner</author>
  </authors>
  <commentList>
    <comment ref="H58" authorId="0">
      <text>
        <r>
          <rPr>
            <b/>
            <sz val="9"/>
            <rFont val="Tahoma"/>
            <family val="2"/>
          </rPr>
          <t>Carol Wagner:</t>
        </r>
        <r>
          <rPr>
            <sz val="9"/>
            <rFont val="Tahoma"/>
            <family val="2"/>
          </rPr>
          <t xml:space="preserve">
Proceeds from sale of vehicle
</t>
        </r>
      </text>
    </comment>
  </commentList>
</comments>
</file>

<file path=xl/comments9.xml><?xml version="1.0" encoding="utf-8"?>
<comments xmlns="http://schemas.openxmlformats.org/spreadsheetml/2006/main">
  <authors>
    <author>Carol Wagner</author>
  </authors>
  <commentList>
    <comment ref="C8" authorId="0">
      <text>
        <r>
          <rPr>
            <b/>
            <sz val="9"/>
            <rFont val="Tahoma"/>
            <family val="2"/>
          </rPr>
          <t>Carol Wagner:</t>
        </r>
        <r>
          <rPr>
            <sz val="9"/>
            <rFont val="Tahoma"/>
            <family val="2"/>
          </rPr>
          <t xml:space="preserve">
July 2015 through June 2016 revenue is the total for both utilities.</t>
        </r>
      </text>
    </comment>
  </commentList>
</comments>
</file>

<file path=xl/sharedStrings.xml><?xml version="1.0" encoding="utf-8"?>
<sst xmlns="http://schemas.openxmlformats.org/spreadsheetml/2006/main" count="4434" uniqueCount="537">
  <si>
    <t>0143</t>
  </si>
  <si>
    <t>Biennium</t>
  </si>
  <si>
    <t>Public Purpose Charge</t>
  </si>
  <si>
    <t>Actuals</t>
  </si>
  <si>
    <t>Projected</t>
  </si>
  <si>
    <t>Total</t>
  </si>
  <si>
    <t>Difference</t>
  </si>
  <si>
    <t>Total Revenues</t>
  </si>
  <si>
    <t>Total Expenditures</t>
  </si>
  <si>
    <t>Month End Cash Balance</t>
  </si>
  <si>
    <t>Total SFMA Cash</t>
  </si>
  <si>
    <t>Oregon Housing and Community Services</t>
  </si>
  <si>
    <t>.</t>
  </si>
  <si>
    <t>OHCS</t>
  </si>
  <si>
    <t>Expenditures</t>
  </si>
  <si>
    <t>Total Expenditure Actual/Projected</t>
  </si>
  <si>
    <t>Fund 3252</t>
  </si>
  <si>
    <t>1261</t>
  </si>
  <si>
    <t>Move within Indenture</t>
  </si>
  <si>
    <t>0820</t>
  </si>
  <si>
    <t>Treasury Interest</t>
  </si>
  <si>
    <t>3000</t>
  </si>
  <si>
    <t>Clearing Account</t>
  </si>
  <si>
    <t>Personal Services</t>
  </si>
  <si>
    <t>Services and Supplies</t>
  </si>
  <si>
    <t>ACCESS</t>
  </si>
  <si>
    <t>CAPECO</t>
  </si>
  <si>
    <t>CAT</t>
  </si>
  <si>
    <t>CCN</t>
  </si>
  <si>
    <t>CSC</t>
  </si>
  <si>
    <t>MCCAC</t>
  </si>
  <si>
    <t>MULTCO</t>
  </si>
  <si>
    <t>MWVCAA</t>
  </si>
  <si>
    <t>NIMPACT</t>
  </si>
  <si>
    <t>ORCCA</t>
  </si>
  <si>
    <t>UCAN</t>
  </si>
  <si>
    <t>CAO</t>
  </si>
  <si>
    <t>CCSSD</t>
  </si>
  <si>
    <t>YCAP</t>
  </si>
  <si>
    <t>CAPO</t>
  </si>
  <si>
    <t>LCHHS</t>
  </si>
  <si>
    <t>OHDC</t>
  </si>
  <si>
    <t>6XXX</t>
  </si>
  <si>
    <t>4XXX</t>
  </si>
  <si>
    <t>3XXX</t>
  </si>
  <si>
    <t>Special Payments</t>
  </si>
  <si>
    <t>SFMA GL balance 0060 325000-00  3252</t>
  </si>
  <si>
    <t>SFMA GL balance 0065 325000-00  3252</t>
  </si>
  <si>
    <t>SFMA GL balance 0070 325000-00  3252</t>
  </si>
  <si>
    <t>SFMA GL balance 0586 325000-00  3252</t>
  </si>
  <si>
    <t>SFMA GL balance 1211 325000-00  3252</t>
  </si>
  <si>
    <t>SFMA GL balance 0060 325000-26  3252</t>
  </si>
  <si>
    <t>SFMA GL balance 0065 325000-26  3252</t>
  </si>
  <si>
    <t>SFMA GL balance 0070 325000-26  3252</t>
  </si>
  <si>
    <t>SFMA GL balance 0586 325000-26  3252</t>
  </si>
  <si>
    <t>SFMA GL balance 1211 325000-26  3252</t>
  </si>
  <si>
    <t>SFMA GL balance 0060 325000-41  3252</t>
  </si>
  <si>
    <t>SFMA GL balance 0065 325000-41  3252</t>
  </si>
  <si>
    <t>SFMA GL balance 0070 325000-41  3252</t>
  </si>
  <si>
    <t>SFMA GL balance 0586 325000-41  3252</t>
  </si>
  <si>
    <t>SFMA GL balance 1211 325000-41  3252</t>
  </si>
  <si>
    <t>SFMA GL balance 0060 325000-42  3252</t>
  </si>
  <si>
    <t>SFMA GL balance 0065 325000-42  3252</t>
  </si>
  <si>
    <t>SFMA GL balance 0070 325000-42  3252</t>
  </si>
  <si>
    <t>SFMA GL balance 0586 325000-42  3252</t>
  </si>
  <si>
    <t>SFMA GL balance 1211 325000-42  3252</t>
  </si>
  <si>
    <t>PPC - WX</t>
  </si>
  <si>
    <t>Grant #325000-XX</t>
  </si>
  <si>
    <t>1105</t>
  </si>
  <si>
    <t>Other Revenue</t>
  </si>
  <si>
    <t>2011-13</t>
  </si>
  <si>
    <t>7/1/11 to</t>
  </si>
  <si>
    <t>7/1/11</t>
  </si>
  <si>
    <t>6/30/13</t>
  </si>
  <si>
    <t>06/30/13</t>
  </si>
  <si>
    <t>Admin</t>
  </si>
  <si>
    <t>Phase 26</t>
  </si>
  <si>
    <t>T&amp;TA Evaluation</t>
  </si>
  <si>
    <t>Accounts Receivable  (GL 0586)</t>
  </si>
  <si>
    <t>Biennium 11-13 Revenue recorded after June 30, 2013</t>
  </si>
  <si>
    <t>Biennium 11-13 Expenditures recorded after June 30, 2013</t>
  </si>
  <si>
    <t>Revenue:</t>
  </si>
  <si>
    <t>PGE (AOBJ 0143)</t>
  </si>
  <si>
    <t>Pacific Power (AOBJ 0143)</t>
  </si>
  <si>
    <t>Treasury Interest (AOBJ 0820)</t>
  </si>
  <si>
    <t xml:space="preserve">PPL or PGE program to PPL or PGE EE </t>
  </si>
  <si>
    <t>Phase 41</t>
  </si>
  <si>
    <t>ECHO PGE</t>
  </si>
  <si>
    <t xml:space="preserve">Total Actual Revenues </t>
  </si>
  <si>
    <t>Expenditures:</t>
  </si>
  <si>
    <t>Administration &amp; Training &amp; Technical Assistance</t>
  </si>
  <si>
    <t>Program Expenditures - CRD</t>
  </si>
  <si>
    <t>Total Actual Expeditures</t>
  </si>
  <si>
    <t>Phase 42</t>
  </si>
  <si>
    <t>ECHO PPL</t>
  </si>
  <si>
    <t>Phase 43</t>
  </si>
  <si>
    <t>Energy Ed PGE</t>
  </si>
  <si>
    <t>Phase 44</t>
  </si>
  <si>
    <t>Energy Ed PPL</t>
  </si>
  <si>
    <t xml:space="preserve"> </t>
  </si>
  <si>
    <t xml:space="preserve">  </t>
  </si>
  <si>
    <t>SFMA GL balance 0060 325000-43  3252</t>
  </si>
  <si>
    <t>SFMA GL balance 0065 325000-43  3252</t>
  </si>
  <si>
    <t>SFMA GL balance 0070 325000-43  3252</t>
  </si>
  <si>
    <t>SFMA GL balance 0586 325000-43  3252</t>
  </si>
  <si>
    <t>SFMA GL balance 1211 325000-43  3252</t>
  </si>
  <si>
    <t>SFMA GL balance 0060 325000-44  3252</t>
  </si>
  <si>
    <t>SFMA GL balance 0065 325000-44  3252</t>
  </si>
  <si>
    <t>SFMA GL balance 0070 325000-44  3252</t>
  </si>
  <si>
    <t>SFMA GL balance 0586 325000-44  3252</t>
  </si>
  <si>
    <t>SFMA GL balance 1211 325000-44  3252</t>
  </si>
  <si>
    <t>Phase 00</t>
  </si>
  <si>
    <t>ECHO PPC - WX</t>
  </si>
  <si>
    <t>ECHO Public Purpose Charge Weatherization</t>
  </si>
  <si>
    <t>Allocation</t>
  </si>
  <si>
    <t>Balance</t>
  </si>
  <si>
    <t>TOTAL PGE</t>
  </si>
  <si>
    <t>TOTAL PC</t>
  </si>
  <si>
    <t>TOTAL</t>
  </si>
  <si>
    <t>Total Remaining Balance</t>
  </si>
  <si>
    <t>Obligations</t>
  </si>
  <si>
    <t>PROGRAM STATEMENT</t>
  </si>
  <si>
    <t>PUBLIC PURPOSE CHARGES - ECHO - WX</t>
  </si>
  <si>
    <t>Revenues</t>
  </si>
  <si>
    <t>OHCS Admin</t>
  </si>
  <si>
    <t>ALL OTHER DIFFERENTIAL</t>
  </si>
  <si>
    <t>ATTORNEY GENERAL LEGAL FEES</t>
  </si>
  <si>
    <t>CLEARING ACCOUNT (TOTAL SHOULD BE ZERO)</t>
  </si>
  <si>
    <t>EMPLOYEE RELATIONS BOARD ASSESSMENTS</t>
  </si>
  <si>
    <t>EXPENDABLE PROPERTY NON-IT $250-$5000</t>
  </si>
  <si>
    <t>INSTATE GROUND TRANSPORTATION</t>
  </si>
  <si>
    <t>INSTATE LODGING</t>
  </si>
  <si>
    <t>INSTATE TRAVEL MISCELLANEOUS EXPENSES</t>
  </si>
  <si>
    <t>MASS TRANSIT TAX</t>
  </si>
  <si>
    <t>OFFICE SERVICES</t>
  </si>
  <si>
    <t>PAYROLL ALLOCATION: BENEFITS</t>
  </si>
  <si>
    <t>PAYROLL ALLOCATION: OVERTIME</t>
  </si>
  <si>
    <t>PAYROLL ALLOCATION: SALARY</t>
  </si>
  <si>
    <t>PENSION BOND ASSESSMENT</t>
  </si>
  <si>
    <t>PROFESSIONAL SERVICES NON-IT</t>
  </si>
  <si>
    <t>PUBLIC EMPLOYEE RETIREMENT CONTRIBUTION</t>
  </si>
  <si>
    <t>S&amp;S ALLOCATION: AGY PGM RELATED EXPENSES</t>
  </si>
  <si>
    <t>S&amp;S ALLOCATION: DUES &amp; SUBSCRIPTIONS</t>
  </si>
  <si>
    <t>S&amp;S ALLOCATION: EMPLOYEE TRAINING</t>
  </si>
  <si>
    <t>S&amp;S ALLOCATION: INSTATE TRAVEL</t>
  </si>
  <si>
    <t>S&amp;S ALLOCATION: IT EXPENDABLE PROPERTY</t>
  </si>
  <si>
    <t>S&amp;S ALLOCATION: IT PROFESSIONAL SERVICES</t>
  </si>
  <si>
    <t>S&amp;S ALLOCATION: OFFICE EXPENSES</t>
  </si>
  <si>
    <t>S&amp;S ALLOCATION: OTHER SERVICES &amp; SUPPLY</t>
  </si>
  <si>
    <t>S&amp;S ALLOCATION: OUT-OF-STATE TRAVEL</t>
  </si>
  <si>
    <t>S&amp;S ALLOCATION: RENT</t>
  </si>
  <si>
    <t>S&amp;S ALLOCATION: TELECOM/TECH SVCS&amp;SUPPLY</t>
  </si>
  <si>
    <t>SOCIAL SECURITY TAXES</t>
  </si>
  <si>
    <t>STATE GOVERNMENT SERVICE CHARGE</t>
  </si>
  <si>
    <t>TEMPORARY EMPLOYEES</t>
  </si>
  <si>
    <t>WORKERS' COMPENSATION ASSESSMENTS</t>
  </si>
  <si>
    <t>OHCS Admin - CAPO</t>
  </si>
  <si>
    <t>COMMUNITY ACTION PARTNERSHIP OF OREGON</t>
  </si>
  <si>
    <t>OHCS T/TA</t>
  </si>
  <si>
    <t xml:space="preserve">Subs T/TA </t>
  </si>
  <si>
    <t>COMMUNITY ACTION PROGRAM EAST CENTRAL OREGON</t>
  </si>
  <si>
    <t>COMMUNITY SERVICES CONSORTIUM</t>
  </si>
  <si>
    <t>COUNTY OF CLACKAMAS</t>
  </si>
  <si>
    <t>COUNTY OF MULTNOMAH</t>
  </si>
  <si>
    <t>MID COLUMBIA COMMUNITY ACTION COUNCIL</t>
  </si>
  <si>
    <t>NEIGHBORIMPACT</t>
  </si>
  <si>
    <t>OREGON COAST COMMUNITY ACTION</t>
  </si>
  <si>
    <t>UNITED COMMUNITY ACTION NETWORK</t>
  </si>
  <si>
    <t>YAMHILL COMMUNITY ACTION PARTNERSHIP INC</t>
  </si>
  <si>
    <t>Subs PGE Admin</t>
  </si>
  <si>
    <t>Subs PGE Program</t>
  </si>
  <si>
    <t>Subs PC Admin</t>
  </si>
  <si>
    <t>Subs PC Program</t>
  </si>
  <si>
    <t>Subs PC EE Admin</t>
  </si>
  <si>
    <t>Subs PGE EE Admin</t>
  </si>
  <si>
    <t>Subs PGE EE Program</t>
  </si>
  <si>
    <t>Subs PC EE Program</t>
  </si>
  <si>
    <t>Total Cash Available Actual/Projected</t>
  </si>
  <si>
    <t xml:space="preserve">Total  </t>
  </si>
  <si>
    <t>GRANT MANAGEMENT REPORT</t>
  </si>
  <si>
    <t>ECHO PUBLIC PURPOSE CHARGE WEATHERIZATION</t>
  </si>
  <si>
    <t>BALANCE TO ALLOCATE</t>
  </si>
  <si>
    <t>Cash Flow for Biennium 2015-17</t>
  </si>
  <si>
    <t>FY 2016</t>
  </si>
  <si>
    <t>FY 2017</t>
  </si>
  <si>
    <t>2015-17</t>
  </si>
  <si>
    <t>7/1/15 to</t>
  </si>
  <si>
    <t>06/30/17</t>
  </si>
  <si>
    <t>Cash Flow for Biennium 2017-19</t>
  </si>
  <si>
    <t>Cash Balance available  as of July 1, 2015</t>
  </si>
  <si>
    <t>Cash Balance as of July 1, 2015 (GL 0070 + 0065)</t>
  </si>
  <si>
    <t>Repayments &amp; Recoveries ( AOBJ 0560)</t>
  </si>
  <si>
    <t xml:space="preserve">Admin and T&amp;TA Transfer to EE &amp; Program </t>
  </si>
  <si>
    <t>Bi 13-15</t>
  </si>
  <si>
    <t>Bi 15-17</t>
  </si>
  <si>
    <t>0560</t>
  </si>
  <si>
    <t>Recoveries</t>
  </si>
  <si>
    <t>CASH BALANCE AS OF JULY 1, 2015</t>
  </si>
  <si>
    <t>TRANSFERS</t>
  </si>
  <si>
    <t>INTEREST</t>
  </si>
  <si>
    <t>REVENUES &amp; RECOVERIES</t>
  </si>
  <si>
    <t>Starting Balance - July 1, 2015</t>
  </si>
  <si>
    <t>Projected Through 6/30/17</t>
  </si>
  <si>
    <t>ECHO PC Admin</t>
  </si>
  <si>
    <t>ECHO PC Program</t>
  </si>
  <si>
    <t>ECHO PC T&amp;TA</t>
  </si>
  <si>
    <t xml:space="preserve">ECHO ADMIN Combined </t>
  </si>
  <si>
    <t xml:space="preserve">ECHO T&amp;TA </t>
  </si>
  <si>
    <t>ECHO PGE Admin</t>
  </si>
  <si>
    <t>ECHO PGE Program</t>
  </si>
  <si>
    <t>ECHO PGE T&amp;TA</t>
  </si>
  <si>
    <t>Grant:</t>
  </si>
  <si>
    <t>ECHO EE PCf</t>
  </si>
  <si>
    <t>Category:</t>
  </si>
  <si>
    <t>Admin Multi-Source</t>
  </si>
  <si>
    <t>Agency</t>
  </si>
  <si>
    <t>Grant Expenditure</t>
  </si>
  <si>
    <t>OHCS Paid</t>
  </si>
  <si>
    <r>
      <t>Remainin</t>
    </r>
    <r>
      <rPr>
        <b/>
        <sz val="9"/>
        <rFont val="Arial"/>
        <family val="2"/>
      </rPr>
      <t>g</t>
    </r>
  </si>
  <si>
    <t>Expended</t>
  </si>
  <si>
    <t>Cash</t>
  </si>
  <si>
    <t>%</t>
  </si>
  <si>
    <t>Period</t>
  </si>
  <si>
    <t>NOA</t>
  </si>
  <si>
    <t>To Date</t>
  </si>
  <si>
    <t>07/01/2013</t>
  </si>
  <si>
    <t>-</t>
  </si>
  <si>
    <t>06/30/2015</t>
  </si>
  <si>
    <t>Program Multi-Source</t>
  </si>
  <si>
    <t>Total ECHO EE PCf:</t>
  </si>
  <si>
    <t>ECHO EE PGEf</t>
  </si>
  <si>
    <t>Total ECHO EE PGEf:</t>
  </si>
  <si>
    <t>ECHO WX ADMINf</t>
  </si>
  <si>
    <t>Total ECHO WX ADMINf:</t>
  </si>
  <si>
    <t>ECHO WX PC TTAf</t>
  </si>
  <si>
    <t>T&amp;TA</t>
  </si>
  <si>
    <t>Total ECHO WX PC TTAf:</t>
  </si>
  <si>
    <t>ECHO WX PCf</t>
  </si>
  <si>
    <t>Program</t>
  </si>
  <si>
    <t>Total ECHO WX PCf:</t>
  </si>
  <si>
    <t>ECHO WX PGEf</t>
  </si>
  <si>
    <t>Total ECHO WX PGEf:</t>
  </si>
  <si>
    <t>ECHO WX PGETTAf</t>
  </si>
  <si>
    <t>Total ECHO WX PGETTAf:</t>
  </si>
  <si>
    <t>ECHO WX T&amp;TAf</t>
  </si>
  <si>
    <t>Total ECHO WX T&amp;TAf:</t>
  </si>
  <si>
    <t>As of 6/30/2015</t>
  </si>
  <si>
    <t>ECHO EE PCa</t>
  </si>
  <si>
    <t>07/01/2011</t>
  </si>
  <si>
    <t>06/30/2013</t>
  </si>
  <si>
    <t>Total ECHO EE PCa:</t>
  </si>
  <si>
    <t>ECHO EE PGEa</t>
  </si>
  <si>
    <t>Total ECHO EE PGEa:</t>
  </si>
  <si>
    <t>ECHO WX ADMINa</t>
  </si>
  <si>
    <t>Total ECHO WX ADMINa:</t>
  </si>
  <si>
    <t>ECHO WX PC TTAa</t>
  </si>
  <si>
    <t>Total ECHO WX PC TTAa:</t>
  </si>
  <si>
    <t>ECHO WX PCa</t>
  </si>
  <si>
    <t>Total ECHO WX PCa:</t>
  </si>
  <si>
    <t>ECHO WX PGEa</t>
  </si>
  <si>
    <t>Total ECHO WX PGEa:</t>
  </si>
  <si>
    <t>ECHO WX T&amp;TAa</t>
  </si>
  <si>
    <t>Total ECHO WX T&amp;TAa:</t>
  </si>
  <si>
    <t>ECHO WXPGE TTAa</t>
  </si>
  <si>
    <t>Total ECHO WXPGE TTAa:</t>
  </si>
  <si>
    <t>Bi 11-13</t>
  </si>
  <si>
    <t>As of 6/30/2013</t>
  </si>
  <si>
    <t>PGE</t>
  </si>
  <si>
    <t xml:space="preserve">     OHCS Admin</t>
  </si>
  <si>
    <t xml:space="preserve">     CAPO</t>
  </si>
  <si>
    <t xml:space="preserve">     OHCS Total Admin</t>
  </si>
  <si>
    <t xml:space="preserve">     OHCS T&amp;TA</t>
  </si>
  <si>
    <t xml:space="preserve">     Subs Admin</t>
  </si>
  <si>
    <t xml:space="preserve">     Subs EE Admin</t>
  </si>
  <si>
    <t xml:space="preserve">     Total Subs Admin</t>
  </si>
  <si>
    <t xml:space="preserve">     Subs T&amp;TA</t>
  </si>
  <si>
    <t xml:space="preserve">     Subs Program</t>
  </si>
  <si>
    <t xml:space="preserve">     Subs EE Program</t>
  </si>
  <si>
    <t xml:space="preserve">     Total Subs Program</t>
  </si>
  <si>
    <t xml:space="preserve">     PC - Public Purpose Charge</t>
  </si>
  <si>
    <t xml:space="preserve">     Recoveries</t>
  </si>
  <si>
    <t xml:space="preserve">     Interest</t>
  </si>
  <si>
    <t>CASH BALANCE AS OF JULY 1, 2013</t>
  </si>
  <si>
    <t>PROGRAM FUNDS EXPENDED TO DATE AT 06/30/15</t>
  </si>
  <si>
    <t xml:space="preserve">     CAPO T&amp;TA</t>
  </si>
  <si>
    <t xml:space="preserve">     Total OHCS T&amp;TA</t>
  </si>
  <si>
    <t>PC</t>
  </si>
  <si>
    <t>CASH BALANCE AS OF JULY 1, 2011</t>
  </si>
  <si>
    <t>PROGRAM FUNDS EXPENDED TO DATE AT 06/30/13</t>
  </si>
  <si>
    <t>Clackamas</t>
  </si>
  <si>
    <t>Washington</t>
  </si>
  <si>
    <t>Multnomah</t>
  </si>
  <si>
    <t>Marion, Polk</t>
  </si>
  <si>
    <t>Yamhill</t>
  </si>
  <si>
    <t>Jackson</t>
  </si>
  <si>
    <t>Benton, Linn, Lincoln</t>
  </si>
  <si>
    <t>Lane</t>
  </si>
  <si>
    <t>Klamath, Lake</t>
  </si>
  <si>
    <t>Coos</t>
  </si>
  <si>
    <t>Douglas, Josephine</t>
  </si>
  <si>
    <t>Clatsop, Tillamook</t>
  </si>
  <si>
    <t>Wallowa</t>
  </si>
  <si>
    <t>Hood River, Sherman, Wasco</t>
  </si>
  <si>
    <t>Gilliam, Morrow, Umatilla</t>
  </si>
  <si>
    <t>Crook, Deschutes, Jefferson</t>
  </si>
  <si>
    <t xml:space="preserve">     PGE - Public Purpose Charge</t>
  </si>
  <si>
    <t>Combined</t>
  </si>
  <si>
    <t>REVENUES</t>
  </si>
  <si>
    <t>ENDING CASH BALANCE</t>
  </si>
  <si>
    <t>COMMITTED BUT NOT DISBURSED</t>
  </si>
  <si>
    <t>UNCOMMITTED CASH BALANCE</t>
  </si>
  <si>
    <t>11-13 BIENNIUM</t>
  </si>
  <si>
    <t>TRANSFER TO MULTIFAMILY WEATHERIZATION</t>
  </si>
  <si>
    <t>13-15 BIENNIUM</t>
  </si>
  <si>
    <t xml:space="preserve">     CAPO Program</t>
  </si>
  <si>
    <t>09-11 BIENNIUM</t>
  </si>
  <si>
    <t>CASH BALANCE AS OF JULY 1, 2009</t>
  </si>
  <si>
    <t>PROGRAM FUNDS EXPENDED TO DATE AT 06/30/11</t>
  </si>
  <si>
    <t>Actual Revenue and Expenditure through 10/31/15 with Obligations</t>
  </si>
  <si>
    <t>July 1, 2015 through October 31, 2015</t>
  </si>
  <si>
    <t>Cash Balance at October 31, 2015</t>
  </si>
  <si>
    <t>CRD Allocated but not Expended at 10/31/15</t>
  </si>
  <si>
    <t>Unobligated Cash Available as of 10/31/15</t>
  </si>
  <si>
    <t>Updated cew 11/24/15</t>
  </si>
  <si>
    <t>ACCESS INC</t>
  </si>
  <si>
    <t>COMMUNITY ACTION TEAM INC</t>
  </si>
  <si>
    <t>COMMUNITY CONNECTION OF NE OREGON INC</t>
  </si>
  <si>
    <t>MID WILLAMETTE VALLEY COMMUNITY ACTION AGENCY INC</t>
  </si>
  <si>
    <t>COMMUNITY ACTION ORGANIZATION</t>
  </si>
  <si>
    <t>COUNTY OF LANE</t>
  </si>
  <si>
    <t>OREGON HUMAN DEVELOPMENT CORPORATION II</t>
  </si>
  <si>
    <t>FACILITIES MAINTENANCE</t>
  </si>
  <si>
    <t>INSTATE MEALS WITH OVERNIGHT STAY</t>
  </si>
  <si>
    <t>INSTATE MILEAGE REIMBURSEMENT-FULL RATE</t>
  </si>
  <si>
    <t>OUT-OF-STATE AIR TRANSPORTATION</t>
  </si>
  <si>
    <t>OUT-OF-STATE MEALS WITH OVERNIGHT STAY</t>
  </si>
  <si>
    <t>OUT-OF-STATE TRAVEL MISC EXPENSE</t>
  </si>
  <si>
    <t>TRAINING, EDUCATION OR INSTRUCTION SRVC</t>
  </si>
  <si>
    <t>UNEMPLOYMENT COMPENSATION &amp; ASSESSMENT</t>
  </si>
  <si>
    <t>COMPUTER TECHNOLOGY PC SOFTWARE &lt;$5000</t>
  </si>
  <si>
    <t xml:space="preserve">ECHO  </t>
  </si>
  <si>
    <t xml:space="preserve"> PGE</t>
  </si>
  <si>
    <t>ADMIN</t>
  </si>
  <si>
    <t xml:space="preserve">ECHO </t>
  </si>
  <si>
    <t>ENERGY ED</t>
  </si>
  <si>
    <t>TOTALS</t>
  </si>
  <si>
    <t>ECHO EE PC</t>
  </si>
  <si>
    <t>07/01/2015</t>
  </si>
  <si>
    <t>06/30/2017</t>
  </si>
  <si>
    <t>CCNO</t>
  </si>
  <si>
    <t>LCHSD</t>
  </si>
  <si>
    <t>Total ECHO EE PC:</t>
  </si>
  <si>
    <t>ECHO EE PGE</t>
  </si>
  <si>
    <t>Total ECHO EE PGE:</t>
  </si>
  <si>
    <t>ECHO WX ADMIN</t>
  </si>
  <si>
    <t>Total ECHO WX ADMIN:</t>
  </si>
  <si>
    <t>ECHO WX PC</t>
  </si>
  <si>
    <t>Total ECHO WX PC:</t>
  </si>
  <si>
    <t>ECHO WX PC TTA</t>
  </si>
  <si>
    <t>Total ECHO WX PC TTA:</t>
  </si>
  <si>
    <t>ECHO WX PGE</t>
  </si>
  <si>
    <t>Total ECHO WX PGE:</t>
  </si>
  <si>
    <t>ECHO WX PGETTA</t>
  </si>
  <si>
    <t>Total ECHO WX PGETTA:</t>
  </si>
  <si>
    <t>ECHO WX T&amp;TA</t>
  </si>
  <si>
    <t>Total ECHO WX T&amp;TA:</t>
  </si>
  <si>
    <t>As of 12/31/2015</t>
  </si>
  <si>
    <t>MEDICAL, DENTAL, LIFE INSURANCE</t>
  </si>
  <si>
    <t>OFFICE SUPPLIES</t>
  </si>
  <si>
    <t>PROF DEV INSTATE TUITION/REGISTRATION</t>
  </si>
  <si>
    <t>PROFESSIONAL SERVICES/TELECONFERENCE</t>
  </si>
  <si>
    <t>REGULAR EMPLOYEES</t>
  </si>
  <si>
    <t>S&amp;S ALLOCATION: COMPUTER TECHNOLOGY</t>
  </si>
  <si>
    <t>OUT OF STATE LODGING</t>
  </si>
  <si>
    <t>PROF DEV OUT-OF-STATE TUITION &amp; REGIST.</t>
  </si>
  <si>
    <t>Subs TTA Committed but Not Disbursed</t>
  </si>
  <si>
    <t>Subs PGE Admin Committed but Not Disbursed</t>
  </si>
  <si>
    <t>Subs PGE Program Committed but Not Disbursed</t>
  </si>
  <si>
    <t>Subs PC Admin Committed but Not Disbursed</t>
  </si>
  <si>
    <t>Subs PC Program Committed but Not Disbursed</t>
  </si>
  <si>
    <t>Subs PGE EE Admin Committed but Not Disbursed</t>
  </si>
  <si>
    <t>Subs PC EE Admin Committed but Not Disbursed</t>
  </si>
  <si>
    <t>Committed through 06/30/17</t>
  </si>
  <si>
    <t>Starting Balance -  July 1, 2015</t>
  </si>
  <si>
    <t>Revenues:</t>
  </si>
  <si>
    <t>Miscellaneous Income</t>
  </si>
  <si>
    <t>PAC</t>
  </si>
  <si>
    <t>Subs Admin</t>
  </si>
  <si>
    <t>Subs EE Admin</t>
  </si>
  <si>
    <t>EE Program</t>
  </si>
  <si>
    <t xml:space="preserve">     Total  Program</t>
  </si>
  <si>
    <t>Program Statement</t>
  </si>
  <si>
    <t>Energy Conservation Helping Oregonians</t>
  </si>
  <si>
    <t>Funded through Public Purpose Charge - Weatherization</t>
  </si>
  <si>
    <t>Starting Balance - July 1, 2009</t>
  </si>
  <si>
    <t>Treasury interest</t>
  </si>
  <si>
    <t>Transfers</t>
  </si>
  <si>
    <t>OHCS Total Admin</t>
  </si>
  <si>
    <t>OHCS T&amp;TA</t>
  </si>
  <si>
    <t>CAPO T&amp;TA</t>
  </si>
  <si>
    <t>CAPO Program</t>
  </si>
  <si>
    <t>OHCS Total T&amp;TA</t>
  </si>
  <si>
    <t>Subs Total Admin</t>
  </si>
  <si>
    <t>Subs T&amp;TA</t>
  </si>
  <si>
    <t xml:space="preserve">Program </t>
  </si>
  <si>
    <t xml:space="preserve">EE Program </t>
  </si>
  <si>
    <t xml:space="preserve">Total Program </t>
  </si>
  <si>
    <t>Cash Balance at June 30, 2011</t>
  </si>
  <si>
    <t>Allocated but not Expended at June 30, 2011</t>
  </si>
  <si>
    <t>Unobligated Cash Balance at June 30, 2011</t>
  </si>
  <si>
    <t>Starting Balance - July 1, 2011</t>
  </si>
  <si>
    <t>Total Program</t>
  </si>
  <si>
    <t>Cash Balance at June 30, 2013</t>
  </si>
  <si>
    <t>Allocated but not Expended at June 30, 2013</t>
  </si>
  <si>
    <t>Unobligated Cash Balance at June 30, 2013</t>
  </si>
  <si>
    <t>Starting Balance - July 1, 2013</t>
  </si>
  <si>
    <t>Cash Balance at June 30, 2015</t>
  </si>
  <si>
    <t>Allocated but not Expended at June 30, 2015</t>
  </si>
  <si>
    <t>Unobligated Cash Balance at June 30, 2015</t>
  </si>
  <si>
    <t>SFMA</t>
  </si>
  <si>
    <t>Variance</t>
  </si>
  <si>
    <t>OTHER SUPPLIES</t>
  </si>
  <si>
    <t>S&amp;S ALLOCATION: EMPLOYEE RECRUITMENT</t>
  </si>
  <si>
    <t>SPONSORSHIPS</t>
  </si>
  <si>
    <t>Rules and Comments:</t>
  </si>
  <si>
    <t xml:space="preserve">Provide conservation services, health and safety repairs, heating system repair and replacement, base-load measures and energy education to households at or below 60 percent state median income. </t>
  </si>
  <si>
    <t>Services are provided exclusively to customers of Portland General Electric and Pacific Power.</t>
  </si>
  <si>
    <t xml:space="preserve">Fees collected on PGE &amp; PacificCorp customer utility bills </t>
  </si>
  <si>
    <t>Allocation Methodology:</t>
  </si>
  <si>
    <t>Funds are allocated by formula based on the number of residential utility meters in subgrantee service territory.</t>
  </si>
  <si>
    <t>Allocated to Community Action Agencies through the MGA.</t>
  </si>
  <si>
    <t>Admin/Program allocated quarterly – Energy Education &amp; T&amp;TA allocated annually.</t>
  </si>
  <si>
    <t>S&amp;S ALLOCATION: PUBLICITY &amp; PUBLICATIONS</t>
  </si>
  <si>
    <t>TOTAL GRANT/REVENUE AVAILABLE</t>
  </si>
  <si>
    <t>TOTAL AMOUNT ALLOCATED</t>
  </si>
  <si>
    <t>EXPENDED TO DATE</t>
  </si>
  <si>
    <t>BALANCE TO EXPEND</t>
  </si>
  <si>
    <t>ALLOCATED BUT NOT EXPENDED</t>
  </si>
  <si>
    <t>% OF ADMIN EXPENDED TO DATE</t>
  </si>
  <si>
    <t>% OF BALANCE AVAILABLE TO EXPEND</t>
  </si>
  <si>
    <t>COMPUTER TECHNOLOGY PC EQUIPMENT &lt;$5000</t>
  </si>
  <si>
    <t>INSTATE MILEAGE REIMBURSMNT-REDUCED RATE</t>
  </si>
  <si>
    <t>OUT-OF-STATE MILEAGE REIMB-REDUCED RATE</t>
  </si>
  <si>
    <t>Projected Cash Balance as of 06/30/17</t>
  </si>
  <si>
    <t>COMPUTER TECHNOLOGY PERIPHERAL EQUIP&lt;$5K</t>
  </si>
  <si>
    <t>ADVERTISING AND PUBLICITY</t>
  </si>
  <si>
    <t>OUT-OF-STATE GROUND TRANSPORTATION</t>
  </si>
  <si>
    <t>DUES/MEMBERSHIPS</t>
  </si>
  <si>
    <t>OPE (PAYROLL ALLOCATION ONLY: TOTAL = 0)</t>
  </si>
  <si>
    <t>SALARY+ (PAYROLL ALLOC ONLY: TOTAL = 0)</t>
  </si>
  <si>
    <t>DAS Fee for TRC (MF WX agreement) negotiation</t>
  </si>
  <si>
    <t>OHCS Admin - CAPO &amp; DAS Fee</t>
  </si>
  <si>
    <t>Cash Balance at June 30, 2017</t>
  </si>
  <si>
    <t xml:space="preserve">  Allocated but not Expended at June 30, 2017</t>
  </si>
  <si>
    <t>Unobligated Cash Balance at June 30, 2017</t>
  </si>
  <si>
    <t>JULY 1, 2015 THROUGH JUNE 30, 2017</t>
  </si>
  <si>
    <t>Allocated but not Expended at June 30, 2017</t>
  </si>
  <si>
    <t>AS OF JUNE 30th, 2017</t>
  </si>
  <si>
    <t>Actuals   7/1/15 thru 06/30/17</t>
  </si>
  <si>
    <t>Total Cash Available at 06/30/17</t>
  </si>
  <si>
    <t>Unobligated Cash Available at 06/30/17</t>
  </si>
  <si>
    <t>Starting Balance - July 1, 2017</t>
  </si>
  <si>
    <t>ECHO 18 WX PC</t>
  </si>
  <si>
    <t>07/01/2017</t>
  </si>
  <si>
    <t>06/30/2018</t>
  </si>
  <si>
    <t>Total ECHO 18 WX PC:</t>
  </si>
  <si>
    <t>ECHO 18 WX PGE</t>
  </si>
  <si>
    <t>Total ECHO 18 WX PGE:</t>
  </si>
  <si>
    <t>CASH BALANCE AS OF JULY 1, 2017</t>
  </si>
  <si>
    <t>FY 2018</t>
  </si>
  <si>
    <t>FY 2019</t>
  </si>
  <si>
    <t>2017-19</t>
  </si>
  <si>
    <t>7/1/17 to</t>
  </si>
  <si>
    <t>06/30/19</t>
  </si>
  <si>
    <t>Projected Through 6/30/19</t>
  </si>
  <si>
    <t>Committed through 06/30/19</t>
  </si>
  <si>
    <t>TELECOM/TELECONFERENCE EQUIPMENT &lt;$5000</t>
  </si>
  <si>
    <t>Projected Cash Balance as of 06/30/19</t>
  </si>
  <si>
    <t>ECHO 18 EE PC</t>
  </si>
  <si>
    <t>Total ECHO 18 EE PC:</t>
  </si>
  <si>
    <t>ECHO 18 WX TTA</t>
  </si>
  <si>
    <t>Total ECHO 18 WX TTA:</t>
  </si>
  <si>
    <t>ECHO 18WX ADMIN</t>
  </si>
  <si>
    <t>Total ECHO 18WX ADMIN:</t>
  </si>
  <si>
    <t>ECHO 18WXPC TTA</t>
  </si>
  <si>
    <t>Total ECHO 18WXPC TTA:</t>
  </si>
  <si>
    <t>ECHO 18WXPGETTA</t>
  </si>
  <si>
    <t>Total ECHO 18WXPGETTA:</t>
  </si>
  <si>
    <r>
      <t xml:space="preserve">Grant Expenditure
</t>
    </r>
    <r>
      <rPr>
        <b/>
        <u val="single"/>
        <sz val="9"/>
        <rFont val="Arial"/>
        <family val="2"/>
      </rPr>
      <t>Period</t>
    </r>
  </si>
  <si>
    <r>
      <t xml:space="preserve">Total
</t>
    </r>
    <r>
      <rPr>
        <b/>
        <u val="single"/>
        <sz val="9"/>
        <rFont val="Arial"/>
        <family val="2"/>
      </rPr>
      <t>NOA</t>
    </r>
  </si>
  <si>
    <r>
      <t xml:space="preserve">OHCS Paid
</t>
    </r>
    <r>
      <rPr>
        <b/>
        <u val="single"/>
        <sz val="9"/>
        <rFont val="Arial"/>
        <family val="2"/>
      </rPr>
      <t>To Date</t>
    </r>
  </si>
  <si>
    <r>
      <t>Remainin</t>
    </r>
    <r>
      <rPr>
        <b/>
        <sz val="9"/>
        <rFont val="Arial"/>
        <family val="2"/>
      </rPr>
      <t>g</t>
    </r>
  </si>
  <si>
    <t>ECHO 18 EE PGE</t>
  </si>
  <si>
    <t>Total ECHO 18 EE PGE:</t>
  </si>
  <si>
    <t>PERS CONTRIBUTION - PICK-UP</t>
  </si>
  <si>
    <t>PERS CONTRIBUTION - RHIA</t>
  </si>
  <si>
    <t>PERS CONTRIBUTION - RHIPA</t>
  </si>
  <si>
    <t>TELECOM/INSTALLATION SERVICES &gt; $5000</t>
  </si>
  <si>
    <t>Subs PGE EE Program Committed but Not Disbursed</t>
  </si>
  <si>
    <t>Subs PC EE Program Committed but Not Disbursed</t>
  </si>
  <si>
    <t>Public Purpose Charge - Admin PAC</t>
  </si>
  <si>
    <t>Public Purpose Charge - Admin PGE</t>
  </si>
  <si>
    <t>Public Purpose Charge - TTA PAC</t>
  </si>
  <si>
    <t>Public Purpose Charge - TTA PGE</t>
  </si>
  <si>
    <t>Public Purpose Charge - Subs prog PAC</t>
  </si>
  <si>
    <t>Public Purpose Charge - Subs prog PGE</t>
  </si>
  <si>
    <t>as of 12/31/2017</t>
  </si>
  <si>
    <t>TELECOM/VOICE EQUIPMENT &lt;$5000</t>
  </si>
  <si>
    <t>EMPLOYEE RECRUIT,WELLNESS,SAFETY,AWARDS</t>
  </si>
  <si>
    <t>OUT-OF-STATE MILEAGE REIMBRSMT-FULL RATE</t>
  </si>
  <si>
    <t>Unallocated/(overallocated at 6/30/17</t>
  </si>
  <si>
    <t xml:space="preserve">  OHCS Admin</t>
  </si>
  <si>
    <t xml:space="preserve">  OHCS TTA</t>
  </si>
  <si>
    <t xml:space="preserve">  PGE</t>
  </si>
  <si>
    <t xml:space="preserve">  PAC</t>
  </si>
  <si>
    <t xml:space="preserve">  Prior Bienium Expense</t>
  </si>
  <si>
    <t xml:space="preserve">  Roll Forwards (&gt;6 months available)</t>
  </si>
  <si>
    <t xml:space="preserve">  Deallocated at 6/30/17</t>
  </si>
  <si>
    <t xml:space="preserve">  Roll Forwards (&lt;6 months available)</t>
  </si>
  <si>
    <t>Total Resources</t>
  </si>
  <si>
    <t>Miscellaneous Income &amp; Deallocations</t>
  </si>
  <si>
    <r>
      <t>Remainin</t>
    </r>
    <r>
      <rPr>
        <b/>
        <sz val="9"/>
        <rFont val="Arial"/>
        <family val="0"/>
      </rPr>
      <t>g</t>
    </r>
  </si>
  <si>
    <t>AS OF JUNE 30th, 2018</t>
  </si>
  <si>
    <t>Actuals   7/1/17 thru 06/30/18</t>
  </si>
  <si>
    <t>Total Cash Available at 06/30/18</t>
  </si>
  <si>
    <t>Unobligated Cash Available at 06/30/18</t>
  </si>
  <si>
    <t>July 1, 2009 through June 30, 2018</t>
  </si>
  <si>
    <t>Cash Balance at June 30, 2018</t>
  </si>
  <si>
    <t xml:space="preserve">  Allocated but not Expended at June 30, 2018</t>
  </si>
  <si>
    <t>Unobligated Cash Balance at June 30, 2018</t>
  </si>
  <si>
    <t>Allocated but not Expended at June 30, 2018</t>
  </si>
  <si>
    <t xml:space="preserve">July 1, 2009 through June 30, 2018 </t>
  </si>
  <si>
    <t>JULY 1, 2017 THROUGH JUNE 30th, 2018</t>
  </si>
  <si>
    <t>06/30/18</t>
  </si>
  <si>
    <t>07/01/18</t>
  </si>
  <si>
    <t>COLLECTION FEES - DOR</t>
  </si>
  <si>
    <t>x</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</si>
</sst>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_);\(0.00\)"/>
    <numFmt numFmtId="166" formatCode="#,##0.00;\-#,##0.00;0.00"/>
  </numFmts>
  <fonts count="66">
    <font>
      <sz val="8"/>
      <name val="MS Sans Serif"/>
      <family val="0"/>
    </font>
    <font>
      <sz val="8"/>
      <color indexed="8"/>
      <name val="Arial"/>
      <family val="2"/>
    </font>
    <font>
      <sz val="10"/>
      <name val="Arial"/>
      <family val="2"/>
    </font>
    <font>
      <b/>
      <sz val="18"/>
      <name val="Arial"/>
      <family val="2"/>
    </font>
    <font>
      <b/>
      <sz val="12"/>
      <name val="Arial"/>
      <family val="2"/>
    </font>
    <font>
      <sz val="12"/>
      <name val="Arial"/>
      <family val="2"/>
    </font>
    <font>
      <sz val="12"/>
      <color indexed="8"/>
      <name val="Arial"/>
      <family val="2"/>
    </font>
    <font>
      <sz val="9"/>
      <name val="Arial"/>
      <family val="2"/>
    </font>
    <font>
      <b/>
      <sz val="10"/>
      <name val="Arial"/>
      <family val="2"/>
    </font>
    <font>
      <b/>
      <u val="single"/>
      <sz val="10"/>
      <name val="Arial"/>
      <family val="2"/>
    </font>
    <font>
      <sz val="8"/>
      <name val="Arial"/>
      <family val="2"/>
    </font>
    <font>
      <sz val="12"/>
      <color indexed="55"/>
      <name val="Arial"/>
      <family val="2"/>
    </font>
    <font>
      <sz val="10"/>
      <name val="MS Sans Serif"/>
      <family val="2"/>
    </font>
    <font>
      <b/>
      <sz val="10"/>
      <name val="MS Sans Serif"/>
      <family val="2"/>
    </font>
    <font>
      <b/>
      <sz val="9"/>
      <name val="Arial"/>
      <family val="2"/>
    </font>
    <font>
      <b/>
      <sz val="8"/>
      <name val="MS Sans Serif"/>
      <family val="2"/>
    </font>
    <font>
      <sz val="9"/>
      <name val="Microsoft Sans Serif"/>
      <family val="2"/>
    </font>
    <font>
      <sz val="8"/>
      <color indexed="10"/>
      <name val="MS Sans Serif"/>
      <family val="2"/>
    </font>
    <font>
      <b/>
      <sz val="8"/>
      <name val="Arial"/>
      <family val="2"/>
    </font>
    <font>
      <b/>
      <sz val="8"/>
      <name val="Tahoma"/>
      <family val="2"/>
    </font>
    <font>
      <sz val="8"/>
      <name val="Tahoma"/>
      <family val="2"/>
    </font>
    <font>
      <i/>
      <sz val="8"/>
      <name val="Arial"/>
      <family val="2"/>
    </font>
    <font>
      <sz val="12"/>
      <color indexed="10"/>
      <name val="Arial"/>
      <family val="2"/>
    </font>
    <font>
      <b/>
      <u val="single"/>
      <sz val="9"/>
      <name val="Arial"/>
      <family val="2"/>
    </font>
    <font>
      <sz val="9"/>
      <name val="Tahoma"/>
      <family val="2"/>
    </font>
    <font>
      <b/>
      <sz val="9"/>
      <name val="Tahoma"/>
      <family val="2"/>
    </font>
    <font>
      <sz val="8"/>
      <color indexed="10"/>
      <name val="Arial"/>
      <family val="2"/>
    </font>
    <font>
      <b/>
      <u val="single"/>
      <sz val="9"/>
      <color indexed="8"/>
      <name val="Arial"/>
      <family val="2"/>
    </font>
    <font>
      <sz val="9"/>
      <color indexed="8"/>
      <name val="Arial"/>
      <family val="2"/>
    </font>
    <font>
      <b/>
      <sz val="9"/>
      <color indexed="8"/>
      <name val="Arial"/>
      <family val="2"/>
    </font>
    <font>
      <b/>
      <sz val="8"/>
      <color indexed="8"/>
      <name val="Arial"/>
      <family val="2"/>
    </font>
    <font>
      <sz val="8"/>
      <name val="Microsoft Sans Serif"/>
      <family val="2"/>
    </font>
    <font>
      <sz val="18"/>
      <color indexed="56"/>
      <name val="Cambria"/>
      <family val="2"/>
    </font>
    <font>
      <b/>
      <sz val="11"/>
      <color indexed="56"/>
      <name val="Arial"/>
      <family val="2"/>
    </font>
    <font>
      <sz val="8"/>
      <color indexed="17"/>
      <name val="Arial"/>
      <family val="2"/>
    </font>
    <font>
      <sz val="8"/>
      <color indexed="20"/>
      <name val="Arial"/>
      <family val="2"/>
    </font>
    <font>
      <sz val="8"/>
      <color indexed="60"/>
      <name val="Arial"/>
      <family val="2"/>
    </font>
    <font>
      <sz val="8"/>
      <color indexed="62"/>
      <name val="Arial"/>
      <family val="2"/>
    </font>
    <font>
      <b/>
      <sz val="8"/>
      <color indexed="63"/>
      <name val="Arial"/>
      <family val="2"/>
    </font>
    <font>
      <b/>
      <sz val="8"/>
      <color indexed="52"/>
      <name val="Arial"/>
      <family val="2"/>
    </font>
    <font>
      <sz val="8"/>
      <color indexed="52"/>
      <name val="Arial"/>
      <family val="2"/>
    </font>
    <font>
      <b/>
      <sz val="8"/>
      <color indexed="9"/>
      <name val="Arial"/>
      <family val="2"/>
    </font>
    <font>
      <i/>
      <sz val="8"/>
      <color indexed="23"/>
      <name val="Arial"/>
      <family val="2"/>
    </font>
    <font>
      <sz val="8"/>
      <color indexed="9"/>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sz val="18"/>
      <color theme="3"/>
      <name val="Cambria"/>
      <family val="2"/>
    </font>
    <font>
      <sz val="8"/>
      <color rgb="FFFF0000"/>
      <name val="Arial"/>
      <family val="2"/>
    </font>
    <font>
      <sz val="12"/>
      <color theme="0" tint="-0.24997000396251678"/>
      <name val="Arial"/>
      <family val="2"/>
    </font>
    <font>
      <sz val="8"/>
      <color rgb="FFFF0000"/>
      <name val="MS Sans Serif"/>
      <family val="2"/>
    </font>
    <font>
      <sz val="12"/>
      <color rgb="FFFF0000"/>
      <name val="Arial"/>
      <family val="2"/>
    </font>
    <font>
      <b/>
      <sz val="8"/>
      <color rgb="FF000000"/>
      <name val="Arial"/>
      <family val="2"/>
    </font>
    <font>
      <b/>
      <sz val="9"/>
      <color rgb="FF000000"/>
      <name val="Arial"/>
      <family val="2"/>
    </font>
    <font>
      <sz val="8"/>
      <color rgb="FF000000"/>
      <name val="Arial"/>
      <family val="2"/>
    </font>
    <font>
      <sz val="9"/>
      <color rgb="FF000000"/>
      <name val="Arial"/>
      <family val="2"/>
    </font>
    <font>
      <b/>
      <u val="single"/>
      <sz val="9"/>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CFFCC"/>
        <bgColor indexed="64"/>
      </patternFill>
    </fill>
    <fill>
      <patternFill patternType="solid">
        <fgColor indexed="41"/>
        <bgColor indexed="64"/>
      </patternFill>
    </fill>
    <fill>
      <patternFill patternType="solid">
        <fgColor rgb="FFFFFF99"/>
        <bgColor indexed="64"/>
      </patternFill>
    </fill>
    <fill>
      <patternFill patternType="solid">
        <fgColor rgb="FF92D05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8"/>
      </top>
      <bottom/>
    </border>
    <border>
      <left/>
      <right/>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style="thin"/>
      <right/>
      <top/>
      <bottom/>
    </border>
    <border>
      <left/>
      <right/>
      <top style="thin"/>
      <bottom style="double"/>
    </border>
    <border>
      <left/>
      <right/>
      <top style="double"/>
      <bottom/>
    </border>
    <border>
      <left/>
      <right/>
      <top/>
      <bottom style="double"/>
    </border>
    <border>
      <left/>
      <right/>
      <top/>
      <bottom style="medium"/>
    </border>
  </borders>
  <cellStyleXfs count="70">
    <xf numFmtId="0" fontId="0" fillId="0" borderId="0">
      <alignment vertical="top"/>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0" fontId="49" fillId="0" borderId="0" applyNumberFormat="0" applyFill="0" applyBorder="0" applyAlignment="0" applyProtection="0"/>
    <xf numFmtId="2" fontId="2" fillId="0" borderId="0" applyFont="0" applyFill="0" applyBorder="0" applyAlignment="0" applyProtection="0"/>
    <xf numFmtId="0" fontId="50"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4" applyNumberFormat="0" applyFill="0" applyAlignment="0" applyProtection="0"/>
    <xf numFmtId="0" fontId="54" fillId="31" borderId="0" applyNumberFormat="0" applyBorder="0" applyAlignment="0" applyProtection="0"/>
    <xf numFmtId="0" fontId="16" fillId="0" borderId="0">
      <alignment/>
      <protection/>
    </xf>
    <xf numFmtId="0" fontId="31" fillId="0" borderId="0">
      <alignment/>
      <protection/>
    </xf>
    <xf numFmtId="0" fontId="31" fillId="0" borderId="0">
      <alignment/>
      <protection/>
    </xf>
    <xf numFmtId="43" fontId="2" fillId="0" borderId="0" applyNumberFormat="0">
      <alignment vertical="top"/>
      <protection/>
    </xf>
    <xf numFmtId="0" fontId="2" fillId="0" borderId="0">
      <alignment vertical="top"/>
      <protection/>
    </xf>
    <xf numFmtId="0" fontId="0" fillId="32" borderId="5" applyNumberFormat="0" applyFont="0" applyAlignment="0" applyProtection="0"/>
    <xf numFmtId="0" fontId="55" fillId="27" borderId="6"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2" fillId="0" borderId="7" applyNumberFormat="0" applyFont="0" applyFill="0" applyAlignment="0" applyProtection="0"/>
    <xf numFmtId="0" fontId="57" fillId="0" borderId="0" applyNumberFormat="0" applyFill="0" applyBorder="0" applyAlignment="0" applyProtection="0"/>
  </cellStyleXfs>
  <cellXfs count="594">
    <xf numFmtId="0" fontId="0" fillId="0" borderId="0" xfId="0" applyAlignment="1">
      <alignment vertical="top"/>
    </xf>
    <xf numFmtId="0" fontId="5" fillId="0" borderId="0" xfId="0" applyFont="1" applyFill="1" applyAlignment="1">
      <alignment vertical="top"/>
    </xf>
    <xf numFmtId="0" fontId="5" fillId="0" borderId="0" xfId="0" applyNumberFormat="1" applyFont="1" applyAlignment="1">
      <alignment horizontal="left" vertical="top"/>
    </xf>
    <xf numFmtId="0" fontId="5" fillId="0" borderId="0" xfId="0" applyFont="1" applyAlignment="1">
      <alignment vertical="top"/>
    </xf>
    <xf numFmtId="0" fontId="4" fillId="0" borderId="0" xfId="0" applyNumberFormat="1" applyFont="1" applyAlignment="1">
      <alignment horizontal="left" vertical="top"/>
    </xf>
    <xf numFmtId="0" fontId="5" fillId="0" borderId="0" xfId="0" applyNumberFormat="1" applyFont="1" applyBorder="1" applyAlignment="1" quotePrefix="1">
      <alignment horizontal="center" vertical="top"/>
    </xf>
    <xf numFmtId="164" fontId="5" fillId="33" borderId="0" xfId="0" applyNumberFormat="1" applyFont="1" applyFill="1" applyBorder="1" applyAlignment="1">
      <alignment horizontal="right"/>
    </xf>
    <xf numFmtId="0" fontId="5" fillId="0" borderId="0" xfId="0" applyNumberFormat="1" applyFont="1" applyAlignment="1">
      <alignment vertical="top"/>
    </xf>
    <xf numFmtId="0" fontId="5" fillId="0" borderId="0" xfId="0" applyFont="1" applyBorder="1" applyAlignment="1">
      <alignment vertical="top"/>
    </xf>
    <xf numFmtId="37" fontId="5" fillId="0" borderId="0" xfId="0" applyNumberFormat="1" applyFont="1" applyBorder="1" applyAlignment="1">
      <alignment horizontal="right"/>
    </xf>
    <xf numFmtId="37" fontId="5" fillId="33" borderId="0" xfId="0" applyNumberFormat="1" applyFont="1" applyFill="1" applyBorder="1" applyAlignment="1">
      <alignment horizontal="right"/>
    </xf>
    <xf numFmtId="164" fontId="5" fillId="0" borderId="0" xfId="0" applyNumberFormat="1" applyFont="1" applyBorder="1" applyAlignment="1">
      <alignment horizontal="right"/>
    </xf>
    <xf numFmtId="37" fontId="6" fillId="0" borderId="0" xfId="0" applyNumberFormat="1" applyFont="1" applyBorder="1" applyAlignment="1">
      <alignment horizontal="right"/>
    </xf>
    <xf numFmtId="164" fontId="6" fillId="0" borderId="0" xfId="0" applyNumberFormat="1" applyFont="1" applyBorder="1" applyAlignment="1">
      <alignment horizontal="right"/>
    </xf>
    <xf numFmtId="37" fontId="5" fillId="33" borderId="8" xfId="0" applyNumberFormat="1" applyFont="1" applyFill="1" applyBorder="1" applyAlignment="1">
      <alignment horizontal="right"/>
    </xf>
    <xf numFmtId="0" fontId="4" fillId="0" borderId="0" xfId="0" applyFont="1" applyAlignment="1">
      <alignment vertical="top"/>
    </xf>
    <xf numFmtId="37" fontId="5" fillId="33" borderId="9" xfId="0" applyNumberFormat="1" applyFont="1" applyFill="1" applyBorder="1" applyAlignment="1">
      <alignment vertical="top"/>
    </xf>
    <xf numFmtId="37" fontId="6" fillId="33" borderId="0" xfId="0" applyNumberFormat="1" applyFont="1" applyFill="1" applyBorder="1" applyAlignment="1">
      <alignment horizontal="right"/>
    </xf>
    <xf numFmtId="37" fontId="5" fillId="0" borderId="0" xfId="0" applyNumberFormat="1" applyFont="1" applyAlignment="1">
      <alignment vertical="top"/>
    </xf>
    <xf numFmtId="37" fontId="5" fillId="0" borderId="0" xfId="0" applyNumberFormat="1" applyFont="1" applyFill="1" applyAlignment="1">
      <alignment vertical="top"/>
    </xf>
    <xf numFmtId="40" fontId="5" fillId="0" borderId="0" xfId="0" applyNumberFormat="1" applyFont="1" applyAlignment="1">
      <alignment vertical="top"/>
    </xf>
    <xf numFmtId="38" fontId="5" fillId="0" borderId="0" xfId="0" applyNumberFormat="1" applyFont="1" applyFill="1" applyAlignment="1">
      <alignment vertical="top"/>
    </xf>
    <xf numFmtId="0" fontId="7" fillId="0" borderId="0" xfId="0" applyNumberFormat="1" applyFont="1" applyAlignment="1">
      <alignment horizontal="left" vertical="top"/>
    </xf>
    <xf numFmtId="6" fontId="7" fillId="0" borderId="0" xfId="0" applyNumberFormat="1" applyFont="1" applyBorder="1" applyAlignment="1">
      <alignment vertical="top"/>
    </xf>
    <xf numFmtId="0" fontId="7" fillId="0" borderId="0" xfId="0" applyFont="1" applyAlignment="1">
      <alignment vertical="top"/>
    </xf>
    <xf numFmtId="0" fontId="7" fillId="0" borderId="0" xfId="0" applyFont="1" applyAlignment="1" quotePrefix="1">
      <alignment vertical="top"/>
    </xf>
    <xf numFmtId="0" fontId="8" fillId="0" borderId="0" xfId="0" applyFont="1" applyFill="1" applyAlignment="1">
      <alignment vertical="top"/>
    </xf>
    <xf numFmtId="0" fontId="8" fillId="0" borderId="0" xfId="0" applyNumberFormat="1" applyFont="1" applyAlignment="1">
      <alignment horizontal="left" vertical="top"/>
    </xf>
    <xf numFmtId="0" fontId="8" fillId="0" borderId="0" xfId="0" applyFont="1" applyAlignment="1">
      <alignment vertical="top"/>
    </xf>
    <xf numFmtId="17" fontId="8" fillId="0" borderId="0" xfId="0" applyNumberFormat="1" applyFont="1" applyAlignment="1">
      <alignment horizontal="center"/>
    </xf>
    <xf numFmtId="17" fontId="8" fillId="0" borderId="0" xfId="0" applyNumberFormat="1" applyFont="1" applyFill="1" applyAlignment="1">
      <alignment horizontal="center"/>
    </xf>
    <xf numFmtId="6" fontId="7" fillId="0" borderId="0" xfId="0" applyNumberFormat="1" applyFont="1" applyAlignment="1">
      <alignment vertical="center"/>
    </xf>
    <xf numFmtId="37" fontId="10" fillId="0" borderId="9" xfId="0" applyNumberFormat="1" applyFont="1" applyFill="1" applyBorder="1" applyAlignment="1">
      <alignment vertical="top"/>
    </xf>
    <xf numFmtId="49" fontId="5" fillId="0" borderId="0" xfId="0" applyNumberFormat="1" applyFont="1" applyAlignment="1">
      <alignment vertical="top"/>
    </xf>
    <xf numFmtId="49" fontId="5" fillId="0" borderId="0" xfId="0" applyNumberFormat="1" applyFont="1" applyBorder="1" applyAlignment="1">
      <alignment horizontal="center" vertical="top"/>
    </xf>
    <xf numFmtId="49" fontId="5" fillId="0" borderId="0" xfId="0" applyNumberFormat="1" applyFont="1" applyBorder="1" applyAlignment="1" quotePrefix="1">
      <alignment horizontal="center" vertical="top"/>
    </xf>
    <xf numFmtId="49" fontId="4" fillId="0" borderId="0" xfId="0" applyNumberFormat="1" applyFont="1" applyAlignment="1">
      <alignment vertical="top"/>
    </xf>
    <xf numFmtId="49" fontId="8" fillId="33" borderId="10" xfId="0" applyNumberFormat="1" applyFont="1" applyFill="1" applyBorder="1" applyAlignment="1">
      <alignment horizontal="center"/>
    </xf>
    <xf numFmtId="49" fontId="8" fillId="33" borderId="11" xfId="0" applyNumberFormat="1" applyFont="1" applyFill="1" applyBorder="1" applyAlignment="1">
      <alignment horizontal="center"/>
    </xf>
    <xf numFmtId="49" fontId="8" fillId="33" borderId="12" xfId="0" applyNumberFormat="1" applyFont="1" applyFill="1" applyBorder="1" applyAlignment="1">
      <alignment horizontal="center"/>
    </xf>
    <xf numFmtId="49" fontId="8" fillId="33" borderId="0" xfId="0" applyNumberFormat="1" applyFont="1" applyFill="1" applyBorder="1" applyAlignment="1">
      <alignment horizontal="center" vertical="top"/>
    </xf>
    <xf numFmtId="49" fontId="8" fillId="33" borderId="13" xfId="0" applyNumberFormat="1" applyFont="1" applyFill="1" applyBorder="1" applyAlignment="1">
      <alignment horizontal="center" vertical="top"/>
    </xf>
    <xf numFmtId="49" fontId="8" fillId="33" borderId="8" xfId="0" applyNumberFormat="1" applyFont="1" applyFill="1" applyBorder="1" applyAlignment="1">
      <alignment horizontal="center" vertical="top"/>
    </xf>
    <xf numFmtId="39" fontId="58" fillId="0" borderId="0" xfId="0" applyNumberFormat="1" applyFont="1" applyFill="1" applyAlignment="1">
      <alignment vertical="top"/>
    </xf>
    <xf numFmtId="0" fontId="8" fillId="0" borderId="0" xfId="0" applyNumberFormat="1" applyFont="1" applyFill="1" applyAlignment="1">
      <alignment horizontal="left" vertical="top"/>
    </xf>
    <xf numFmtId="37" fontId="5" fillId="0" borderId="0" xfId="0" applyNumberFormat="1" applyFont="1" applyFill="1" applyBorder="1" applyAlignment="1">
      <alignment vertical="top"/>
    </xf>
    <xf numFmtId="37" fontId="5" fillId="0" borderId="0" xfId="42" applyNumberFormat="1" applyFont="1" applyFill="1" applyAlignment="1" applyProtection="1">
      <alignment vertical="top"/>
      <protection locked="0"/>
    </xf>
    <xf numFmtId="0" fontId="0" fillId="0" borderId="0" xfId="0" applyAlignment="1" applyProtection="1">
      <alignment/>
      <protection locked="0"/>
    </xf>
    <xf numFmtId="0" fontId="0" fillId="0" borderId="0" xfId="0" applyAlignment="1" applyProtection="1">
      <alignment/>
      <protection/>
    </xf>
    <xf numFmtId="164" fontId="8" fillId="34" borderId="0" xfId="0" applyNumberFormat="1" applyFont="1" applyFill="1" applyAlignment="1">
      <alignment horizontal="center"/>
    </xf>
    <xf numFmtId="17" fontId="9" fillId="34" borderId="0" xfId="0" applyNumberFormat="1" applyFont="1" applyFill="1" applyAlignment="1">
      <alignment horizontal="center"/>
    </xf>
    <xf numFmtId="0" fontId="5" fillId="34" borderId="0" xfId="0" applyNumberFormat="1" applyFont="1" applyFill="1" applyBorder="1" applyAlignment="1" quotePrefix="1">
      <alignment horizontal="center" vertical="top"/>
    </xf>
    <xf numFmtId="0" fontId="5" fillId="34" borderId="0" xfId="0" applyNumberFormat="1" applyFont="1" applyFill="1" applyAlignment="1">
      <alignment vertical="top"/>
    </xf>
    <xf numFmtId="37" fontId="5" fillId="34" borderId="0" xfId="0" applyNumberFormat="1" applyFont="1" applyFill="1" applyBorder="1" applyAlignment="1">
      <alignment vertical="top"/>
    </xf>
    <xf numFmtId="37" fontId="5" fillId="34" borderId="8" xfId="0" applyNumberFormat="1" applyFont="1" applyFill="1" applyBorder="1" applyAlignment="1">
      <alignment vertical="top"/>
    </xf>
    <xf numFmtId="37" fontId="5" fillId="34" borderId="0" xfId="0" applyNumberFormat="1" applyFont="1" applyFill="1" applyBorder="1" applyAlignment="1">
      <alignment horizontal="right"/>
    </xf>
    <xf numFmtId="37" fontId="5" fillId="34" borderId="9" xfId="0" applyNumberFormat="1" applyFont="1" applyFill="1" applyBorder="1" applyAlignment="1">
      <alignment vertical="top"/>
    </xf>
    <xf numFmtId="37" fontId="5" fillId="34" borderId="0" xfId="42" applyNumberFormat="1" applyFont="1" applyFill="1" applyAlignment="1" applyProtection="1">
      <alignment vertical="top"/>
      <protection locked="0"/>
    </xf>
    <xf numFmtId="0" fontId="14" fillId="0" borderId="0" xfId="0" applyFont="1" applyFill="1" applyAlignment="1" quotePrefix="1">
      <alignment vertical="top"/>
    </xf>
    <xf numFmtId="40" fontId="12" fillId="0" borderId="0" xfId="42" applyNumberFormat="1" applyFont="1" applyFill="1" applyAlignment="1" applyProtection="1">
      <alignment vertical="top"/>
      <protection locked="0"/>
    </xf>
    <xf numFmtId="40" fontId="12" fillId="0" borderId="8" xfId="42" applyNumberFormat="1" applyFont="1" applyFill="1" applyBorder="1" applyAlignment="1" applyProtection="1">
      <alignment vertical="top"/>
      <protection locked="0"/>
    </xf>
    <xf numFmtId="40" fontId="12" fillId="0" borderId="0" xfId="42" applyNumberFormat="1" applyFont="1" applyAlignment="1" applyProtection="1">
      <alignment vertical="top"/>
      <protection locked="0"/>
    </xf>
    <xf numFmtId="40" fontId="12" fillId="0" borderId="0" xfId="0" applyNumberFormat="1" applyFont="1" applyAlignment="1">
      <alignment vertical="top"/>
    </xf>
    <xf numFmtId="0" fontId="12" fillId="0" borderId="0" xfId="0" applyFont="1" applyAlignment="1">
      <alignment vertical="top"/>
    </xf>
    <xf numFmtId="40" fontId="12" fillId="0" borderId="0" xfId="0" applyNumberFormat="1" applyFont="1" applyFill="1" applyBorder="1" applyAlignment="1">
      <alignment vertical="top"/>
    </xf>
    <xf numFmtId="0" fontId="12" fillId="0" borderId="0" xfId="0" applyFont="1" applyFill="1" applyBorder="1" applyAlignment="1">
      <alignment vertical="top"/>
    </xf>
    <xf numFmtId="8" fontId="13" fillId="0" borderId="0" xfId="0" applyNumberFormat="1" applyFont="1" applyAlignment="1">
      <alignment vertical="top"/>
    </xf>
    <xf numFmtId="0" fontId="8" fillId="0" borderId="0" xfId="0" applyFont="1" applyAlignment="1">
      <alignment horizontal="left"/>
    </xf>
    <xf numFmtId="0" fontId="12" fillId="0" borderId="0" xfId="0" applyFont="1" applyBorder="1" applyAlignment="1">
      <alignment vertical="top"/>
    </xf>
    <xf numFmtId="0" fontId="10" fillId="0" borderId="0" xfId="0" applyFont="1" applyFill="1" applyBorder="1" applyAlignment="1">
      <alignment vertical="top"/>
    </xf>
    <xf numFmtId="40" fontId="12" fillId="0" borderId="8" xfId="42" applyNumberFormat="1" applyFont="1" applyBorder="1" applyAlignment="1" applyProtection="1">
      <alignment vertical="top"/>
      <protection locked="0"/>
    </xf>
    <xf numFmtId="0" fontId="12" fillId="0" borderId="0" xfId="0" applyFont="1" applyAlignment="1">
      <alignment horizontal="right"/>
    </xf>
    <xf numFmtId="8" fontId="12" fillId="0" borderId="0" xfId="0" applyNumberFormat="1" applyFont="1" applyFill="1" applyBorder="1" applyAlignment="1">
      <alignment vertical="top"/>
    </xf>
    <xf numFmtId="0" fontId="12" fillId="0" borderId="0" xfId="0" applyFont="1" applyAlignment="1">
      <alignment horizontal="left"/>
    </xf>
    <xf numFmtId="0" fontId="13" fillId="0" borderId="0" xfId="0" applyFont="1" applyAlignment="1">
      <alignment horizontal="left"/>
    </xf>
    <xf numFmtId="6" fontId="12" fillId="0" borderId="0" xfId="0" applyNumberFormat="1" applyFont="1" applyFill="1" applyBorder="1" applyAlignment="1">
      <alignment vertical="top"/>
    </xf>
    <xf numFmtId="0" fontId="13" fillId="0" borderId="0" xfId="0" applyFont="1" applyAlignment="1">
      <alignment horizontal="right" vertical="top"/>
    </xf>
    <xf numFmtId="8" fontId="13" fillId="0" borderId="8" xfId="0" applyNumberFormat="1" applyFont="1" applyBorder="1" applyAlignment="1">
      <alignment vertical="top"/>
    </xf>
    <xf numFmtId="5" fontId="0" fillId="0" borderId="0" xfId="45" applyNumberFormat="1" applyFont="1" applyAlignment="1">
      <alignment/>
    </xf>
    <xf numFmtId="40" fontId="0" fillId="0" borderId="0" xfId="0" applyNumberFormat="1" applyFont="1" applyFill="1" applyBorder="1" applyAlignment="1">
      <alignment vertical="top"/>
    </xf>
    <xf numFmtId="0" fontId="0" fillId="0" borderId="0" xfId="0" applyNumberFormat="1" applyFont="1" applyFill="1" applyBorder="1" applyAlignment="1">
      <alignment horizontal="left"/>
    </xf>
    <xf numFmtId="5" fontId="0" fillId="0" borderId="0" xfId="45" applyNumberFormat="1" applyFont="1" applyAlignment="1">
      <alignment horizontal="right"/>
    </xf>
    <xf numFmtId="0" fontId="0" fillId="0" borderId="0" xfId="0" applyFont="1" applyFill="1" applyBorder="1" applyAlignment="1">
      <alignment vertical="top"/>
    </xf>
    <xf numFmtId="3" fontId="2" fillId="0" borderId="0" xfId="63" applyNumberFormat="1" applyAlignment="1">
      <alignment/>
      <protection/>
    </xf>
    <xf numFmtId="40" fontId="2" fillId="0" borderId="0" xfId="63" applyNumberFormat="1" applyFill="1" applyBorder="1" applyAlignment="1">
      <alignment/>
      <protection/>
    </xf>
    <xf numFmtId="0" fontId="0" fillId="0" borderId="0" xfId="0" applyAlignment="1" applyProtection="1">
      <alignment horizontal="left"/>
      <protection locked="0"/>
    </xf>
    <xf numFmtId="0" fontId="10" fillId="34" borderId="0" xfId="0" applyNumberFormat="1" applyFont="1" applyFill="1" applyAlignment="1">
      <alignment horizontal="center" vertical="center"/>
    </xf>
    <xf numFmtId="8" fontId="0" fillId="0" borderId="0" xfId="0" applyNumberFormat="1" applyAlignment="1" applyProtection="1">
      <alignment horizontal="center"/>
      <protection locked="0"/>
    </xf>
    <xf numFmtId="0" fontId="0" fillId="0" borderId="0" xfId="0" applyAlignment="1" applyProtection="1">
      <alignment horizontal="center"/>
      <protection/>
    </xf>
    <xf numFmtId="37" fontId="5" fillId="34" borderId="11" xfId="45" applyNumberFormat="1" applyFont="1" applyFill="1" applyBorder="1" applyAlignment="1" applyProtection="1">
      <alignment horizontal="right"/>
      <protection locked="0"/>
    </xf>
    <xf numFmtId="0" fontId="5" fillId="34" borderId="0" xfId="0" applyFont="1" applyFill="1" applyBorder="1" applyAlignment="1">
      <alignment vertical="top"/>
    </xf>
    <xf numFmtId="0" fontId="5" fillId="34" borderId="0" xfId="0" applyFont="1" applyFill="1" applyAlignment="1">
      <alignment vertical="top"/>
    </xf>
    <xf numFmtId="0" fontId="7" fillId="34" borderId="0" xfId="0" applyFont="1" applyFill="1" applyAlignment="1" quotePrefix="1">
      <alignment vertical="top"/>
    </xf>
    <xf numFmtId="0" fontId="8" fillId="34" borderId="0" xfId="0" applyNumberFormat="1" applyFont="1" applyFill="1" applyAlignment="1">
      <alignment horizontal="center" vertical="top"/>
    </xf>
    <xf numFmtId="0" fontId="0" fillId="0" borderId="0" xfId="0" applyFill="1" applyAlignment="1" applyProtection="1">
      <alignment/>
      <protection/>
    </xf>
    <xf numFmtId="39" fontId="5" fillId="34" borderId="0" xfId="42" applyNumberFormat="1" applyFont="1" applyFill="1" applyAlignment="1" applyProtection="1">
      <alignment vertical="top"/>
      <protection locked="0"/>
    </xf>
    <xf numFmtId="39" fontId="5" fillId="0" borderId="0" xfId="42" applyNumberFormat="1" applyFont="1" applyFill="1" applyAlignment="1" applyProtection="1">
      <alignment vertical="top"/>
      <protection locked="0"/>
    </xf>
    <xf numFmtId="6" fontId="7" fillId="0" borderId="0" xfId="0" applyNumberFormat="1" applyFont="1" applyAlignment="1">
      <alignment vertical="top"/>
    </xf>
    <xf numFmtId="0" fontId="0" fillId="0" borderId="0" xfId="0" applyAlignment="1">
      <alignment vertical="top"/>
    </xf>
    <xf numFmtId="0" fontId="5" fillId="0" borderId="0" xfId="0" applyNumberFormat="1" applyFont="1" applyAlignment="1">
      <alignment horizontal="left" vertical="top"/>
    </xf>
    <xf numFmtId="0" fontId="5" fillId="0" borderId="0" xfId="0" applyFont="1" applyAlignment="1">
      <alignment vertical="top"/>
    </xf>
    <xf numFmtId="0" fontId="4" fillId="0" borderId="0" xfId="0" applyNumberFormat="1" applyFont="1" applyAlignment="1">
      <alignment horizontal="left" vertical="top"/>
    </xf>
    <xf numFmtId="0" fontId="5" fillId="0" borderId="0" xfId="0" applyNumberFormat="1" applyFont="1" applyBorder="1" applyAlignment="1" quotePrefix="1">
      <alignment horizontal="center" vertical="top"/>
    </xf>
    <xf numFmtId="164" fontId="5" fillId="33" borderId="0" xfId="0" applyNumberFormat="1" applyFont="1" applyFill="1" applyBorder="1" applyAlignment="1">
      <alignment horizontal="right"/>
    </xf>
    <xf numFmtId="0" fontId="5" fillId="0" borderId="0" xfId="0" applyNumberFormat="1" applyFont="1" applyAlignment="1">
      <alignment vertical="top"/>
    </xf>
    <xf numFmtId="0" fontId="5" fillId="0" borderId="0" xfId="0" applyFont="1" applyBorder="1" applyAlignment="1">
      <alignment vertical="top"/>
    </xf>
    <xf numFmtId="37" fontId="5" fillId="0" borderId="0" xfId="0" applyNumberFormat="1" applyFont="1" applyBorder="1" applyAlignment="1">
      <alignment horizontal="right"/>
    </xf>
    <xf numFmtId="37" fontId="5" fillId="33" borderId="0" xfId="0" applyNumberFormat="1" applyFont="1" applyFill="1" applyBorder="1" applyAlignment="1">
      <alignment horizontal="right"/>
    </xf>
    <xf numFmtId="164" fontId="5" fillId="0" borderId="0" xfId="0" applyNumberFormat="1" applyFont="1" applyBorder="1" applyAlignment="1">
      <alignment horizontal="right"/>
    </xf>
    <xf numFmtId="37" fontId="6" fillId="0" borderId="0" xfId="0" applyNumberFormat="1" applyFont="1" applyBorder="1" applyAlignment="1">
      <alignment horizontal="right"/>
    </xf>
    <xf numFmtId="164" fontId="6" fillId="0" borderId="0" xfId="0" applyNumberFormat="1" applyFont="1" applyBorder="1" applyAlignment="1">
      <alignment horizontal="right"/>
    </xf>
    <xf numFmtId="0" fontId="4" fillId="0" borderId="0" xfId="0" applyFont="1" applyAlignment="1">
      <alignment vertical="top"/>
    </xf>
    <xf numFmtId="37" fontId="5" fillId="33" borderId="9" xfId="0" applyNumberFormat="1" applyFont="1" applyFill="1" applyBorder="1" applyAlignment="1">
      <alignment vertical="top"/>
    </xf>
    <xf numFmtId="37" fontId="6" fillId="33" borderId="0" xfId="0" applyNumberFormat="1" applyFont="1" applyFill="1" applyBorder="1" applyAlignment="1">
      <alignment horizontal="right"/>
    </xf>
    <xf numFmtId="37" fontId="5" fillId="0" borderId="0" xfId="0" applyNumberFormat="1" applyFont="1" applyAlignment="1">
      <alignment vertical="top"/>
    </xf>
    <xf numFmtId="37" fontId="5" fillId="0" borderId="0" xfId="0" applyNumberFormat="1" applyFont="1" applyFill="1" applyAlignment="1">
      <alignment vertical="top"/>
    </xf>
    <xf numFmtId="40" fontId="5" fillId="0" borderId="0" xfId="0" applyNumberFormat="1" applyFont="1" applyAlignment="1">
      <alignment vertical="top"/>
    </xf>
    <xf numFmtId="38" fontId="5" fillId="0" borderId="0" xfId="0" applyNumberFormat="1" applyFont="1" applyFill="1" applyAlignment="1">
      <alignment vertical="top"/>
    </xf>
    <xf numFmtId="0" fontId="7" fillId="0" borderId="0" xfId="0" applyNumberFormat="1" applyFont="1" applyAlignment="1">
      <alignment horizontal="left" vertical="top"/>
    </xf>
    <xf numFmtId="6" fontId="7" fillId="0" borderId="0" xfId="0" applyNumberFormat="1" applyFont="1" applyBorder="1" applyAlignment="1">
      <alignment vertical="top"/>
    </xf>
    <xf numFmtId="0" fontId="7" fillId="0" borderId="0" xfId="0" applyFont="1" applyAlignment="1" quotePrefix="1">
      <alignment vertical="top"/>
    </xf>
    <xf numFmtId="0" fontId="8" fillId="0" borderId="0" xfId="0" applyFont="1" applyFill="1" applyAlignment="1">
      <alignment vertical="top"/>
    </xf>
    <xf numFmtId="0" fontId="8" fillId="0" borderId="0" xfId="0" applyNumberFormat="1" applyFont="1" applyAlignment="1">
      <alignment horizontal="left" vertical="top"/>
    </xf>
    <xf numFmtId="0" fontId="8" fillId="0" borderId="0" xfId="0" applyFont="1" applyAlignment="1">
      <alignment vertical="top"/>
    </xf>
    <xf numFmtId="17" fontId="8" fillId="0" borderId="0" xfId="0" applyNumberFormat="1" applyFont="1" applyAlignment="1">
      <alignment horizontal="center"/>
    </xf>
    <xf numFmtId="17" fontId="8" fillId="0" borderId="0" xfId="0" applyNumberFormat="1" applyFont="1" applyFill="1" applyAlignment="1">
      <alignment horizontal="center"/>
    </xf>
    <xf numFmtId="6" fontId="7" fillId="0" borderId="0" xfId="0" applyNumberFormat="1" applyFont="1" applyAlignment="1">
      <alignment vertical="center"/>
    </xf>
    <xf numFmtId="37" fontId="10" fillId="0" borderId="9" xfId="0" applyNumberFormat="1" applyFont="1" applyFill="1" applyBorder="1" applyAlignment="1">
      <alignment vertical="top"/>
    </xf>
    <xf numFmtId="49" fontId="5" fillId="0" borderId="0" xfId="0" applyNumberFormat="1" applyFont="1" applyAlignment="1">
      <alignment vertical="top"/>
    </xf>
    <xf numFmtId="49" fontId="5" fillId="0" borderId="0" xfId="0" applyNumberFormat="1" applyFont="1" applyBorder="1" applyAlignment="1">
      <alignment horizontal="center" vertical="top"/>
    </xf>
    <xf numFmtId="49" fontId="5" fillId="0" borderId="0" xfId="0" applyNumberFormat="1" applyFont="1" applyBorder="1" applyAlignment="1" quotePrefix="1">
      <alignment horizontal="center" vertical="top"/>
    </xf>
    <xf numFmtId="49" fontId="4" fillId="0" borderId="0" xfId="0" applyNumberFormat="1" applyFont="1" applyAlignment="1">
      <alignment vertical="top"/>
    </xf>
    <xf numFmtId="49" fontId="8" fillId="33" borderId="10" xfId="0" applyNumberFormat="1" applyFont="1" applyFill="1" applyBorder="1" applyAlignment="1">
      <alignment horizontal="center"/>
    </xf>
    <xf numFmtId="49" fontId="8" fillId="33" borderId="11" xfId="0" applyNumberFormat="1" applyFont="1" applyFill="1" applyBorder="1" applyAlignment="1">
      <alignment horizontal="center"/>
    </xf>
    <xf numFmtId="49" fontId="8" fillId="33" borderId="12" xfId="0" applyNumberFormat="1" applyFont="1" applyFill="1" applyBorder="1" applyAlignment="1">
      <alignment horizontal="center"/>
    </xf>
    <xf numFmtId="49" fontId="8" fillId="33" borderId="14" xfId="0" applyNumberFormat="1" applyFont="1" applyFill="1" applyBorder="1" applyAlignment="1" quotePrefix="1">
      <alignment horizontal="center" vertical="top"/>
    </xf>
    <xf numFmtId="49" fontId="8" fillId="33" borderId="0" xfId="0" applyNumberFormat="1" applyFont="1" applyFill="1" applyBorder="1" applyAlignment="1">
      <alignment horizontal="center" vertical="top"/>
    </xf>
    <xf numFmtId="49" fontId="8" fillId="33" borderId="13" xfId="0" applyNumberFormat="1" applyFont="1" applyFill="1" applyBorder="1" applyAlignment="1">
      <alignment horizontal="center" vertical="top"/>
    </xf>
    <xf numFmtId="49" fontId="8" fillId="33" borderId="8" xfId="0" applyNumberFormat="1" applyFont="1" applyFill="1" applyBorder="1" applyAlignment="1">
      <alignment horizontal="center" vertical="top"/>
    </xf>
    <xf numFmtId="39" fontId="58" fillId="0" borderId="0" xfId="0" applyNumberFormat="1" applyFont="1" applyFill="1" applyAlignment="1">
      <alignment vertical="top"/>
    </xf>
    <xf numFmtId="0" fontId="8" fillId="0" borderId="0" xfId="0" applyNumberFormat="1" applyFont="1" applyFill="1" applyAlignment="1">
      <alignment horizontal="left" vertical="top"/>
    </xf>
    <xf numFmtId="37" fontId="5" fillId="0" borderId="0" xfId="0" applyNumberFormat="1" applyFont="1" applyFill="1" applyBorder="1" applyAlignment="1">
      <alignment vertical="top"/>
    </xf>
    <xf numFmtId="37" fontId="5" fillId="0" borderId="0" xfId="42" applyNumberFormat="1" applyFont="1" applyFill="1" applyAlignment="1" applyProtection="1">
      <alignment vertical="top"/>
      <protection locked="0"/>
    </xf>
    <xf numFmtId="164" fontId="8" fillId="34" borderId="0" xfId="0" applyNumberFormat="1" applyFont="1" applyFill="1" applyAlignment="1">
      <alignment horizontal="center"/>
    </xf>
    <xf numFmtId="17" fontId="9" fillId="34" borderId="0" xfId="0" applyNumberFormat="1" applyFont="1" applyFill="1" applyAlignment="1">
      <alignment horizontal="center"/>
    </xf>
    <xf numFmtId="0" fontId="5" fillId="34" borderId="0" xfId="0" applyNumberFormat="1" applyFont="1" applyFill="1" applyBorder="1" applyAlignment="1" quotePrefix="1">
      <alignment horizontal="center" vertical="top"/>
    </xf>
    <xf numFmtId="0" fontId="5" fillId="34" borderId="0" xfId="0" applyNumberFormat="1" applyFont="1" applyFill="1" applyAlignment="1">
      <alignment vertical="top"/>
    </xf>
    <xf numFmtId="37" fontId="5" fillId="34" borderId="0" xfId="0" applyNumberFormat="1" applyFont="1" applyFill="1" applyBorder="1" applyAlignment="1">
      <alignment vertical="top"/>
    </xf>
    <xf numFmtId="37" fontId="5" fillId="34" borderId="8" xfId="0" applyNumberFormat="1" applyFont="1" applyFill="1" applyBorder="1" applyAlignment="1">
      <alignment vertical="top"/>
    </xf>
    <xf numFmtId="37" fontId="5" fillId="34" borderId="0" xfId="0" applyNumberFormat="1" applyFont="1" applyFill="1" applyBorder="1" applyAlignment="1">
      <alignment horizontal="right"/>
    </xf>
    <xf numFmtId="37" fontId="5" fillId="34" borderId="9" xfId="0" applyNumberFormat="1" applyFont="1" applyFill="1" applyBorder="1" applyAlignment="1">
      <alignment vertical="top"/>
    </xf>
    <xf numFmtId="37" fontId="5" fillId="34" borderId="0" xfId="42" applyNumberFormat="1" applyFont="1" applyFill="1" applyAlignment="1" applyProtection="1">
      <alignment vertical="top"/>
      <protection locked="0"/>
    </xf>
    <xf numFmtId="0" fontId="10" fillId="34" borderId="0" xfId="0" applyNumberFormat="1" applyFont="1" applyFill="1" applyAlignment="1">
      <alignment horizontal="center" vertical="center"/>
    </xf>
    <xf numFmtId="37" fontId="5" fillId="34" borderId="11" xfId="45" applyNumberFormat="1" applyFont="1" applyFill="1" applyBorder="1" applyAlignment="1" applyProtection="1">
      <alignment horizontal="right"/>
      <protection locked="0"/>
    </xf>
    <xf numFmtId="0" fontId="5" fillId="34" borderId="0" xfId="0" applyFont="1" applyFill="1" applyBorder="1" applyAlignment="1">
      <alignment vertical="top"/>
    </xf>
    <xf numFmtId="0" fontId="5" fillId="34" borderId="0" xfId="0" applyFont="1" applyFill="1" applyAlignment="1">
      <alignment vertical="top"/>
    </xf>
    <xf numFmtId="0" fontId="7" fillId="34" borderId="0" xfId="0" applyFont="1" applyFill="1" applyAlignment="1" quotePrefix="1">
      <alignment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left" vertical="top"/>
    </xf>
    <xf numFmtId="0" fontId="59" fillId="0" borderId="0" xfId="0" applyFont="1" applyAlignment="1">
      <alignment horizontal="right" vertical="top"/>
    </xf>
    <xf numFmtId="0" fontId="0" fillId="0" borderId="0" xfId="0" applyFont="1" applyAlignment="1">
      <alignment vertical="top"/>
    </xf>
    <xf numFmtId="0" fontId="18" fillId="0" borderId="0" xfId="0" applyFont="1" applyAlignment="1" applyProtection="1">
      <alignment/>
      <protection/>
    </xf>
    <xf numFmtId="0" fontId="18" fillId="0" borderId="0" xfId="0" applyFont="1" applyFill="1" applyAlignment="1" applyProtection="1">
      <alignment/>
      <protection/>
    </xf>
    <xf numFmtId="0" fontId="18" fillId="0" borderId="0" xfId="0" applyFont="1" applyAlignment="1">
      <alignment vertical="top"/>
    </xf>
    <xf numFmtId="0" fontId="0" fillId="0" borderId="0" xfId="0" applyFont="1" applyAlignment="1">
      <alignment horizontal="center" vertical="top"/>
    </xf>
    <xf numFmtId="0" fontId="10" fillId="0" borderId="0" xfId="0" applyFont="1" applyFill="1" applyAlignment="1" applyProtection="1">
      <alignment/>
      <protection/>
    </xf>
    <xf numFmtId="0" fontId="18" fillId="35" borderId="0" xfId="0" applyFont="1" applyFill="1" applyAlignment="1" applyProtection="1">
      <alignment/>
      <protection/>
    </xf>
    <xf numFmtId="0" fontId="0" fillId="0" borderId="8" xfId="0" applyBorder="1" applyAlignment="1">
      <alignment vertical="top"/>
    </xf>
    <xf numFmtId="39" fontId="0" fillId="0" borderId="0" xfId="0" applyNumberFormat="1" applyAlignment="1">
      <alignment vertical="top"/>
    </xf>
    <xf numFmtId="39" fontId="0" fillId="0" borderId="0" xfId="0" applyNumberFormat="1" applyFont="1" applyAlignment="1">
      <alignment vertical="top"/>
    </xf>
    <xf numFmtId="39" fontId="0" fillId="0" borderId="8" xfId="0" applyNumberFormat="1" applyFont="1" applyBorder="1" applyAlignment="1">
      <alignment vertical="top"/>
    </xf>
    <xf numFmtId="39" fontId="0" fillId="0" borderId="8" xfId="0" applyNumberFormat="1" applyBorder="1" applyAlignment="1">
      <alignment vertical="top"/>
    </xf>
    <xf numFmtId="0" fontId="10" fillId="36" borderId="0" xfId="0" applyFont="1" applyFill="1" applyAlignment="1" applyProtection="1">
      <alignment/>
      <protection/>
    </xf>
    <xf numFmtId="0" fontId="10" fillId="0" borderId="0" xfId="0" applyFont="1" applyAlignment="1" applyProtection="1">
      <alignment/>
      <protection/>
    </xf>
    <xf numFmtId="0" fontId="21" fillId="0" borderId="0" xfId="0" applyFont="1" applyAlignment="1" applyProtection="1">
      <alignment/>
      <protection/>
    </xf>
    <xf numFmtId="0" fontId="0" fillId="0" borderId="8" xfId="0" applyFont="1" applyBorder="1" applyAlignment="1">
      <alignment horizontal="center" vertical="top"/>
    </xf>
    <xf numFmtId="39" fontId="0" fillId="0" borderId="15" xfId="0" applyNumberFormat="1" applyBorder="1" applyAlignment="1">
      <alignment vertical="top"/>
    </xf>
    <xf numFmtId="0" fontId="0" fillId="34" borderId="0" xfId="0" applyFill="1" applyAlignment="1">
      <alignment vertical="top"/>
    </xf>
    <xf numFmtId="37" fontId="5" fillId="34" borderId="0" xfId="0" applyNumberFormat="1" applyFont="1" applyFill="1" applyAlignment="1">
      <alignment vertical="top"/>
    </xf>
    <xf numFmtId="0" fontId="60" fillId="0" borderId="0" xfId="0" applyFont="1" applyBorder="1" applyAlignment="1">
      <alignment vertical="top"/>
    </xf>
    <xf numFmtId="0" fontId="59" fillId="0" borderId="0" xfId="0" applyFont="1" applyAlignment="1">
      <alignment vertical="top"/>
    </xf>
    <xf numFmtId="0" fontId="0" fillId="10" borderId="8" xfId="0" applyFont="1" applyFill="1" applyBorder="1" applyAlignment="1">
      <alignment horizontal="center" vertical="top"/>
    </xf>
    <xf numFmtId="39" fontId="0" fillId="10" borderId="0" xfId="0" applyNumberFormat="1" applyFill="1" applyAlignment="1">
      <alignment vertical="top"/>
    </xf>
    <xf numFmtId="39" fontId="0" fillId="10" borderId="8" xfId="0" applyNumberFormat="1" applyFill="1" applyBorder="1" applyAlignment="1">
      <alignment vertical="top"/>
    </xf>
    <xf numFmtId="0" fontId="0" fillId="10" borderId="0" xfId="0" applyFill="1" applyAlignment="1">
      <alignment vertical="top"/>
    </xf>
    <xf numFmtId="0" fontId="0" fillId="10" borderId="8" xfId="0" applyFill="1" applyBorder="1" applyAlignment="1">
      <alignment vertical="top"/>
    </xf>
    <xf numFmtId="39" fontId="0" fillId="10" borderId="15" xfId="0" applyNumberFormat="1" applyFill="1" applyBorder="1" applyAlignment="1">
      <alignment vertical="top"/>
    </xf>
    <xf numFmtId="0" fontId="0" fillId="7" borderId="8" xfId="0" applyFont="1" applyFill="1" applyBorder="1" applyAlignment="1">
      <alignment horizontal="center" vertical="top"/>
    </xf>
    <xf numFmtId="39" fontId="0" fillId="7" borderId="0" xfId="0" applyNumberFormat="1" applyFill="1" applyAlignment="1">
      <alignment vertical="top"/>
    </xf>
    <xf numFmtId="39" fontId="0" fillId="7" borderId="8" xfId="0" applyNumberFormat="1" applyFill="1" applyBorder="1" applyAlignment="1">
      <alignment vertical="top"/>
    </xf>
    <xf numFmtId="0" fontId="0" fillId="7" borderId="0" xfId="0" applyFill="1" applyAlignment="1">
      <alignment vertical="top"/>
    </xf>
    <xf numFmtId="0" fontId="0" fillId="7" borderId="8" xfId="0" applyFill="1" applyBorder="1" applyAlignment="1">
      <alignment vertical="top"/>
    </xf>
    <xf numFmtId="39" fontId="0" fillId="7" borderId="15" xfId="0" applyNumberFormat="1" applyFill="1" applyBorder="1" applyAlignment="1">
      <alignment vertical="top"/>
    </xf>
    <xf numFmtId="0" fontId="0" fillId="10" borderId="0" xfId="0" applyFont="1" applyFill="1" applyAlignment="1">
      <alignment horizontal="center" vertical="top"/>
    </xf>
    <xf numFmtId="0" fontId="0" fillId="7" borderId="0" xfId="0" applyFont="1" applyFill="1" applyAlignment="1">
      <alignment horizontal="center" vertical="top"/>
    </xf>
    <xf numFmtId="0" fontId="0" fillId="0" borderId="8" xfId="0" applyBorder="1" applyAlignment="1">
      <alignment horizontal="center" vertical="top"/>
    </xf>
    <xf numFmtId="39" fontId="0" fillId="0" borderId="0" xfId="0" applyNumberFormat="1" applyAlignment="1" applyProtection="1">
      <alignment/>
      <protection/>
    </xf>
    <xf numFmtId="39" fontId="0" fillId="0" borderId="0" xfId="0" applyNumberFormat="1" applyAlignment="1" applyProtection="1">
      <alignment horizontal="center"/>
      <protection/>
    </xf>
    <xf numFmtId="39" fontId="0" fillId="0" borderId="0" xfId="0" applyNumberFormat="1" applyAlignment="1" applyProtection="1">
      <alignment horizontal="right"/>
      <protection/>
    </xf>
    <xf numFmtId="0" fontId="0" fillId="0" borderId="0" xfId="0" applyAlignment="1" applyProtection="1">
      <alignment horizontal="right"/>
      <protection/>
    </xf>
    <xf numFmtId="0" fontId="0" fillId="0" borderId="0" xfId="0" applyFill="1" applyAlignment="1" applyProtection="1">
      <alignment horizontal="right"/>
      <protection/>
    </xf>
    <xf numFmtId="0" fontId="15" fillId="0" borderId="0" xfId="0" applyFont="1" applyFill="1" applyAlignment="1" applyProtection="1">
      <alignment horizontal="center"/>
      <protection/>
    </xf>
    <xf numFmtId="0" fontId="15" fillId="0" borderId="0" xfId="0" applyFont="1" applyAlignment="1" applyProtection="1">
      <alignment/>
      <protection/>
    </xf>
    <xf numFmtId="0" fontId="15" fillId="0" borderId="0" xfId="0" applyFont="1" applyFill="1" applyAlignment="1" applyProtection="1">
      <alignment/>
      <protection/>
    </xf>
    <xf numFmtId="0" fontId="15" fillId="0" borderId="0" xfId="0" applyFont="1" applyAlignment="1" applyProtection="1">
      <alignment horizontal="left"/>
      <protection/>
    </xf>
    <xf numFmtId="39" fontId="0" fillId="0" borderId="8" xfId="0" applyNumberFormat="1" applyBorder="1" applyAlignment="1" applyProtection="1">
      <alignment horizontal="right"/>
      <protection/>
    </xf>
    <xf numFmtId="39" fontId="0" fillId="0" borderId="8" xfId="0" applyNumberFormat="1" applyBorder="1" applyAlignment="1" applyProtection="1">
      <alignment/>
      <protection/>
    </xf>
    <xf numFmtId="165" fontId="0" fillId="0" borderId="0" xfId="0" applyNumberFormat="1" applyAlignment="1" applyProtection="1">
      <alignment/>
      <protection/>
    </xf>
    <xf numFmtId="39" fontId="15" fillId="0" borderId="0" xfId="0" applyNumberFormat="1" applyFont="1" applyAlignment="1" applyProtection="1">
      <alignment/>
      <protection/>
    </xf>
    <xf numFmtId="0" fontId="13" fillId="2" borderId="0" xfId="0" applyFont="1" applyFill="1" applyAlignment="1">
      <alignment horizontal="left" vertical="top"/>
    </xf>
    <xf numFmtId="40" fontId="12" fillId="2" borderId="0" xfId="42" applyNumberFormat="1" applyFont="1" applyFill="1" applyAlignment="1" applyProtection="1">
      <alignment vertical="top"/>
      <protection locked="0"/>
    </xf>
    <xf numFmtId="40" fontId="12" fillId="2" borderId="0" xfId="0" applyNumberFormat="1" applyFont="1" applyFill="1" applyAlignment="1">
      <alignment vertical="top"/>
    </xf>
    <xf numFmtId="8" fontId="13" fillId="2" borderId="15" xfId="0" applyNumberFormat="1" applyFont="1" applyFill="1" applyBorder="1" applyAlignment="1">
      <alignment vertical="top"/>
    </xf>
    <xf numFmtId="0" fontId="12" fillId="0" borderId="0" xfId="0" applyNumberFormat="1" applyFont="1" applyAlignment="1" applyProtection="1">
      <alignment/>
      <protection/>
    </xf>
    <xf numFmtId="39" fontId="12" fillId="0" borderId="0" xfId="0" applyNumberFormat="1" applyFont="1" applyAlignment="1" applyProtection="1">
      <alignment/>
      <protection/>
    </xf>
    <xf numFmtId="0" fontId="2" fillId="0" borderId="0" xfId="0" applyFont="1" applyAlignment="1">
      <alignment horizontal="left"/>
    </xf>
    <xf numFmtId="8" fontId="13" fillId="0" borderId="0" xfId="0" applyNumberFormat="1" applyFont="1" applyBorder="1" applyAlignment="1">
      <alignment vertical="top"/>
    </xf>
    <xf numFmtId="8" fontId="13" fillId="2" borderId="0" xfId="0" applyNumberFormat="1" applyFont="1" applyFill="1" applyAlignment="1">
      <alignment vertical="top"/>
    </xf>
    <xf numFmtId="40" fontId="12" fillId="0" borderId="0" xfId="42" applyNumberFormat="1" applyFont="1" applyBorder="1" applyAlignment="1" applyProtection="1">
      <alignment vertical="top"/>
      <protection locked="0"/>
    </xf>
    <xf numFmtId="40" fontId="12" fillId="0" borderId="8" xfId="0" applyNumberFormat="1" applyFont="1" applyBorder="1" applyAlignment="1">
      <alignment vertical="top"/>
    </xf>
    <xf numFmtId="40" fontId="12" fillId="0" borderId="0" xfId="0" applyNumberFormat="1" applyFont="1" applyBorder="1" applyAlignment="1">
      <alignment vertical="top"/>
    </xf>
    <xf numFmtId="0" fontId="13" fillId="2" borderId="0" xfId="0" applyFont="1" applyFill="1" applyAlignment="1">
      <alignment vertical="top"/>
    </xf>
    <xf numFmtId="0" fontId="12" fillId="0" borderId="0" xfId="0" applyFont="1" applyAlignment="1">
      <alignment horizontal="right" vertical="top"/>
    </xf>
    <xf numFmtId="0" fontId="0" fillId="0" borderId="0" xfId="0" applyFont="1" applyBorder="1" applyAlignment="1">
      <alignment horizontal="center" vertical="top"/>
    </xf>
    <xf numFmtId="0" fontId="0" fillId="0" borderId="0" xfId="0" applyBorder="1" applyAlignment="1">
      <alignment horizontal="center" vertical="top"/>
    </xf>
    <xf numFmtId="39" fontId="0" fillId="0" borderId="0" xfId="0" applyNumberFormat="1" applyFont="1" applyBorder="1" applyAlignment="1">
      <alignment horizontal="right" vertical="top"/>
    </xf>
    <xf numFmtId="39" fontId="0" fillId="0" borderId="0" xfId="0" applyNumberFormat="1" applyBorder="1" applyAlignment="1">
      <alignment horizontal="right" vertical="top"/>
    </xf>
    <xf numFmtId="0" fontId="15" fillId="0" borderId="0" xfId="0" applyFont="1" applyAlignment="1">
      <alignment vertical="top"/>
    </xf>
    <xf numFmtId="0" fontId="0" fillId="0" borderId="0" xfId="0" applyFont="1" applyFill="1" applyBorder="1" applyAlignment="1">
      <alignment horizontal="center" vertical="top"/>
    </xf>
    <xf numFmtId="14" fontId="0" fillId="0" borderId="0" xfId="0" applyNumberFormat="1" applyFont="1" applyAlignment="1" applyProtection="1">
      <alignment/>
      <protection/>
    </xf>
    <xf numFmtId="39" fontId="0" fillId="0" borderId="11" xfId="0" applyNumberFormat="1" applyFont="1" applyBorder="1" applyAlignment="1">
      <alignment vertical="top"/>
    </xf>
    <xf numFmtId="39" fontId="0" fillId="10" borderId="11" xfId="0" applyNumberFormat="1" applyFont="1" applyFill="1" applyBorder="1" applyAlignment="1">
      <alignment vertical="top"/>
    </xf>
    <xf numFmtId="39" fontId="0" fillId="7" borderId="11" xfId="0" applyNumberFormat="1" applyFont="1" applyFill="1" applyBorder="1" applyAlignment="1">
      <alignment vertical="top"/>
    </xf>
    <xf numFmtId="39" fontId="0" fillId="0" borderId="11" xfId="0" applyNumberFormat="1" applyBorder="1" applyAlignment="1">
      <alignment vertical="top"/>
    </xf>
    <xf numFmtId="39" fontId="0" fillId="10" borderId="11" xfId="0" applyNumberFormat="1" applyFill="1" applyBorder="1" applyAlignment="1">
      <alignment vertical="top"/>
    </xf>
    <xf numFmtId="39" fontId="0" fillId="7" borderId="11" xfId="0" applyNumberFormat="1" applyFill="1" applyBorder="1" applyAlignment="1">
      <alignment vertical="top"/>
    </xf>
    <xf numFmtId="0" fontId="0" fillId="0" borderId="0" xfId="0" applyAlignment="1" applyProtection="1">
      <alignment horizontal="left"/>
      <protection/>
    </xf>
    <xf numFmtId="0" fontId="0" fillId="0" borderId="0" xfId="0" applyFont="1" applyAlignment="1">
      <alignment horizontal="center" vertical="top"/>
    </xf>
    <xf numFmtId="0" fontId="15" fillId="0" borderId="0" xfId="0" applyFont="1" applyAlignment="1">
      <alignment horizontal="center" vertical="top"/>
    </xf>
    <xf numFmtId="0" fontId="0" fillId="0" borderId="0" xfId="0" applyFont="1" applyAlignment="1" applyProtection="1">
      <alignment horizontal="left"/>
      <protection/>
    </xf>
    <xf numFmtId="0" fontId="0" fillId="0" borderId="0" xfId="0" applyNumberFormat="1" applyFill="1" applyBorder="1" applyAlignment="1" applyProtection="1">
      <alignment/>
      <protection locked="0"/>
    </xf>
    <xf numFmtId="49" fontId="14" fillId="0" borderId="0" xfId="0" applyNumberFormat="1" applyFont="1" applyFill="1" applyBorder="1" applyAlignment="1" applyProtection="1">
      <alignment horizontal="right" vertical="top"/>
      <protection/>
    </xf>
    <xf numFmtId="49" fontId="23" fillId="0" borderId="0" xfId="0" applyNumberFormat="1" applyFont="1" applyFill="1" applyBorder="1" applyAlignment="1" applyProtection="1">
      <alignment horizontal="right" vertical="top"/>
      <protection/>
    </xf>
    <xf numFmtId="49" fontId="7" fillId="0" borderId="0" xfId="0" applyNumberFormat="1" applyFont="1" applyFill="1" applyBorder="1" applyAlignment="1" applyProtection="1">
      <alignment horizontal="left" vertical="top"/>
      <protection/>
    </xf>
    <xf numFmtId="4" fontId="10" fillId="0" borderId="0" xfId="0" applyNumberFormat="1" applyFont="1" applyFill="1" applyBorder="1" applyAlignment="1" applyProtection="1">
      <alignment horizontal="right" vertical="top"/>
      <protection/>
    </xf>
    <xf numFmtId="0" fontId="0" fillId="0" borderId="11" xfId="0" applyBorder="1" applyAlignment="1" applyProtection="1">
      <alignment vertical="top"/>
      <protection/>
    </xf>
    <xf numFmtId="0" fontId="0" fillId="0" borderId="16" xfId="0" applyBorder="1" applyAlignment="1" applyProtection="1">
      <alignment vertical="top"/>
      <protection/>
    </xf>
    <xf numFmtId="0" fontId="0" fillId="0" borderId="0" xfId="0" applyFill="1" applyBorder="1" applyAlignment="1">
      <alignment horizontal="center" vertical="top"/>
    </xf>
    <xf numFmtId="39" fontId="0" fillId="0" borderId="0" xfId="0" applyNumberFormat="1" applyFont="1" applyBorder="1" applyAlignment="1">
      <alignment horizontal="center" vertical="top"/>
    </xf>
    <xf numFmtId="39" fontId="0" fillId="0" borderId="0" xfId="0" applyNumberFormat="1" applyFont="1" applyBorder="1" applyAlignment="1">
      <alignment horizontal="right"/>
    </xf>
    <xf numFmtId="39" fontId="0" fillId="0" borderId="0" xfId="0" applyNumberFormat="1" applyFont="1" applyFill="1" applyBorder="1" applyAlignment="1">
      <alignment horizontal="right"/>
    </xf>
    <xf numFmtId="39" fontId="0" fillId="0" borderId="0" xfId="0" applyNumberFormat="1" applyBorder="1" applyAlignment="1">
      <alignment horizontal="right"/>
    </xf>
    <xf numFmtId="39" fontId="0" fillId="0" borderId="0" xfId="0" applyNumberFormat="1" applyAlignment="1">
      <alignment horizontal="right"/>
    </xf>
    <xf numFmtId="39" fontId="15" fillId="0" borderId="0" xfId="0" applyNumberFormat="1" applyFont="1" applyBorder="1" applyAlignment="1">
      <alignment horizontal="right"/>
    </xf>
    <xf numFmtId="0" fontId="15" fillId="0" borderId="8" xfId="0" applyFont="1" applyBorder="1" applyAlignment="1">
      <alignment horizontal="center" vertical="top"/>
    </xf>
    <xf numFmtId="39" fontId="0" fillId="0" borderId="8" xfId="0" applyNumberFormat="1" applyFont="1" applyBorder="1" applyAlignment="1">
      <alignment horizontal="right"/>
    </xf>
    <xf numFmtId="4" fontId="10" fillId="0" borderId="0" xfId="0" applyNumberFormat="1" applyFont="1" applyFill="1" applyBorder="1" applyAlignment="1" applyProtection="1">
      <alignment vertical="top"/>
      <protection/>
    </xf>
    <xf numFmtId="4" fontId="10" fillId="0" borderId="8" xfId="0" applyNumberFormat="1" applyFont="1" applyFill="1" applyBorder="1" applyAlignment="1" applyProtection="1">
      <alignment vertical="top"/>
      <protection/>
    </xf>
    <xf numFmtId="4" fontId="18" fillId="0" borderId="0" xfId="0" applyNumberFormat="1" applyFont="1" applyFill="1" applyBorder="1" applyAlignment="1" applyProtection="1">
      <alignment vertical="top"/>
      <protection/>
    </xf>
    <xf numFmtId="4" fontId="18" fillId="0" borderId="17" xfId="0" applyNumberFormat="1" applyFont="1" applyFill="1" applyBorder="1" applyAlignment="1" applyProtection="1">
      <alignment vertical="top"/>
      <protection/>
    </xf>
    <xf numFmtId="0" fontId="0" fillId="0" borderId="0" xfId="0" applyFont="1" applyAlignment="1">
      <alignment vertical="top"/>
    </xf>
    <xf numFmtId="0" fontId="15" fillId="0" borderId="0" xfId="0" applyFont="1" applyAlignment="1">
      <alignment vertical="top"/>
    </xf>
    <xf numFmtId="0" fontId="15" fillId="4" borderId="8" xfId="0" applyFont="1" applyFill="1" applyBorder="1" applyAlignment="1">
      <alignment horizontal="center" vertical="top"/>
    </xf>
    <xf numFmtId="0" fontId="0" fillId="4" borderId="0" xfId="0" applyFont="1" applyFill="1" applyBorder="1" applyAlignment="1">
      <alignment horizontal="center" vertical="top"/>
    </xf>
    <xf numFmtId="39" fontId="0" fillId="4" borderId="0" xfId="0" applyNumberFormat="1" applyFont="1" applyFill="1" applyBorder="1" applyAlignment="1">
      <alignment horizontal="right"/>
    </xf>
    <xf numFmtId="39" fontId="15" fillId="4" borderId="0" xfId="0" applyNumberFormat="1" applyFont="1" applyFill="1" applyBorder="1" applyAlignment="1">
      <alignment horizontal="right"/>
    </xf>
    <xf numFmtId="0" fontId="0" fillId="7" borderId="0" xfId="0" applyFill="1" applyBorder="1" applyAlignment="1">
      <alignment horizontal="center" vertical="top"/>
    </xf>
    <xf numFmtId="39" fontId="0" fillId="7" borderId="0" xfId="0" applyNumberFormat="1" applyFill="1" applyBorder="1" applyAlignment="1">
      <alignment horizontal="right"/>
    </xf>
    <xf numFmtId="39" fontId="0" fillId="7" borderId="0" xfId="0" applyNumberFormat="1" applyFill="1" applyAlignment="1">
      <alignment horizontal="right"/>
    </xf>
    <xf numFmtId="39" fontId="0" fillId="7" borderId="0" xfId="0" applyNumberFormat="1" applyFont="1" applyFill="1" applyAlignment="1">
      <alignment horizontal="right"/>
    </xf>
    <xf numFmtId="39" fontId="15" fillId="7" borderId="0" xfId="0" applyNumberFormat="1" applyFont="1" applyFill="1" applyBorder="1" applyAlignment="1">
      <alignment horizontal="right"/>
    </xf>
    <xf numFmtId="39" fontId="15" fillId="7" borderId="0" xfId="0" applyNumberFormat="1" applyFont="1" applyFill="1" applyAlignment="1">
      <alignment horizontal="right"/>
    </xf>
    <xf numFmtId="39" fontId="15" fillId="0" borderId="15" xfId="0" applyNumberFormat="1" applyFont="1" applyBorder="1" applyAlignment="1">
      <alignment horizontal="right"/>
    </xf>
    <xf numFmtId="39" fontId="15" fillId="0" borderId="8" xfId="0" applyNumberFormat="1" applyFont="1" applyBorder="1" applyAlignment="1">
      <alignment horizontal="right"/>
    </xf>
    <xf numFmtId="0" fontId="0" fillId="0" borderId="0" xfId="0" applyFill="1" applyAlignment="1">
      <alignment vertical="top"/>
    </xf>
    <xf numFmtId="39" fontId="0" fillId="4" borderId="0" xfId="0" applyNumberFormat="1" applyFont="1" applyFill="1" applyBorder="1" applyAlignment="1">
      <alignment horizontal="center" vertical="top"/>
    </xf>
    <xf numFmtId="39" fontId="0" fillId="7" borderId="0" xfId="0" applyNumberFormat="1" applyFill="1" applyBorder="1" applyAlignment="1">
      <alignment horizontal="center" vertical="top"/>
    </xf>
    <xf numFmtId="0" fontId="15" fillId="0" borderId="0" xfId="0" applyFont="1" applyBorder="1" applyAlignment="1">
      <alignment horizontal="center" vertical="top"/>
    </xf>
    <xf numFmtId="0" fontId="15" fillId="4" borderId="0" xfId="0" applyFont="1" applyFill="1" applyBorder="1" applyAlignment="1">
      <alignment horizontal="center" vertical="top"/>
    </xf>
    <xf numFmtId="0" fontId="15" fillId="7" borderId="0" xfId="0" applyFont="1" applyFill="1" applyBorder="1" applyAlignment="1">
      <alignment horizontal="center" vertical="top"/>
    </xf>
    <xf numFmtId="0" fontId="15" fillId="4" borderId="0" xfId="0" applyFont="1" applyFill="1" applyAlignment="1">
      <alignment horizontal="center" vertical="top"/>
    </xf>
    <xf numFmtId="0" fontId="15" fillId="7" borderId="0" xfId="0" applyFont="1" applyFill="1" applyAlignment="1">
      <alignment horizontal="center" vertical="top"/>
    </xf>
    <xf numFmtId="0" fontId="15" fillId="4" borderId="8" xfId="0" applyFont="1" applyFill="1" applyBorder="1" applyAlignment="1">
      <alignment horizontal="center" vertical="top" wrapText="1"/>
    </xf>
    <xf numFmtId="0" fontId="15" fillId="7" borderId="8" xfId="0" applyFont="1" applyFill="1" applyBorder="1" applyAlignment="1">
      <alignment horizontal="center" vertical="top" wrapText="1"/>
    </xf>
    <xf numFmtId="0" fontId="15" fillId="7" borderId="0" xfId="0" applyFont="1" applyFill="1" applyBorder="1" applyAlignment="1">
      <alignment horizontal="center" vertical="top" wrapText="1"/>
    </xf>
    <xf numFmtId="0" fontId="15" fillId="37" borderId="0" xfId="0" applyFont="1" applyFill="1" applyAlignment="1">
      <alignment vertical="top"/>
    </xf>
    <xf numFmtId="4" fontId="0" fillId="0" borderId="0" xfId="0" applyNumberFormat="1" applyAlignment="1" applyProtection="1">
      <alignment/>
      <protection/>
    </xf>
    <xf numFmtId="0" fontId="15" fillId="0" borderId="0" xfId="0" applyFont="1" applyAlignment="1">
      <alignment horizontal="center" vertical="top"/>
    </xf>
    <xf numFmtId="0" fontId="0" fillId="0" borderId="0" xfId="0" applyFont="1" applyAlignment="1">
      <alignment horizontal="center" vertical="top"/>
    </xf>
    <xf numFmtId="39" fontId="0" fillId="4" borderId="0" xfId="0" applyNumberFormat="1" applyFill="1" applyAlignment="1">
      <alignment vertical="top"/>
    </xf>
    <xf numFmtId="39" fontId="15" fillId="4" borderId="0" xfId="0" applyNumberFormat="1" applyFont="1" applyFill="1" applyAlignment="1">
      <alignment vertical="top"/>
    </xf>
    <xf numFmtId="39" fontId="15" fillId="7" borderId="0" xfId="0" applyNumberFormat="1" applyFont="1" applyFill="1" applyAlignment="1">
      <alignment vertical="top"/>
    </xf>
    <xf numFmtId="39" fontId="15" fillId="0" borderId="0" xfId="0" applyNumberFormat="1" applyFont="1" applyAlignment="1">
      <alignment vertical="top"/>
    </xf>
    <xf numFmtId="39" fontId="15" fillId="0" borderId="15" xfId="0" applyNumberFormat="1" applyFont="1" applyBorder="1" applyAlignment="1">
      <alignment vertical="top"/>
    </xf>
    <xf numFmtId="39" fontId="15" fillId="0" borderId="8" xfId="0" applyNumberFormat="1" applyFont="1" applyBorder="1" applyAlignment="1">
      <alignment vertical="top"/>
    </xf>
    <xf numFmtId="0" fontId="15" fillId="0" borderId="0" xfId="0" applyFont="1" applyAlignment="1">
      <alignment horizontal="center" vertical="top"/>
    </xf>
    <xf numFmtId="0" fontId="8" fillId="34" borderId="0" xfId="0" applyNumberFormat="1" applyFont="1" applyFill="1" applyAlignment="1">
      <alignment horizontal="center" vertical="top"/>
    </xf>
    <xf numFmtId="0" fontId="0" fillId="0" borderId="18" xfId="0" applyBorder="1" applyAlignment="1">
      <alignment vertical="top"/>
    </xf>
    <xf numFmtId="0" fontId="0" fillId="0" borderId="18" xfId="0" applyBorder="1" applyAlignment="1">
      <alignment horizontal="center" vertical="top"/>
    </xf>
    <xf numFmtId="0" fontId="15" fillId="0" borderId="18" xfId="0" applyFont="1" applyBorder="1" applyAlignment="1">
      <alignment horizontal="center" vertical="top"/>
    </xf>
    <xf numFmtId="0" fontId="0" fillId="38" borderId="0" xfId="0" applyFont="1" applyFill="1" applyAlignment="1">
      <alignment vertical="top"/>
    </xf>
    <xf numFmtId="0" fontId="0" fillId="38" borderId="8" xfId="0" applyFont="1" applyFill="1" applyBorder="1" applyAlignment="1">
      <alignment vertical="top"/>
    </xf>
    <xf numFmtId="0" fontId="15" fillId="38" borderId="0" xfId="0" applyFont="1" applyFill="1" applyAlignment="1">
      <alignment vertical="top"/>
    </xf>
    <xf numFmtId="39" fontId="0" fillId="38" borderId="0" xfId="0" applyNumberFormat="1" applyFont="1" applyFill="1" applyBorder="1" applyAlignment="1">
      <alignment horizontal="right" vertical="top"/>
    </xf>
    <xf numFmtId="39" fontId="0" fillId="38" borderId="0" xfId="0" applyNumberFormat="1" applyFill="1" applyBorder="1" applyAlignment="1">
      <alignment horizontal="right" vertical="top"/>
    </xf>
    <xf numFmtId="39" fontId="0" fillId="38" borderId="8" xfId="0" applyNumberFormat="1" applyFont="1" applyFill="1" applyBorder="1" applyAlignment="1">
      <alignment horizontal="right" vertical="top"/>
    </xf>
    <xf numFmtId="39" fontId="0" fillId="38" borderId="8" xfId="0" applyNumberFormat="1" applyFill="1" applyBorder="1" applyAlignment="1">
      <alignment horizontal="right" vertical="top"/>
    </xf>
    <xf numFmtId="0" fontId="15" fillId="38" borderId="17" xfId="0" applyFont="1" applyFill="1" applyBorder="1" applyAlignment="1">
      <alignment vertical="top"/>
    </xf>
    <xf numFmtId="39" fontId="0" fillId="38" borderId="17" xfId="0" applyNumberFormat="1" applyFont="1" applyFill="1" applyBorder="1" applyAlignment="1">
      <alignment horizontal="right" vertical="top"/>
    </xf>
    <xf numFmtId="39" fontId="0" fillId="38" borderId="17" xfId="0" applyNumberFormat="1" applyFill="1" applyBorder="1" applyAlignment="1">
      <alignment horizontal="right" vertical="top"/>
    </xf>
    <xf numFmtId="0" fontId="15" fillId="0" borderId="0" xfId="0" applyFont="1" applyFill="1" applyAlignment="1">
      <alignment horizontal="center" vertical="top"/>
    </xf>
    <xf numFmtId="0" fontId="15" fillId="0" borderId="18" xfId="0" applyFont="1" applyFill="1" applyBorder="1" applyAlignment="1">
      <alignment horizontal="center" vertical="top"/>
    </xf>
    <xf numFmtId="39" fontId="0" fillId="0" borderId="0" xfId="0" applyNumberFormat="1" applyFont="1" applyFill="1" applyBorder="1" applyAlignment="1">
      <alignment horizontal="right" vertical="top"/>
    </xf>
    <xf numFmtId="0" fontId="0" fillId="0" borderId="0" xfId="0" applyFont="1" applyFill="1" applyAlignment="1">
      <alignment horizontal="center" vertical="top"/>
    </xf>
    <xf numFmtId="0" fontId="8" fillId="34" borderId="0" xfId="0" applyNumberFormat="1" applyFont="1" applyFill="1" applyAlignment="1">
      <alignment horizontal="center" vertical="top"/>
    </xf>
    <xf numFmtId="0" fontId="10" fillId="0" borderId="0" xfId="0" applyFont="1" applyAlignment="1">
      <alignment vertical="top"/>
    </xf>
    <xf numFmtId="37" fontId="0" fillId="0" borderId="0" xfId="0" applyNumberFormat="1" applyFont="1" applyBorder="1" applyAlignment="1">
      <alignment horizontal="center" vertical="top"/>
    </xf>
    <xf numFmtId="37" fontId="0" fillId="0" borderId="0" xfId="0" applyNumberFormat="1" applyFont="1" applyFill="1" applyBorder="1" applyAlignment="1">
      <alignment horizontal="center" vertical="top"/>
    </xf>
    <xf numFmtId="37" fontId="0" fillId="0" borderId="0" xfId="0" applyNumberFormat="1" applyBorder="1" applyAlignment="1">
      <alignment horizontal="center" vertical="top"/>
    </xf>
    <xf numFmtId="37" fontId="0" fillId="0" borderId="0" xfId="0" applyNumberFormat="1" applyAlignment="1">
      <alignment vertical="top"/>
    </xf>
    <xf numFmtId="39" fontId="10" fillId="0" borderId="0" xfId="0" applyNumberFormat="1" applyFont="1" applyBorder="1" applyAlignment="1">
      <alignment horizontal="right"/>
    </xf>
    <xf numFmtId="0" fontId="18" fillId="0" borderId="0" xfId="0" applyFont="1" applyBorder="1" applyAlignment="1">
      <alignment horizontal="center" vertical="top"/>
    </xf>
    <xf numFmtId="0" fontId="18" fillId="4" borderId="0" xfId="0" applyFont="1" applyFill="1" applyBorder="1" applyAlignment="1">
      <alignment horizontal="center" vertical="top"/>
    </xf>
    <xf numFmtId="0" fontId="18" fillId="7" borderId="0" xfId="0" applyFont="1" applyFill="1" applyBorder="1" applyAlignment="1">
      <alignment horizontal="center" vertical="top"/>
    </xf>
    <xf numFmtId="0" fontId="18" fillId="0" borderId="8" xfId="0" applyFont="1" applyBorder="1" applyAlignment="1">
      <alignment horizontal="center" vertical="top" wrapText="1"/>
    </xf>
    <xf numFmtId="0" fontId="18" fillId="4" borderId="8" xfId="0" applyFont="1" applyFill="1" applyBorder="1" applyAlignment="1">
      <alignment horizontal="center" vertical="top" wrapText="1"/>
    </xf>
    <xf numFmtId="0" fontId="18" fillId="7" borderId="8" xfId="0" applyFont="1" applyFill="1" applyBorder="1" applyAlignment="1">
      <alignment horizontal="center" vertical="top" wrapText="1"/>
    </xf>
    <xf numFmtId="37" fontId="10" fillId="0" borderId="0" xfId="0" applyNumberFormat="1" applyFont="1" applyBorder="1" applyAlignment="1">
      <alignment horizontal="right"/>
    </xf>
    <xf numFmtId="37" fontId="10" fillId="4" borderId="0" xfId="0" applyNumberFormat="1" applyFont="1" applyFill="1" applyBorder="1" applyAlignment="1">
      <alignment horizontal="right"/>
    </xf>
    <xf numFmtId="37" fontId="10" fillId="7" borderId="0" xfId="0" applyNumberFormat="1" applyFont="1" applyFill="1" applyBorder="1" applyAlignment="1">
      <alignment horizontal="right"/>
    </xf>
    <xf numFmtId="37" fontId="10" fillId="7" borderId="0" xfId="0" applyNumberFormat="1" applyFont="1" applyFill="1" applyAlignment="1">
      <alignment horizontal="right"/>
    </xf>
    <xf numFmtId="37" fontId="10" fillId="0" borderId="0" xfId="0" applyNumberFormat="1" applyFont="1" applyBorder="1" applyAlignment="1">
      <alignment horizontal="center" vertical="top"/>
    </xf>
    <xf numFmtId="37" fontId="10" fillId="4" borderId="0" xfId="0" applyNumberFormat="1" applyFont="1" applyFill="1" applyBorder="1" applyAlignment="1">
      <alignment horizontal="center" vertical="top"/>
    </xf>
    <xf numFmtId="37" fontId="10" fillId="7" borderId="0" xfId="0" applyNumberFormat="1" applyFont="1" applyFill="1" applyBorder="1" applyAlignment="1">
      <alignment horizontal="center" vertical="top"/>
    </xf>
    <xf numFmtId="37" fontId="10" fillId="7" borderId="0" xfId="0" applyNumberFormat="1" applyFont="1" applyFill="1" applyAlignment="1">
      <alignment vertical="top"/>
    </xf>
    <xf numFmtId="37" fontId="10" fillId="0" borderId="0" xfId="0" applyNumberFormat="1" applyFont="1" applyBorder="1" applyAlignment="1">
      <alignment horizontal="right" vertical="top"/>
    </xf>
    <xf numFmtId="37" fontId="10" fillId="4" borderId="0" xfId="0" applyNumberFormat="1" applyFont="1" applyFill="1" applyBorder="1" applyAlignment="1">
      <alignment horizontal="right" vertical="top"/>
    </xf>
    <xf numFmtId="37" fontId="10" fillId="7" borderId="0" xfId="0" applyNumberFormat="1" applyFont="1" applyFill="1" applyBorder="1" applyAlignment="1">
      <alignment horizontal="right" vertical="top"/>
    </xf>
    <xf numFmtId="37" fontId="10" fillId="0" borderId="8" xfId="0" applyNumberFormat="1" applyFont="1" applyBorder="1" applyAlignment="1">
      <alignment horizontal="right"/>
    </xf>
    <xf numFmtId="37" fontId="10" fillId="0" borderId="15" xfId="0" applyNumberFormat="1" applyFont="1" applyBorder="1" applyAlignment="1">
      <alignment horizontal="right" vertical="top"/>
    </xf>
    <xf numFmtId="37" fontId="10" fillId="4" borderId="8" xfId="0" applyNumberFormat="1" applyFont="1" applyFill="1" applyBorder="1" applyAlignment="1">
      <alignment horizontal="right"/>
    </xf>
    <xf numFmtId="37" fontId="10" fillId="7" borderId="8" xfId="0" applyNumberFormat="1" applyFont="1" applyFill="1" applyBorder="1" applyAlignment="1">
      <alignment horizontal="right"/>
    </xf>
    <xf numFmtId="37" fontId="10" fillId="0" borderId="15" xfId="0" applyNumberFormat="1" applyFont="1" applyBorder="1" applyAlignment="1">
      <alignment horizontal="right"/>
    </xf>
    <xf numFmtId="37" fontId="10" fillId="4" borderId="15" xfId="0" applyNumberFormat="1" applyFont="1" applyFill="1" applyBorder="1" applyAlignment="1">
      <alignment horizontal="right"/>
    </xf>
    <xf numFmtId="37" fontId="10" fillId="7" borderId="15" xfId="0" applyNumberFormat="1" applyFont="1" applyFill="1" applyBorder="1" applyAlignment="1">
      <alignment horizontal="right"/>
    </xf>
    <xf numFmtId="37" fontId="10" fillId="4" borderId="15" xfId="0" applyNumberFormat="1" applyFont="1" applyFill="1" applyBorder="1" applyAlignment="1">
      <alignment horizontal="right" vertical="top"/>
    </xf>
    <xf numFmtId="37" fontId="10" fillId="7" borderId="15" xfId="0" applyNumberFormat="1" applyFont="1" applyFill="1" applyBorder="1" applyAlignment="1">
      <alignment horizontal="right" vertical="top"/>
    </xf>
    <xf numFmtId="37" fontId="10" fillId="7" borderId="15" xfId="0" applyNumberFormat="1" applyFont="1" applyFill="1" applyBorder="1" applyAlignment="1">
      <alignment vertical="top"/>
    </xf>
    <xf numFmtId="37" fontId="10" fillId="0" borderId="8" xfId="0" applyNumberFormat="1" applyFont="1" applyBorder="1" applyAlignment="1">
      <alignment horizontal="right" vertical="top"/>
    </xf>
    <xf numFmtId="37" fontId="10" fillId="0" borderId="0" xfId="0" applyNumberFormat="1" applyFont="1" applyAlignment="1">
      <alignment vertical="top"/>
    </xf>
    <xf numFmtId="0" fontId="15" fillId="0" borderId="0" xfId="0" applyFont="1" applyFill="1" applyAlignment="1">
      <alignment vertical="top"/>
    </xf>
    <xf numFmtId="0" fontId="57" fillId="0" borderId="0" xfId="0" applyFont="1" applyAlignment="1">
      <alignment vertical="top"/>
    </xf>
    <xf numFmtId="0" fontId="18" fillId="0" borderId="0" xfId="0" applyFont="1" applyAlignment="1">
      <alignment vertical="top"/>
    </xf>
    <xf numFmtId="0" fontId="10" fillId="0" borderId="0" xfId="0" applyFont="1" applyAlignment="1">
      <alignment vertical="top"/>
    </xf>
    <xf numFmtId="0" fontId="18" fillId="0" borderId="0" xfId="0" applyFont="1" applyAlignment="1">
      <alignment horizontal="center" vertical="top"/>
    </xf>
    <xf numFmtId="0" fontId="18" fillId="4" borderId="0" xfId="0" applyFont="1" applyFill="1" applyAlignment="1">
      <alignment horizontal="center" vertical="top"/>
    </xf>
    <xf numFmtId="0" fontId="18" fillId="7" borderId="0" xfId="0" applyFont="1" applyFill="1" applyAlignment="1">
      <alignment horizontal="center" vertical="top"/>
    </xf>
    <xf numFmtId="0" fontId="18" fillId="7" borderId="0" xfId="0" applyFont="1" applyFill="1" applyBorder="1" applyAlignment="1">
      <alignment horizontal="center" vertical="top" wrapText="1"/>
    </xf>
    <xf numFmtId="0" fontId="10" fillId="0" borderId="0" xfId="0" applyFont="1" applyAlignment="1">
      <alignment horizontal="center" vertical="top"/>
    </xf>
    <xf numFmtId="0" fontId="18" fillId="4" borderId="0" xfId="0" applyFont="1" applyFill="1" applyBorder="1" applyAlignment="1">
      <alignment horizontal="center" vertical="top" wrapText="1"/>
    </xf>
    <xf numFmtId="0" fontId="18" fillId="0" borderId="8" xfId="0" applyFont="1" applyBorder="1" applyAlignment="1">
      <alignment horizontal="center" vertical="top"/>
    </xf>
    <xf numFmtId="0" fontId="18" fillId="4" borderId="8" xfId="0" applyFont="1" applyFill="1" applyBorder="1" applyAlignment="1">
      <alignment horizontal="center" vertical="top"/>
    </xf>
    <xf numFmtId="37" fontId="10" fillId="4" borderId="0" xfId="0" applyNumberFormat="1" applyFont="1" applyFill="1" applyAlignment="1">
      <alignment vertical="top"/>
    </xf>
    <xf numFmtId="0" fontId="10" fillId="0" borderId="0" xfId="0" applyFont="1" applyAlignment="1">
      <alignment horizontal="left" vertical="top" indent="1"/>
    </xf>
    <xf numFmtId="0" fontId="10" fillId="0" borderId="0" xfId="0" applyFont="1" applyBorder="1" applyAlignment="1">
      <alignment horizontal="left" vertical="top" indent="1"/>
    </xf>
    <xf numFmtId="37" fontId="10" fillId="0" borderId="8" xfId="0" applyNumberFormat="1" applyFont="1" applyBorder="1" applyAlignment="1">
      <alignment vertical="top"/>
    </xf>
    <xf numFmtId="37" fontId="10" fillId="4" borderId="8" xfId="0" applyNumberFormat="1" applyFont="1" applyFill="1" applyBorder="1" applyAlignment="1">
      <alignment vertical="top"/>
    </xf>
    <xf numFmtId="37" fontId="10" fillId="7" borderId="8" xfId="0" applyNumberFormat="1" applyFont="1" applyFill="1" applyBorder="1" applyAlignment="1">
      <alignment vertical="top"/>
    </xf>
    <xf numFmtId="37" fontId="10" fillId="0" borderId="0" xfId="0" applyNumberFormat="1" applyFont="1" applyAlignment="1">
      <alignment vertical="top"/>
    </xf>
    <xf numFmtId="37" fontId="10" fillId="4" borderId="0" xfId="0" applyNumberFormat="1" applyFont="1" applyFill="1" applyAlignment="1">
      <alignment vertical="top"/>
    </xf>
    <xf numFmtId="37" fontId="10" fillId="7" borderId="0" xfId="0" applyNumberFormat="1" applyFont="1" applyFill="1" applyAlignment="1">
      <alignment vertical="top"/>
    </xf>
    <xf numFmtId="37" fontId="10" fillId="0" borderId="0" xfId="0" applyNumberFormat="1" applyFont="1" applyBorder="1" applyAlignment="1">
      <alignment vertical="top"/>
    </xf>
    <xf numFmtId="0" fontId="18" fillId="0" borderId="0" xfId="0" applyFont="1" applyAlignment="1">
      <alignment horizontal="left" vertical="top"/>
    </xf>
    <xf numFmtId="37" fontId="10" fillId="0" borderId="11" xfId="0" applyNumberFormat="1" applyFont="1" applyBorder="1" applyAlignment="1">
      <alignment vertical="top"/>
    </xf>
    <xf numFmtId="37" fontId="10" fillId="4" borderId="11" xfId="0" applyNumberFormat="1" applyFont="1" applyFill="1" applyBorder="1" applyAlignment="1">
      <alignment vertical="top"/>
    </xf>
    <xf numFmtId="37" fontId="10" fillId="7" borderId="11" xfId="0" applyNumberFormat="1" applyFont="1" applyFill="1" applyBorder="1" applyAlignment="1">
      <alignment vertical="top"/>
    </xf>
    <xf numFmtId="37" fontId="10" fillId="0" borderId="11" xfId="0" applyNumberFormat="1" applyFont="1" applyBorder="1" applyAlignment="1" applyProtection="1">
      <alignment vertical="top"/>
      <protection/>
    </xf>
    <xf numFmtId="37" fontId="10" fillId="0" borderId="15" xfId="0" applyNumberFormat="1" applyFont="1" applyBorder="1" applyAlignment="1">
      <alignment vertical="top"/>
    </xf>
    <xf numFmtId="37" fontId="10" fillId="4" borderId="15" xfId="0" applyNumberFormat="1" applyFont="1" applyFill="1" applyBorder="1" applyAlignment="1">
      <alignment vertical="top"/>
    </xf>
    <xf numFmtId="39" fontId="10" fillId="0" borderId="0" xfId="0" applyNumberFormat="1" applyFont="1" applyAlignment="1">
      <alignment vertical="top"/>
    </xf>
    <xf numFmtId="0" fontId="57" fillId="0" borderId="0" xfId="0" applyFont="1" applyAlignment="1">
      <alignment horizontal="right" vertical="top"/>
    </xf>
    <xf numFmtId="37" fontId="18" fillId="0" borderId="0" xfId="0" applyNumberFormat="1" applyFont="1" applyAlignment="1">
      <alignment vertical="top"/>
    </xf>
    <xf numFmtId="37" fontId="18" fillId="0" borderId="0" xfId="0" applyNumberFormat="1" applyFont="1" applyAlignment="1">
      <alignment horizontal="center" vertical="top"/>
    </xf>
    <xf numFmtId="37" fontId="18" fillId="4" borderId="0" xfId="0" applyNumberFormat="1" applyFont="1" applyFill="1" applyBorder="1" applyAlignment="1">
      <alignment horizontal="center" vertical="top"/>
    </xf>
    <xf numFmtId="37" fontId="18" fillId="4" borderId="0" xfId="0" applyNumberFormat="1" applyFont="1" applyFill="1" applyAlignment="1">
      <alignment horizontal="center" vertical="top"/>
    </xf>
    <xf numFmtId="37" fontId="18" fillId="7" borderId="0" xfId="0" applyNumberFormat="1" applyFont="1" applyFill="1" applyAlignment="1">
      <alignment horizontal="center" vertical="top"/>
    </xf>
    <xf numFmtId="37" fontId="18" fillId="7" borderId="0" xfId="0" applyNumberFormat="1" applyFont="1" applyFill="1" applyBorder="1" applyAlignment="1">
      <alignment horizontal="center" vertical="top" wrapText="1"/>
    </xf>
    <xf numFmtId="37" fontId="10" fillId="0" borderId="0" xfId="0" applyNumberFormat="1" applyFont="1" applyAlignment="1">
      <alignment horizontal="center" vertical="top"/>
    </xf>
    <xf numFmtId="37" fontId="10" fillId="0" borderId="11" xfId="0" applyNumberFormat="1" applyFont="1" applyBorder="1" applyAlignment="1">
      <alignment horizontal="right"/>
    </xf>
    <xf numFmtId="37" fontId="10" fillId="4" borderId="11" xfId="0" applyNumberFormat="1" applyFont="1" applyFill="1" applyBorder="1" applyAlignment="1">
      <alignment horizontal="right"/>
    </xf>
    <xf numFmtId="37" fontId="10" fillId="7" borderId="11" xfId="0" applyNumberFormat="1" applyFont="1" applyFill="1" applyBorder="1" applyAlignment="1">
      <alignment horizontal="right"/>
    </xf>
    <xf numFmtId="37" fontId="10" fillId="0" borderId="15" xfId="0" applyNumberFormat="1" applyFont="1" applyBorder="1" applyAlignment="1">
      <alignment horizontal="center" vertical="top"/>
    </xf>
    <xf numFmtId="37" fontId="10" fillId="4" borderId="15" xfId="0" applyNumberFormat="1" applyFont="1" applyFill="1" applyBorder="1" applyAlignment="1">
      <alignment horizontal="center" vertical="top"/>
    </xf>
    <xf numFmtId="37" fontId="10" fillId="7" borderId="15" xfId="0" applyNumberFormat="1" applyFont="1" applyFill="1" applyBorder="1" applyAlignment="1">
      <alignment horizontal="center" vertical="top"/>
    </xf>
    <xf numFmtId="37" fontId="10" fillId="0" borderId="0" xfId="0" applyNumberFormat="1" applyFont="1" applyFill="1" applyBorder="1" applyAlignment="1">
      <alignment horizontal="center" vertical="top"/>
    </xf>
    <xf numFmtId="37" fontId="10" fillId="0" borderId="0" xfId="0" applyNumberFormat="1" applyFont="1" applyFill="1" applyAlignment="1">
      <alignment vertical="top"/>
    </xf>
    <xf numFmtId="0" fontId="18" fillId="0" borderId="0" xfId="0" applyFont="1" applyFill="1" applyAlignment="1">
      <alignment vertical="top"/>
    </xf>
    <xf numFmtId="37" fontId="18" fillId="0" borderId="0" xfId="0" applyNumberFormat="1" applyFont="1" applyBorder="1" applyAlignment="1">
      <alignment horizontal="center" vertical="top"/>
    </xf>
    <xf numFmtId="37" fontId="18" fillId="7" borderId="0" xfId="0" applyNumberFormat="1" applyFont="1" applyFill="1" applyBorder="1" applyAlignment="1">
      <alignment horizontal="center" vertical="top"/>
    </xf>
    <xf numFmtId="0" fontId="10" fillId="0" borderId="0" xfId="0" applyFont="1" applyBorder="1" applyAlignment="1">
      <alignment vertical="top"/>
    </xf>
    <xf numFmtId="37" fontId="10" fillId="0" borderId="0" xfId="0" applyNumberFormat="1" applyFont="1" applyFill="1" applyBorder="1" applyAlignment="1">
      <alignment horizontal="right"/>
    </xf>
    <xf numFmtId="37" fontId="10" fillId="0" borderId="0" xfId="0" applyNumberFormat="1" applyFont="1" applyAlignment="1">
      <alignment horizontal="right"/>
    </xf>
    <xf numFmtId="37" fontId="10" fillId="4" borderId="8" xfId="0" applyNumberFormat="1" applyFont="1" applyFill="1" applyBorder="1" applyAlignment="1">
      <alignment horizontal="right" vertical="top"/>
    </xf>
    <xf numFmtId="37" fontId="10" fillId="7" borderId="8" xfId="0" applyNumberFormat="1" applyFont="1" applyFill="1" applyBorder="1" applyAlignment="1">
      <alignment horizontal="right" vertical="top"/>
    </xf>
    <xf numFmtId="37" fontId="10" fillId="7" borderId="0" xfId="0" applyNumberFormat="1" applyFont="1" applyFill="1" applyBorder="1" applyAlignment="1">
      <alignment vertical="top"/>
    </xf>
    <xf numFmtId="0" fontId="10" fillId="0" borderId="0" xfId="0" applyFont="1" applyBorder="1" applyAlignment="1">
      <alignment horizontal="center" vertical="top"/>
    </xf>
    <xf numFmtId="0" fontId="10" fillId="0" borderId="0" xfId="0" applyFont="1" applyFill="1" applyBorder="1" applyAlignment="1">
      <alignment horizontal="center" vertical="top"/>
    </xf>
    <xf numFmtId="0" fontId="8" fillId="34" borderId="0" xfId="0" applyNumberFormat="1" applyFont="1" applyFill="1" applyAlignment="1">
      <alignment horizontal="center" vertical="top"/>
    </xf>
    <xf numFmtId="39" fontId="0" fillId="0" borderId="0" xfId="0" applyNumberFormat="1" applyFill="1" applyAlignment="1" applyProtection="1">
      <alignment horizontal="right"/>
      <protection/>
    </xf>
    <xf numFmtId="39" fontId="15" fillId="0" borderId="0" xfId="0" applyNumberFormat="1" applyFont="1" applyBorder="1" applyAlignment="1">
      <alignment horizontal="center" vertical="top"/>
    </xf>
    <xf numFmtId="39" fontId="15" fillId="4" borderId="0" xfId="0" applyNumberFormat="1" applyFont="1" applyFill="1" applyBorder="1" applyAlignment="1">
      <alignment horizontal="center" vertical="top"/>
    </xf>
    <xf numFmtId="39" fontId="15" fillId="7" borderId="0" xfId="0" applyNumberFormat="1" applyFont="1" applyFill="1" applyBorder="1" applyAlignment="1">
      <alignment horizontal="center" vertical="top"/>
    </xf>
    <xf numFmtId="39" fontId="10" fillId="0" borderId="0" xfId="0" applyNumberFormat="1" applyFont="1" applyBorder="1" applyAlignment="1">
      <alignment horizontal="center" vertical="top"/>
    </xf>
    <xf numFmtId="39" fontId="0" fillId="7" borderId="0" xfId="0" applyNumberFormat="1" applyFont="1" applyFill="1" applyBorder="1" applyAlignment="1">
      <alignment horizontal="right"/>
    </xf>
    <xf numFmtId="39" fontId="18" fillId="0" borderId="0" xfId="0" applyNumberFormat="1" applyFont="1" applyBorder="1" applyAlignment="1">
      <alignment horizontal="right"/>
    </xf>
    <xf numFmtId="39" fontId="0" fillId="4" borderId="0" xfId="0" applyNumberFormat="1" applyFont="1" applyFill="1" applyBorder="1" applyAlignment="1">
      <alignment horizontal="right" vertical="top"/>
    </xf>
    <xf numFmtId="39" fontId="0" fillId="7" borderId="0" xfId="0" applyNumberFormat="1" applyFill="1" applyBorder="1" applyAlignment="1">
      <alignment horizontal="right" vertical="top"/>
    </xf>
    <xf numFmtId="39" fontId="10" fillId="0" borderId="0" xfId="0" applyNumberFormat="1" applyFont="1" applyBorder="1" applyAlignment="1">
      <alignment horizontal="right" vertical="top"/>
    </xf>
    <xf numFmtId="39" fontId="0" fillId="7" borderId="0" xfId="0" applyNumberFormat="1" applyFont="1" applyFill="1" applyBorder="1" applyAlignment="1">
      <alignment horizontal="right" vertical="top"/>
    </xf>
    <xf numFmtId="39" fontId="10" fillId="4" borderId="0" xfId="0" applyNumberFormat="1" applyFont="1" applyFill="1" applyBorder="1" applyAlignment="1">
      <alignment horizontal="right" vertical="top"/>
    </xf>
    <xf numFmtId="39" fontId="0" fillId="0" borderId="8" xfId="0" applyNumberFormat="1" applyFont="1" applyBorder="1" applyAlignment="1">
      <alignment horizontal="right" vertical="top"/>
    </xf>
    <xf numFmtId="39" fontId="0" fillId="4" borderId="8" xfId="0" applyNumberFormat="1" applyFont="1" applyFill="1" applyBorder="1" applyAlignment="1">
      <alignment horizontal="right" vertical="top"/>
    </xf>
    <xf numFmtId="39" fontId="0" fillId="7" borderId="8" xfId="0" applyNumberFormat="1" applyFont="1" applyFill="1" applyBorder="1" applyAlignment="1">
      <alignment horizontal="right" vertical="top"/>
    </xf>
    <xf numFmtId="39" fontId="10" fillId="0" borderId="8" xfId="0" applyNumberFormat="1" applyFont="1" applyBorder="1" applyAlignment="1">
      <alignment horizontal="right" vertical="top"/>
    </xf>
    <xf numFmtId="39" fontId="18" fillId="0" borderId="0" xfId="0" applyNumberFormat="1" applyFont="1" applyBorder="1" applyAlignment="1">
      <alignment horizontal="right" vertical="top"/>
    </xf>
    <xf numFmtId="39" fontId="10" fillId="4" borderId="0" xfId="0" applyNumberFormat="1" applyFont="1" applyFill="1" applyBorder="1" applyAlignment="1">
      <alignment horizontal="right"/>
    </xf>
    <xf numFmtId="39" fontId="10" fillId="7" borderId="0" xfId="0" applyNumberFormat="1" applyFont="1" applyFill="1" applyBorder="1" applyAlignment="1">
      <alignment horizontal="right"/>
    </xf>
    <xf numFmtId="39" fontId="10" fillId="7" borderId="0" xfId="0" applyNumberFormat="1" applyFont="1" applyFill="1" applyAlignment="1">
      <alignment horizontal="right"/>
    </xf>
    <xf numFmtId="39" fontId="10" fillId="0" borderId="8" xfId="0" applyNumberFormat="1" applyFont="1" applyBorder="1" applyAlignment="1">
      <alignment horizontal="right"/>
    </xf>
    <xf numFmtId="39" fontId="10" fillId="4" borderId="8" xfId="0" applyNumberFormat="1" applyFont="1" applyFill="1" applyBorder="1" applyAlignment="1">
      <alignment horizontal="right"/>
    </xf>
    <xf numFmtId="39" fontId="10" fillId="7" borderId="8" xfId="0" applyNumberFormat="1" applyFont="1" applyFill="1" applyBorder="1" applyAlignment="1">
      <alignment horizontal="right"/>
    </xf>
    <xf numFmtId="39" fontId="10" fillId="0" borderId="15" xfId="0" applyNumberFormat="1" applyFont="1" applyBorder="1" applyAlignment="1">
      <alignment horizontal="right"/>
    </xf>
    <xf numFmtId="39" fontId="10" fillId="4" borderId="15" xfId="0" applyNumberFormat="1" applyFont="1" applyFill="1" applyBorder="1" applyAlignment="1">
      <alignment horizontal="right"/>
    </xf>
    <xf numFmtId="39" fontId="10" fillId="7" borderId="15" xfId="0" applyNumberFormat="1" applyFont="1" applyFill="1" applyBorder="1" applyAlignment="1">
      <alignment horizontal="right"/>
    </xf>
    <xf numFmtId="39" fontId="10" fillId="7" borderId="0" xfId="0" applyNumberFormat="1" applyFont="1" applyFill="1" applyBorder="1" applyAlignment="1">
      <alignment horizontal="right" vertical="top"/>
    </xf>
    <xf numFmtId="39" fontId="10" fillId="4" borderId="0" xfId="0" applyNumberFormat="1" applyFont="1" applyFill="1" applyBorder="1" applyAlignment="1">
      <alignment horizontal="center" vertical="top"/>
    </xf>
    <xf numFmtId="39" fontId="10" fillId="7" borderId="0" xfId="0" applyNumberFormat="1" applyFont="1" applyFill="1" applyBorder="1" applyAlignment="1">
      <alignment horizontal="center" vertical="top"/>
    </xf>
    <xf numFmtId="39" fontId="10" fillId="7" borderId="0" xfId="0" applyNumberFormat="1" applyFont="1" applyFill="1" applyAlignment="1">
      <alignment vertical="top"/>
    </xf>
    <xf numFmtId="39" fontId="10" fillId="0" borderId="15" xfId="0" applyNumberFormat="1" applyFont="1" applyBorder="1" applyAlignment="1">
      <alignment horizontal="right" vertical="top"/>
    </xf>
    <xf numFmtId="39" fontId="10" fillId="4" borderId="15" xfId="0" applyNumberFormat="1" applyFont="1" applyFill="1" applyBorder="1" applyAlignment="1">
      <alignment horizontal="right" vertical="top"/>
    </xf>
    <xf numFmtId="39" fontId="10" fillId="7" borderId="15" xfId="0" applyNumberFormat="1" applyFont="1" applyFill="1" applyBorder="1" applyAlignment="1">
      <alignment horizontal="right" vertical="top"/>
    </xf>
    <xf numFmtId="39" fontId="10" fillId="7" borderId="15" xfId="0" applyNumberFormat="1" applyFont="1" applyFill="1" applyBorder="1" applyAlignment="1">
      <alignment vertical="top"/>
    </xf>
    <xf numFmtId="0" fontId="8" fillId="34" borderId="0" xfId="0" applyNumberFormat="1" applyFont="1" applyFill="1" applyAlignment="1">
      <alignment horizontal="center" vertical="top"/>
    </xf>
    <xf numFmtId="10" fontId="15" fillId="0" borderId="0" xfId="0" applyNumberFormat="1" applyFont="1" applyFill="1" applyBorder="1" applyAlignment="1">
      <alignment horizontal="center" vertical="top"/>
    </xf>
    <xf numFmtId="0" fontId="8" fillId="34" borderId="0" xfId="0" applyNumberFormat="1" applyFont="1" applyFill="1" applyAlignment="1">
      <alignment horizontal="center" vertical="top"/>
    </xf>
    <xf numFmtId="43" fontId="14" fillId="14" borderId="0" xfId="62" applyFont="1" applyFill="1" applyBorder="1" applyAlignment="1">
      <alignment/>
      <protection/>
    </xf>
    <xf numFmtId="10" fontId="15" fillId="14" borderId="0" xfId="0" applyNumberFormat="1" applyFont="1" applyFill="1" applyBorder="1" applyAlignment="1">
      <alignment horizontal="center" vertical="top"/>
    </xf>
    <xf numFmtId="0" fontId="14" fillId="14" borderId="0" xfId="0" applyFont="1" applyFill="1" applyAlignment="1" applyProtection="1">
      <alignment/>
      <protection/>
    </xf>
    <xf numFmtId="39" fontId="0" fillId="14" borderId="0" xfId="0" applyNumberFormat="1" applyFill="1" applyAlignment="1">
      <alignment vertical="top"/>
    </xf>
    <xf numFmtId="10" fontId="15" fillId="14" borderId="0" xfId="0" applyNumberFormat="1" applyFont="1" applyFill="1" applyAlignment="1">
      <alignment/>
    </xf>
    <xf numFmtId="10" fontId="15" fillId="14" borderId="0" xfId="0" applyNumberFormat="1" applyFont="1" applyFill="1" applyBorder="1" applyAlignment="1">
      <alignment horizontal="right"/>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10" fontId="15" fillId="0" borderId="0" xfId="66" applyNumberFormat="1" applyFont="1" applyAlignment="1" applyProtection="1">
      <alignment horizontal="center" vertical="top"/>
      <protection locked="0"/>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0" fillId="0" borderId="0" xfId="0" applyFont="1" applyAlignment="1" applyProtection="1">
      <alignment horizontal="left"/>
      <protection locked="0"/>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49" fontId="23" fillId="0" borderId="0" xfId="0" applyNumberFormat="1" applyFont="1" applyFill="1" applyBorder="1" applyAlignment="1" applyProtection="1">
      <alignment horizontal="right" vertical="top"/>
      <protection/>
    </xf>
    <xf numFmtId="39" fontId="5" fillId="34" borderId="9" xfId="0" applyNumberFormat="1" applyFont="1" applyFill="1" applyBorder="1" applyAlignment="1">
      <alignment vertical="top"/>
    </xf>
    <xf numFmtId="0" fontId="15" fillId="0" borderId="0" xfId="0" applyFont="1" applyAlignment="1">
      <alignment horizontal="center" vertical="top"/>
    </xf>
    <xf numFmtId="0" fontId="0" fillId="0" borderId="0" xfId="0" applyFont="1" applyAlignment="1">
      <alignment horizontal="center" vertical="top"/>
    </xf>
    <xf numFmtId="0" fontId="18" fillId="7" borderId="0" xfId="0" applyFont="1" applyFill="1" applyBorder="1" applyAlignment="1">
      <alignment horizontal="center" vertical="top" wrapText="1"/>
    </xf>
    <xf numFmtId="0" fontId="18" fillId="7" borderId="8" xfId="0" applyFont="1" applyFill="1" applyBorder="1" applyAlignment="1">
      <alignment horizontal="center" vertical="top" wrapText="1"/>
    </xf>
    <xf numFmtId="0" fontId="18" fillId="4" borderId="0" xfId="0" applyFont="1" applyFill="1" applyBorder="1" applyAlignment="1">
      <alignment horizontal="center" vertical="top"/>
    </xf>
    <xf numFmtId="0" fontId="18" fillId="4" borderId="8" xfId="0" applyFont="1" applyFill="1" applyBorder="1" applyAlignment="1">
      <alignment horizontal="center" vertical="top"/>
    </xf>
    <xf numFmtId="0" fontId="8" fillId="34" borderId="0" xfId="0" applyNumberFormat="1" applyFont="1" applyFill="1" applyAlignment="1">
      <alignment horizontal="center" vertical="top"/>
    </xf>
    <xf numFmtId="49" fontId="14" fillId="0" borderId="0" xfId="0" applyNumberFormat="1" applyFont="1" applyFill="1" applyBorder="1" applyAlignment="1" applyProtection="1">
      <alignment horizontal="right" vertical="top"/>
      <protection/>
    </xf>
    <xf numFmtId="4" fontId="10" fillId="0" borderId="0" xfId="0" applyNumberFormat="1" applyFont="1" applyFill="1" applyBorder="1" applyAlignment="1" applyProtection="1">
      <alignment horizontal="right" vertical="top"/>
      <protection/>
    </xf>
    <xf numFmtId="0" fontId="8" fillId="0" borderId="0" xfId="0" applyNumberFormat="1" applyFont="1" applyFill="1" applyAlignment="1">
      <alignment horizontal="center" vertical="top"/>
    </xf>
    <xf numFmtId="164" fontId="8" fillId="0" borderId="0" xfId="0" applyNumberFormat="1" applyFont="1" applyFill="1" applyAlignment="1">
      <alignment horizontal="center"/>
    </xf>
    <xf numFmtId="17" fontId="9" fillId="0" borderId="0" xfId="0" applyNumberFormat="1" applyFont="1" applyFill="1" applyAlignment="1">
      <alignment horizontal="center"/>
    </xf>
    <xf numFmtId="0" fontId="5" fillId="0" borderId="0" xfId="0" applyNumberFormat="1" applyFont="1" applyFill="1" applyBorder="1" applyAlignment="1" quotePrefix="1">
      <alignment horizontal="center" vertical="top"/>
    </xf>
    <xf numFmtId="0" fontId="5" fillId="0" borderId="0" xfId="0" applyNumberFormat="1" applyFont="1" applyFill="1" applyAlignment="1">
      <alignment vertical="top"/>
    </xf>
    <xf numFmtId="0" fontId="10" fillId="0" borderId="0" xfId="0" applyNumberFormat="1" applyFont="1" applyFill="1" applyAlignment="1">
      <alignment horizontal="center" vertical="center"/>
    </xf>
    <xf numFmtId="37" fontId="5" fillId="0" borderId="8" xfId="0" applyNumberFormat="1" applyFont="1" applyFill="1" applyBorder="1" applyAlignment="1">
      <alignment vertical="top"/>
    </xf>
    <xf numFmtId="37" fontId="5" fillId="0" borderId="0" xfId="0" applyNumberFormat="1" applyFont="1" applyFill="1" applyBorder="1" applyAlignment="1">
      <alignment horizontal="right"/>
    </xf>
    <xf numFmtId="37" fontId="5" fillId="0" borderId="11" xfId="45" applyNumberFormat="1" applyFont="1" applyFill="1" applyBorder="1" applyAlignment="1" applyProtection="1">
      <alignment horizontal="right"/>
      <protection locked="0"/>
    </xf>
    <xf numFmtId="37" fontId="5" fillId="0" borderId="9" xfId="0" applyNumberFormat="1" applyFont="1" applyFill="1" applyBorder="1" applyAlignment="1">
      <alignment vertical="top"/>
    </xf>
    <xf numFmtId="39" fontId="5" fillId="0" borderId="9" xfId="0" applyNumberFormat="1" applyFont="1" applyFill="1" applyBorder="1" applyAlignment="1">
      <alignment vertical="top"/>
    </xf>
    <xf numFmtId="0" fontId="0" fillId="0" borderId="0" xfId="0" applyFont="1" applyAlignment="1">
      <alignment horizontal="center" vertical="top"/>
    </xf>
    <xf numFmtId="0" fontId="8" fillId="34" borderId="0" xfId="0" applyNumberFormat="1" applyFont="1" applyFill="1" applyAlignment="1">
      <alignment horizontal="center" vertical="top"/>
    </xf>
    <xf numFmtId="0" fontId="0" fillId="0" borderId="0" xfId="0" applyAlignment="1" applyProtection="1">
      <alignment horizontal="left" vertical="top"/>
      <protection/>
    </xf>
    <xf numFmtId="166" fontId="0" fillId="0" borderId="0" xfId="0" applyNumberFormat="1" applyAlignment="1">
      <alignment vertical="top"/>
    </xf>
    <xf numFmtId="4" fontId="0" fillId="0" borderId="0" xfId="0" applyNumberFormat="1" applyAlignment="1">
      <alignment vertical="top"/>
    </xf>
    <xf numFmtId="0" fontId="8" fillId="34" borderId="0" xfId="0" applyNumberFormat="1" applyFont="1" applyFill="1" applyAlignment="1">
      <alignment horizontal="center" vertical="top"/>
    </xf>
    <xf numFmtId="0" fontId="0" fillId="11" borderId="0" xfId="0" applyFill="1" applyAlignment="1">
      <alignment vertical="top"/>
    </xf>
    <xf numFmtId="0" fontId="8" fillId="34" borderId="0" xfId="0" applyNumberFormat="1" applyFont="1" applyFill="1" applyAlignment="1">
      <alignment horizontal="center" vertical="top"/>
    </xf>
    <xf numFmtId="0" fontId="0" fillId="0" borderId="0" xfId="0" applyAlignment="1">
      <alignment horizontal="center" vertical="top"/>
    </xf>
    <xf numFmtId="14" fontId="0" fillId="0" borderId="0" xfId="0" applyNumberFormat="1" applyAlignment="1">
      <alignment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49" fontId="7" fillId="0" borderId="0" xfId="0" applyNumberFormat="1" applyFont="1" applyFill="1" applyBorder="1" applyAlignment="1" applyProtection="1">
      <alignment horizontal="left" vertical="top"/>
      <protection/>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39" fontId="18" fillId="0" borderId="0" xfId="0" applyNumberFormat="1" applyFont="1" applyBorder="1" applyAlignment="1">
      <alignment horizontal="center" vertical="top"/>
    </xf>
    <xf numFmtId="39" fontId="18" fillId="4" borderId="0" xfId="0" applyNumberFormat="1" applyFont="1" applyFill="1" applyBorder="1" applyAlignment="1">
      <alignment horizontal="center" vertical="top"/>
    </xf>
    <xf numFmtId="39" fontId="18" fillId="7" borderId="0" xfId="0" applyNumberFormat="1" applyFont="1" applyFill="1" applyBorder="1" applyAlignment="1">
      <alignment horizontal="center" vertical="top"/>
    </xf>
    <xf numFmtId="39" fontId="18" fillId="0" borderId="8" xfId="0" applyNumberFormat="1" applyFont="1" applyBorder="1" applyAlignment="1">
      <alignment horizontal="center" vertical="top"/>
    </xf>
    <xf numFmtId="39" fontId="18" fillId="4" borderId="0" xfId="0" applyNumberFormat="1" applyFont="1" applyFill="1" applyBorder="1" applyAlignment="1">
      <alignment horizontal="right" vertical="top"/>
    </xf>
    <xf numFmtId="39" fontId="18" fillId="7" borderId="0" xfId="0" applyNumberFormat="1" applyFont="1" applyFill="1" applyBorder="1" applyAlignment="1">
      <alignment horizontal="right" vertical="top"/>
    </xf>
    <xf numFmtId="39" fontId="10" fillId="4" borderId="8" xfId="0" applyNumberFormat="1" applyFont="1" applyFill="1" applyBorder="1" applyAlignment="1">
      <alignment horizontal="right" vertical="top"/>
    </xf>
    <xf numFmtId="39" fontId="10" fillId="7" borderId="8" xfId="0" applyNumberFormat="1" applyFont="1" applyFill="1" applyBorder="1" applyAlignment="1">
      <alignment horizontal="right" vertical="top"/>
    </xf>
    <xf numFmtId="39" fontId="10" fillId="7" borderId="8" xfId="0" applyNumberFormat="1" applyFont="1" applyFill="1" applyBorder="1" applyAlignment="1">
      <alignment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49" fontId="7" fillId="0" borderId="0" xfId="0" applyNumberFormat="1" applyFont="1" applyFill="1" applyBorder="1" applyAlignment="1" applyProtection="1">
      <alignment horizontal="left" vertical="top"/>
      <protection/>
    </xf>
    <xf numFmtId="0" fontId="10" fillId="38" borderId="0" xfId="0" applyFont="1" applyFill="1" applyAlignment="1">
      <alignment vertical="top"/>
    </xf>
    <xf numFmtId="39" fontId="10" fillId="38" borderId="0" xfId="0" applyNumberFormat="1" applyFont="1" applyFill="1" applyBorder="1" applyAlignment="1">
      <alignment horizontal="right" vertical="top"/>
    </xf>
    <xf numFmtId="0" fontId="10" fillId="38" borderId="8" xfId="0" applyFont="1" applyFill="1" applyBorder="1" applyAlignment="1">
      <alignment vertical="top"/>
    </xf>
    <xf numFmtId="39" fontId="10" fillId="38" borderId="8" xfId="0" applyNumberFormat="1" applyFont="1" applyFill="1" applyBorder="1" applyAlignment="1">
      <alignment horizontal="right" vertical="top"/>
    </xf>
    <xf numFmtId="39" fontId="10" fillId="0" borderId="0" xfId="0" applyNumberFormat="1" applyFont="1" applyFill="1" applyBorder="1" applyAlignment="1">
      <alignment horizontal="right" vertical="top"/>
    </xf>
    <xf numFmtId="39" fontId="10" fillId="38" borderId="17" xfId="0" applyNumberFormat="1" applyFont="1" applyFill="1" applyBorder="1" applyAlignment="1">
      <alignment horizontal="right" vertical="top"/>
    </xf>
    <xf numFmtId="39" fontId="18" fillId="38" borderId="0" xfId="0" applyNumberFormat="1" applyFont="1" applyFill="1" applyBorder="1" applyAlignment="1">
      <alignment horizontal="right" vertical="top"/>
    </xf>
    <xf numFmtId="0" fontId="18" fillId="38" borderId="0" xfId="0" applyFont="1" applyFill="1" applyAlignment="1">
      <alignment vertical="top"/>
    </xf>
    <xf numFmtId="0" fontId="18" fillId="38" borderId="17" xfId="0" applyFont="1" applyFill="1" applyBorder="1" applyAlignment="1">
      <alignment vertical="top"/>
    </xf>
    <xf numFmtId="0" fontId="8" fillId="34" borderId="0" xfId="0" applyNumberFormat="1" applyFont="1" applyFill="1" applyAlignment="1">
      <alignment horizontal="center" vertical="top"/>
    </xf>
    <xf numFmtId="4" fontId="18" fillId="0" borderId="0" xfId="0" applyNumberFormat="1" applyFont="1" applyFill="1" applyBorder="1" applyAlignment="1" applyProtection="1">
      <alignment vertical="top"/>
      <protection/>
    </xf>
    <xf numFmtId="4" fontId="18" fillId="0" borderId="17" xfId="0" applyNumberFormat="1" applyFont="1" applyFill="1" applyBorder="1" applyAlignment="1" applyProtection="1">
      <alignment vertical="top"/>
      <protection/>
    </xf>
    <xf numFmtId="39" fontId="0" fillId="0" borderId="0" xfId="0" applyNumberFormat="1" applyFont="1" applyAlignment="1" applyProtection="1">
      <alignment/>
      <protection/>
    </xf>
    <xf numFmtId="0" fontId="18" fillId="0" borderId="0" xfId="0" applyFont="1" applyAlignment="1">
      <alignment horizontal="center" vertical="top"/>
    </xf>
    <xf numFmtId="0" fontId="10" fillId="0" borderId="0" xfId="0" applyFont="1" applyAlignment="1">
      <alignment horizontal="center" vertical="top"/>
    </xf>
    <xf numFmtId="0" fontId="8" fillId="0" borderId="0" xfId="0" applyFont="1" applyFill="1" applyAlignment="1">
      <alignment horizontal="center" vertical="top"/>
    </xf>
    <xf numFmtId="0" fontId="8" fillId="0" borderId="0" xfId="0" applyFont="1" applyAlignment="1">
      <alignment horizontal="center"/>
    </xf>
    <xf numFmtId="0" fontId="18" fillId="7" borderId="0" xfId="0" applyFont="1" applyFill="1" applyBorder="1" applyAlignment="1">
      <alignment horizontal="center" vertical="top" wrapText="1"/>
    </xf>
    <xf numFmtId="0" fontId="18" fillId="7" borderId="8" xfId="0" applyFont="1" applyFill="1" applyBorder="1" applyAlignment="1">
      <alignment horizontal="center" vertical="top" wrapText="1"/>
    </xf>
    <xf numFmtId="37" fontId="18" fillId="0" borderId="0" xfId="0" applyNumberFormat="1" applyFont="1" applyFill="1" applyBorder="1" applyAlignment="1">
      <alignment horizontal="center"/>
    </xf>
    <xf numFmtId="0" fontId="18" fillId="4" borderId="0" xfId="0" applyFont="1" applyFill="1" applyBorder="1" applyAlignment="1">
      <alignment horizontal="center" vertical="top"/>
    </xf>
    <xf numFmtId="0" fontId="18" fillId="4" borderId="8" xfId="0" applyFont="1" applyFill="1" applyBorder="1" applyAlignment="1">
      <alignment horizontal="center" vertical="top"/>
    </xf>
    <xf numFmtId="37" fontId="18" fillId="0" borderId="0" xfId="0" applyNumberFormat="1" applyFont="1" applyFill="1" applyBorder="1" applyAlignment="1">
      <alignment horizontal="center" vertical="top"/>
    </xf>
    <xf numFmtId="37" fontId="18" fillId="0" borderId="0" xfId="0" applyNumberFormat="1" applyFont="1" applyFill="1" applyAlignment="1">
      <alignment horizontal="center" vertical="top"/>
    </xf>
    <xf numFmtId="0" fontId="18" fillId="0" borderId="0" xfId="0" applyFont="1" applyFill="1" applyAlignment="1">
      <alignment horizontal="center" vertical="top"/>
    </xf>
    <xf numFmtId="0" fontId="8" fillId="34" borderId="0" xfId="0" applyNumberFormat="1" applyFont="1" applyFill="1" applyAlignment="1">
      <alignment horizontal="center" vertical="top"/>
    </xf>
    <xf numFmtId="49" fontId="23" fillId="0" borderId="0" xfId="0" applyNumberFormat="1" applyFont="1" applyFill="1" applyBorder="1" applyAlignment="1" applyProtection="1">
      <alignment horizontal="left" vertical="top"/>
      <protection/>
    </xf>
    <xf numFmtId="49" fontId="7" fillId="0" borderId="0" xfId="0" applyNumberFormat="1" applyFont="1" applyFill="1" applyBorder="1" applyAlignment="1" applyProtection="1">
      <alignment horizontal="left" vertical="top"/>
      <protection/>
    </xf>
    <xf numFmtId="49" fontId="14" fillId="0" borderId="0" xfId="0" applyNumberFormat="1" applyFont="1" applyFill="1" applyBorder="1" applyAlignment="1" applyProtection="1">
      <alignment horizontal="left" vertical="top"/>
      <protection/>
    </xf>
    <xf numFmtId="49" fontId="14"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left" vertical="top"/>
      <protection/>
    </xf>
    <xf numFmtId="166" fontId="10" fillId="0" borderId="0" xfId="0" applyNumberFormat="1" applyFont="1" applyFill="1" applyBorder="1" applyAlignment="1" applyProtection="1">
      <alignment horizontal="right" vertical="top"/>
      <protection/>
    </xf>
    <xf numFmtId="4" fontId="10" fillId="0" borderId="0" xfId="0" applyNumberFormat="1" applyFont="1" applyFill="1" applyBorder="1" applyAlignment="1" applyProtection="1">
      <alignment horizontal="right" vertical="top"/>
      <protection/>
    </xf>
    <xf numFmtId="49" fontId="23" fillId="0" borderId="0" xfId="0" applyNumberFormat="1" applyFont="1" applyFill="1" applyBorder="1" applyAlignment="1" applyProtection="1">
      <alignment horizontal="right" vertical="top"/>
      <protection/>
    </xf>
    <xf numFmtId="4" fontId="18" fillId="0" borderId="0" xfId="0" applyNumberFormat="1" applyFont="1" applyFill="1" applyBorder="1" applyAlignment="1" applyProtection="1">
      <alignment horizontal="right" vertical="top"/>
      <protection/>
    </xf>
    <xf numFmtId="166" fontId="18" fillId="0" borderId="0" xfId="0" applyNumberFormat="1" applyFont="1" applyFill="1" applyBorder="1" applyAlignment="1" applyProtection="1">
      <alignment horizontal="right" vertical="top"/>
      <protection/>
    </xf>
    <xf numFmtId="4" fontId="10" fillId="0" borderId="8"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left" vertical="top"/>
      <protection/>
    </xf>
    <xf numFmtId="166" fontId="10" fillId="0" borderId="0" xfId="0" applyNumberFormat="1" applyFont="1" applyFill="1" applyBorder="1" applyAlignment="1" applyProtection="1">
      <alignment horizontal="right" vertical="top"/>
      <protection/>
    </xf>
    <xf numFmtId="4" fontId="10" fillId="0" borderId="0" xfId="0" applyNumberFormat="1" applyFont="1" applyFill="1" applyBorder="1" applyAlignment="1" applyProtection="1">
      <alignment horizontal="right" vertical="top"/>
      <protection/>
    </xf>
    <xf numFmtId="49" fontId="23" fillId="0" borderId="0" xfId="0" applyNumberFormat="1" applyFont="1" applyFill="1" applyBorder="1" applyAlignment="1" applyProtection="1">
      <alignment horizontal="left" vertical="top"/>
      <protection/>
    </xf>
    <xf numFmtId="49" fontId="7" fillId="0" borderId="0" xfId="0" applyNumberFormat="1" applyFont="1" applyFill="1" applyBorder="1" applyAlignment="1" applyProtection="1">
      <alignment horizontal="left" vertical="top"/>
      <protection/>
    </xf>
    <xf numFmtId="49" fontId="14" fillId="0" borderId="0" xfId="0" applyNumberFormat="1" applyFont="1" applyFill="1" applyBorder="1" applyAlignment="1" applyProtection="1">
      <alignment horizontal="right" vertical="top"/>
      <protection/>
    </xf>
    <xf numFmtId="49" fontId="23" fillId="0" borderId="0" xfId="0" applyNumberFormat="1" applyFont="1" applyFill="1" applyBorder="1" applyAlignment="1" applyProtection="1">
      <alignment horizontal="right" vertical="top"/>
      <protection/>
    </xf>
    <xf numFmtId="49" fontId="14" fillId="0" borderId="0" xfId="0" applyNumberFormat="1" applyFont="1" applyFill="1" applyBorder="1" applyAlignment="1" applyProtection="1">
      <alignment horizontal="left" vertical="top"/>
      <protection/>
    </xf>
    <xf numFmtId="4" fontId="18" fillId="0" borderId="0" xfId="0" applyNumberFormat="1" applyFont="1" applyFill="1" applyBorder="1" applyAlignment="1" applyProtection="1">
      <alignment horizontal="right" vertical="top"/>
      <protection/>
    </xf>
    <xf numFmtId="166" fontId="18" fillId="0" borderId="0" xfId="0" applyNumberFormat="1" applyFont="1" applyFill="1" applyBorder="1" applyAlignment="1" applyProtection="1">
      <alignment horizontal="right" vertical="top"/>
      <protection/>
    </xf>
    <xf numFmtId="4" fontId="61" fillId="0" borderId="0" xfId="0" applyNumberFormat="1" applyFont="1" applyAlignment="1" applyProtection="1">
      <alignment horizontal="right" vertical="top"/>
      <protection/>
    </xf>
    <xf numFmtId="0" fontId="62" fillId="0" borderId="0" xfId="0" applyFont="1" applyAlignment="1" applyProtection="1">
      <alignment horizontal="right" vertical="top"/>
      <protection/>
    </xf>
    <xf numFmtId="0" fontId="0" fillId="0" borderId="0" xfId="0" applyAlignment="1" applyProtection="1">
      <alignment horizontal="left" vertical="top"/>
      <protection/>
    </xf>
    <xf numFmtId="166" fontId="63" fillId="0" borderId="0" xfId="0" applyNumberFormat="1" applyFont="1" applyAlignment="1" applyProtection="1">
      <alignment horizontal="right" vertical="top"/>
      <protection/>
    </xf>
    <xf numFmtId="4" fontId="63" fillId="0" borderId="0" xfId="0" applyNumberFormat="1" applyFont="1" applyAlignment="1" applyProtection="1">
      <alignment horizontal="right" vertical="top"/>
      <protection/>
    </xf>
    <xf numFmtId="0" fontId="63" fillId="0" borderId="0" xfId="0" applyFont="1" applyAlignment="1" applyProtection="1">
      <alignment horizontal="left" vertical="top"/>
      <protection/>
    </xf>
    <xf numFmtId="0" fontId="64" fillId="0" borderId="0" xfId="0" applyFont="1" applyAlignment="1" applyProtection="1">
      <alignment horizontal="left" vertical="top"/>
      <protection/>
    </xf>
    <xf numFmtId="166" fontId="61" fillId="0" borderId="0" xfId="0" applyNumberFormat="1" applyFont="1" applyAlignment="1" applyProtection="1">
      <alignment horizontal="right" vertical="top"/>
      <protection/>
    </xf>
    <xf numFmtId="0" fontId="65" fillId="0" borderId="0" xfId="0" applyFont="1" applyAlignment="1" applyProtection="1">
      <alignment horizontal="left" vertical="top"/>
      <protection/>
    </xf>
    <xf numFmtId="0" fontId="62" fillId="0" borderId="0" xfId="0" applyFont="1" applyAlignment="1" applyProtection="1">
      <alignment horizontal="left" vertical="top" wrapText="1"/>
      <protection/>
    </xf>
    <xf numFmtId="0" fontId="62" fillId="0" borderId="0" xfId="0" applyFont="1" applyAlignment="1" applyProtection="1">
      <alignment horizontal="right" vertical="top" wrapText="1"/>
      <protection/>
    </xf>
    <xf numFmtId="0" fontId="65" fillId="0" borderId="0" xfId="0" applyFont="1" applyAlignment="1" applyProtection="1">
      <alignment horizontal="right" vertical="top"/>
      <protection/>
    </xf>
    <xf numFmtId="39" fontId="18" fillId="4" borderId="0" xfId="0" applyNumberFormat="1" applyFont="1" applyFill="1" applyBorder="1" applyAlignment="1">
      <alignment horizontal="center"/>
    </xf>
    <xf numFmtId="39" fontId="18" fillId="7" borderId="0" xfId="0" applyNumberFormat="1" applyFont="1" applyFill="1" applyBorder="1" applyAlignment="1">
      <alignment horizontal="center"/>
    </xf>
    <xf numFmtId="0" fontId="15" fillId="0" borderId="0" xfId="0" applyFont="1" applyAlignment="1">
      <alignment horizontal="center" vertical="top"/>
    </xf>
    <xf numFmtId="0" fontId="13" fillId="4" borderId="0" xfId="0" applyFont="1" applyFill="1" applyBorder="1" applyAlignment="1">
      <alignment horizontal="center" vertical="top"/>
    </xf>
    <xf numFmtId="0" fontId="13" fillId="4" borderId="0" xfId="0" applyFont="1" applyFill="1" applyAlignment="1">
      <alignment horizontal="center" vertical="top"/>
    </xf>
    <xf numFmtId="0" fontId="13" fillId="7" borderId="0" xfId="0" applyFont="1" applyFill="1" applyAlignment="1">
      <alignment horizontal="center" vertical="top"/>
    </xf>
    <xf numFmtId="0" fontId="13" fillId="7" borderId="0" xfId="0" applyFont="1" applyFill="1" applyBorder="1" applyAlignment="1">
      <alignment horizontal="center" vertical="top"/>
    </xf>
    <xf numFmtId="166" fontId="18" fillId="0" borderId="0" xfId="0" applyNumberFormat="1" applyFont="1" applyFill="1" applyBorder="1" applyAlignment="1" applyProtection="1">
      <alignment horizontal="right" vertical="top"/>
      <protection/>
    </xf>
    <xf numFmtId="4" fontId="18" fillId="0" borderId="0" xfId="0" applyNumberFormat="1" applyFont="1" applyFill="1" applyBorder="1" applyAlignment="1" applyProtection="1">
      <alignment horizontal="right" vertical="top"/>
      <protection/>
    </xf>
    <xf numFmtId="49" fontId="14" fillId="0" borderId="0" xfId="0" applyNumberFormat="1" applyFont="1" applyFill="1" applyBorder="1" applyAlignment="1" applyProtection="1">
      <alignment horizontal="right" vertical="top"/>
      <protection/>
    </xf>
    <xf numFmtId="166" fontId="10" fillId="0" borderId="0" xfId="0" applyNumberFormat="1" applyFont="1" applyFill="1" applyBorder="1" applyAlignment="1" applyProtection="1">
      <alignment horizontal="right" vertical="top"/>
      <protection/>
    </xf>
    <xf numFmtId="4"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left" vertical="top"/>
      <protection/>
    </xf>
    <xf numFmtId="49" fontId="7" fillId="0" borderId="0" xfId="0" applyNumberFormat="1" applyFont="1" applyFill="1" applyBorder="1" applyAlignment="1" applyProtection="1">
      <alignment horizontal="left" vertical="top"/>
      <protection/>
    </xf>
    <xf numFmtId="49" fontId="14" fillId="0" borderId="0" xfId="0" applyNumberFormat="1" applyFont="1" applyFill="1" applyBorder="1" applyAlignment="1" applyProtection="1">
      <alignment horizontal="left" vertical="top"/>
      <protection/>
    </xf>
    <xf numFmtId="0" fontId="0" fillId="0" borderId="0" xfId="0" applyFont="1" applyAlignment="1">
      <alignment horizontal="center" vertical="top"/>
    </xf>
    <xf numFmtId="0" fontId="0" fillId="0" borderId="0" xfId="0" applyAlignment="1">
      <alignment horizontal="center"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_Bi 05 CSS Prog" xfId="62"/>
    <cellStyle name="Normal_trust fund working copy"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nancial%20Mgmt%20Div\Management%20reports\External%20Financial%20Reports\Public%20Purpose%20Charge\Q1%202016\PPC%20-%20Energy%20Conservation%20Helping%20Oregonians%20-%209_30_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PC ECHO WX GMR"/>
      <sheetName val="PPC ECHO WX External"/>
      <sheetName val="Statement"/>
      <sheetName val="Cash Flow 15-17"/>
      <sheetName val="Obligations 15-17 at 9-30-15"/>
      <sheetName val="Cash Flow 11-13"/>
      <sheetName val="Obligations 13-15 at 9-30-15"/>
      <sheetName val="Obligations 13-15 at 6-30-15"/>
      <sheetName val="Obligations 11-13 at 6-30-13"/>
      <sheetName val="Reconciliation"/>
    </sheetNames>
    <sheetDataSet>
      <sheetData sheetId="7">
        <row r="9">
          <cell r="P9">
            <v>0</v>
          </cell>
        </row>
        <row r="10">
          <cell r="P10">
            <v>1812.11</v>
          </cell>
        </row>
        <row r="11">
          <cell r="P11">
            <v>3154</v>
          </cell>
        </row>
        <row r="12">
          <cell r="P12">
            <v>1666</v>
          </cell>
        </row>
        <row r="13">
          <cell r="P13">
            <v>0</v>
          </cell>
        </row>
        <row r="14">
          <cell r="P14">
            <v>0</v>
          </cell>
        </row>
        <row r="15">
          <cell r="P15">
            <v>670.54</v>
          </cell>
        </row>
        <row r="16">
          <cell r="P16">
            <v>1890</v>
          </cell>
        </row>
        <row r="17">
          <cell r="P17">
            <v>1754</v>
          </cell>
        </row>
        <row r="18">
          <cell r="P18">
            <v>0</v>
          </cell>
        </row>
        <row r="19">
          <cell r="P19">
            <v>265</v>
          </cell>
        </row>
        <row r="25">
          <cell r="P25">
            <v>0</v>
          </cell>
        </row>
        <row r="26">
          <cell r="P26">
            <v>20681.36</v>
          </cell>
        </row>
        <row r="27">
          <cell r="P27">
            <v>24112</v>
          </cell>
        </row>
        <row r="28">
          <cell r="P28">
            <v>18852</v>
          </cell>
        </row>
        <row r="29">
          <cell r="P29">
            <v>0</v>
          </cell>
        </row>
        <row r="30">
          <cell r="P30">
            <v>90.69</v>
          </cell>
        </row>
        <row r="31">
          <cell r="P31">
            <v>0</v>
          </cell>
        </row>
        <row r="32">
          <cell r="P32">
            <v>17478</v>
          </cell>
        </row>
        <row r="33">
          <cell r="P33">
            <v>1330</v>
          </cell>
        </row>
        <row r="34">
          <cell r="P34">
            <v>0</v>
          </cell>
        </row>
        <row r="35">
          <cell r="P35">
            <v>8027</v>
          </cell>
        </row>
        <row r="45">
          <cell r="P45">
            <v>8217</v>
          </cell>
        </row>
        <row r="46">
          <cell r="P46">
            <v>5028.52</v>
          </cell>
        </row>
        <row r="47">
          <cell r="P47">
            <v>1196.09</v>
          </cell>
        </row>
        <row r="48">
          <cell r="P48">
            <v>3574</v>
          </cell>
        </row>
        <row r="49">
          <cell r="P49">
            <v>428</v>
          </cell>
        </row>
        <row r="55">
          <cell r="P55">
            <v>121102</v>
          </cell>
        </row>
        <row r="56">
          <cell r="P56">
            <v>35820.98</v>
          </cell>
        </row>
        <row r="57">
          <cell r="P57">
            <v>0</v>
          </cell>
        </row>
        <row r="58">
          <cell r="P58">
            <v>26680</v>
          </cell>
        </row>
        <row r="59">
          <cell r="P59">
            <v>24348</v>
          </cell>
        </row>
        <row r="79">
          <cell r="P79">
            <v>0</v>
          </cell>
        </row>
        <row r="80">
          <cell r="P80">
            <v>1210</v>
          </cell>
        </row>
        <row r="81">
          <cell r="P81">
            <v>0</v>
          </cell>
        </row>
        <row r="82">
          <cell r="P82">
            <v>0</v>
          </cell>
        </row>
        <row r="83">
          <cell r="P83">
            <v>0</v>
          </cell>
        </row>
        <row r="84">
          <cell r="P84">
            <v>0</v>
          </cell>
        </row>
        <row r="85">
          <cell r="P85">
            <v>219</v>
          </cell>
        </row>
        <row r="86">
          <cell r="P86">
            <v>750.04</v>
          </cell>
        </row>
        <row r="87">
          <cell r="P87">
            <v>0</v>
          </cell>
        </row>
        <row r="88">
          <cell r="P88">
            <v>558</v>
          </cell>
        </row>
        <row r="89">
          <cell r="P89">
            <v>0</v>
          </cell>
        </row>
        <row r="90">
          <cell r="P90">
            <v>0</v>
          </cell>
        </row>
        <row r="91">
          <cell r="P91">
            <v>0</v>
          </cell>
        </row>
        <row r="101">
          <cell r="P101">
            <v>27195.36</v>
          </cell>
        </row>
        <row r="102">
          <cell r="P102">
            <v>6799.05</v>
          </cell>
        </row>
        <row r="103">
          <cell r="P103">
            <v>11164</v>
          </cell>
        </row>
        <row r="104">
          <cell r="P104">
            <v>858</v>
          </cell>
        </row>
        <row r="105">
          <cell r="P105">
            <v>8556</v>
          </cell>
        </row>
        <row r="106">
          <cell r="P106">
            <v>1533.2</v>
          </cell>
        </row>
        <row r="107">
          <cell r="P107">
            <v>1647.6</v>
          </cell>
        </row>
        <row r="108">
          <cell r="P108">
            <v>40206.74</v>
          </cell>
        </row>
        <row r="109">
          <cell r="P109">
            <v>0</v>
          </cell>
        </row>
        <row r="110">
          <cell r="P110">
            <v>7688</v>
          </cell>
        </row>
        <row r="111">
          <cell r="P111">
            <v>22256.44</v>
          </cell>
        </row>
        <row r="112">
          <cell r="P112">
            <v>4169</v>
          </cell>
        </row>
        <row r="113">
          <cell r="P113">
            <v>3424</v>
          </cell>
        </row>
        <row r="119">
          <cell r="P119">
            <v>149295.62</v>
          </cell>
        </row>
        <row r="120">
          <cell r="P120">
            <v>33039.18</v>
          </cell>
        </row>
        <row r="121">
          <cell r="P121">
            <v>54472</v>
          </cell>
        </row>
        <row r="122">
          <cell r="P122">
            <v>7541</v>
          </cell>
        </row>
        <row r="123">
          <cell r="P123">
            <v>22738</v>
          </cell>
        </row>
        <row r="124">
          <cell r="P124">
            <v>17182.13</v>
          </cell>
        </row>
        <row r="125">
          <cell r="P125">
            <v>54548.69</v>
          </cell>
        </row>
        <row r="126">
          <cell r="P126">
            <v>450671.54</v>
          </cell>
        </row>
        <row r="127">
          <cell r="P127">
            <v>29135</v>
          </cell>
        </row>
        <row r="128">
          <cell r="P128">
            <v>108100</v>
          </cell>
        </row>
        <row r="129">
          <cell r="P129">
            <v>232916.66</v>
          </cell>
        </row>
        <row r="130">
          <cell r="P130">
            <v>64567.75</v>
          </cell>
        </row>
        <row r="131">
          <cell r="P131">
            <v>41762</v>
          </cell>
        </row>
        <row r="141">
          <cell r="P141">
            <v>59597</v>
          </cell>
        </row>
        <row r="142">
          <cell r="P142">
            <v>83933.74</v>
          </cell>
        </row>
        <row r="143">
          <cell r="P143">
            <v>66848.6</v>
          </cell>
        </row>
        <row r="144">
          <cell r="P144">
            <v>0</v>
          </cell>
        </row>
        <row r="145">
          <cell r="P145">
            <v>9145</v>
          </cell>
        </row>
        <row r="151">
          <cell r="P151">
            <v>478693</v>
          </cell>
        </row>
        <row r="152">
          <cell r="P152">
            <v>663541.17</v>
          </cell>
        </row>
        <row r="153">
          <cell r="P153">
            <v>435095.62</v>
          </cell>
        </row>
        <row r="154">
          <cell r="P154">
            <v>172281.52</v>
          </cell>
        </row>
        <row r="155">
          <cell r="P155">
            <v>97295</v>
          </cell>
        </row>
        <row r="165">
          <cell r="P165">
            <v>13202</v>
          </cell>
        </row>
        <row r="166">
          <cell r="P166">
            <v>21089.84</v>
          </cell>
        </row>
        <row r="167">
          <cell r="P167">
            <v>0</v>
          </cell>
        </row>
        <row r="168">
          <cell r="P168">
            <v>8065</v>
          </cell>
        </row>
        <row r="169">
          <cell r="P169">
            <v>1565</v>
          </cell>
        </row>
        <row r="179">
          <cell r="P179">
            <v>0</v>
          </cell>
        </row>
      </sheetData>
      <sheetData sheetId="8">
        <row r="9">
          <cell r="P9">
            <v>779.2</v>
          </cell>
        </row>
        <row r="10">
          <cell r="P10">
            <v>2997.27</v>
          </cell>
        </row>
        <row r="11">
          <cell r="P11">
            <v>1784</v>
          </cell>
        </row>
        <row r="12">
          <cell r="P12">
            <v>1156</v>
          </cell>
        </row>
        <row r="13">
          <cell r="P13">
            <v>0</v>
          </cell>
        </row>
        <row r="14">
          <cell r="P14">
            <v>202.63</v>
          </cell>
        </row>
        <row r="15">
          <cell r="P15">
            <v>4458.09</v>
          </cell>
        </row>
        <row r="16">
          <cell r="P16">
            <v>486</v>
          </cell>
        </row>
        <row r="17">
          <cell r="P17">
            <v>2807</v>
          </cell>
        </row>
        <row r="18">
          <cell r="P18">
            <v>1822</v>
          </cell>
        </row>
        <row r="19">
          <cell r="P19">
            <v>0</v>
          </cell>
        </row>
        <row r="25">
          <cell r="P25">
            <v>6778.87</v>
          </cell>
        </row>
        <row r="26">
          <cell r="P26">
            <v>11435.01</v>
          </cell>
        </row>
        <row r="27">
          <cell r="P27">
            <v>20064</v>
          </cell>
        </row>
        <row r="28">
          <cell r="P28">
            <v>13428</v>
          </cell>
        </row>
        <row r="29">
          <cell r="P29">
            <v>0</v>
          </cell>
        </row>
        <row r="30">
          <cell r="P30">
            <v>0</v>
          </cell>
        </row>
        <row r="31">
          <cell r="P31">
            <v>51045.91</v>
          </cell>
        </row>
        <row r="32">
          <cell r="P32">
            <v>50866</v>
          </cell>
        </row>
        <row r="33">
          <cell r="P33">
            <v>15385</v>
          </cell>
        </row>
        <row r="34">
          <cell r="P34">
            <v>7706</v>
          </cell>
        </row>
        <row r="35">
          <cell r="P35">
            <v>0</v>
          </cell>
        </row>
        <row r="45">
          <cell r="P45">
            <v>2506</v>
          </cell>
        </row>
        <row r="46">
          <cell r="P46">
            <v>0</v>
          </cell>
        </row>
        <row r="47">
          <cell r="P47">
            <v>7685.49</v>
          </cell>
        </row>
        <row r="48">
          <cell r="P48">
            <v>3503</v>
          </cell>
        </row>
        <row r="49">
          <cell r="P49">
            <v>8576</v>
          </cell>
        </row>
        <row r="55">
          <cell r="P55">
            <v>47507</v>
          </cell>
        </row>
        <row r="56">
          <cell r="P56">
            <v>0</v>
          </cell>
        </row>
        <row r="57">
          <cell r="P57">
            <v>88024.51</v>
          </cell>
        </row>
        <row r="58">
          <cell r="P58">
            <v>96599</v>
          </cell>
        </row>
        <row r="59">
          <cell r="P59">
            <v>39299</v>
          </cell>
        </row>
        <row r="69">
          <cell r="P69">
            <v>0</v>
          </cell>
        </row>
        <row r="79">
          <cell r="P79">
            <v>1349.72</v>
          </cell>
        </row>
        <row r="80">
          <cell r="P80">
            <v>871.12</v>
          </cell>
        </row>
        <row r="81">
          <cell r="P81">
            <v>744</v>
          </cell>
        </row>
        <row r="82">
          <cell r="P82">
            <v>105</v>
          </cell>
        </row>
        <row r="83">
          <cell r="P83">
            <v>1755</v>
          </cell>
        </row>
        <row r="84">
          <cell r="P84">
            <v>0</v>
          </cell>
        </row>
        <row r="85">
          <cell r="P85">
            <v>1034</v>
          </cell>
        </row>
        <row r="86">
          <cell r="P86">
            <v>5676</v>
          </cell>
        </row>
        <row r="87">
          <cell r="P87">
            <v>4078</v>
          </cell>
        </row>
        <row r="88">
          <cell r="P88">
            <v>0</v>
          </cell>
        </row>
        <row r="89">
          <cell r="P89">
            <v>0</v>
          </cell>
        </row>
        <row r="90">
          <cell r="P90">
            <v>926</v>
          </cell>
        </row>
        <row r="91">
          <cell r="P91">
            <v>0</v>
          </cell>
        </row>
        <row r="101">
          <cell r="P101">
            <v>59189.14</v>
          </cell>
        </row>
        <row r="102">
          <cell r="P102">
            <v>13763.45</v>
          </cell>
        </row>
        <row r="103">
          <cell r="P103">
            <v>7148</v>
          </cell>
        </row>
        <row r="104">
          <cell r="P104">
            <v>807</v>
          </cell>
        </row>
        <row r="105">
          <cell r="P105">
            <v>14885</v>
          </cell>
        </row>
        <row r="106">
          <cell r="P106">
            <v>5262</v>
          </cell>
        </row>
        <row r="107">
          <cell r="P107">
            <v>2365.18</v>
          </cell>
        </row>
        <row r="108">
          <cell r="P108">
            <v>56290.25</v>
          </cell>
        </row>
        <row r="109">
          <cell r="P109">
            <v>18158</v>
          </cell>
        </row>
        <row r="110">
          <cell r="P110">
            <v>42137</v>
          </cell>
        </row>
        <row r="111">
          <cell r="P111">
            <v>27521</v>
          </cell>
        </row>
        <row r="112">
          <cell r="P112">
            <v>11396</v>
          </cell>
        </row>
        <row r="113">
          <cell r="P113">
            <v>5344</v>
          </cell>
        </row>
        <row r="119">
          <cell r="P119">
            <v>365515.58</v>
          </cell>
        </row>
        <row r="120">
          <cell r="P120">
            <v>90653.39</v>
          </cell>
        </row>
        <row r="121">
          <cell r="P121">
            <v>11189</v>
          </cell>
        </row>
        <row r="122">
          <cell r="P122">
            <v>10946</v>
          </cell>
        </row>
        <row r="123">
          <cell r="P123">
            <v>184499</v>
          </cell>
        </row>
        <row r="124">
          <cell r="P124">
            <v>35314</v>
          </cell>
        </row>
        <row r="125">
          <cell r="P125">
            <v>10610.09</v>
          </cell>
        </row>
        <row r="126">
          <cell r="P126">
            <v>511409.75</v>
          </cell>
        </row>
        <row r="127">
          <cell r="P127">
            <v>123125</v>
          </cell>
        </row>
        <row r="128">
          <cell r="P128">
            <v>135633</v>
          </cell>
        </row>
        <row r="129">
          <cell r="P129">
            <v>231787</v>
          </cell>
        </row>
        <row r="130">
          <cell r="P130">
            <v>31411</v>
          </cell>
        </row>
        <row r="131">
          <cell r="P131">
            <v>47031</v>
          </cell>
        </row>
        <row r="141">
          <cell r="P141">
            <v>94490</v>
          </cell>
        </row>
        <row r="143">
          <cell r="P143">
            <v>24003.45</v>
          </cell>
        </row>
        <row r="144">
          <cell r="P144">
            <v>196430.88</v>
          </cell>
        </row>
        <row r="145">
          <cell r="P145">
            <v>98926</v>
          </cell>
        </row>
        <row r="146">
          <cell r="P146">
            <v>9830</v>
          </cell>
        </row>
        <row r="152">
          <cell r="P152">
            <v>651327</v>
          </cell>
        </row>
        <row r="153">
          <cell r="P153">
            <v>202324.08</v>
          </cell>
        </row>
        <row r="154">
          <cell r="P154">
            <v>2179733.12</v>
          </cell>
        </row>
        <row r="155">
          <cell r="P155">
            <v>816987</v>
          </cell>
        </row>
        <row r="156">
          <cell r="P156">
            <v>1562</v>
          </cell>
        </row>
        <row r="166">
          <cell r="P166">
            <v>945.01</v>
          </cell>
        </row>
        <row r="177">
          <cell r="P177">
            <v>3483</v>
          </cell>
        </row>
        <row r="178">
          <cell r="P178">
            <v>11976.34</v>
          </cell>
        </row>
        <row r="179">
          <cell r="P179">
            <v>10396</v>
          </cell>
        </row>
        <row r="180">
          <cell r="P180">
            <v>5895</v>
          </cell>
        </row>
        <row r="181">
          <cell r="P181">
            <v>453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9"/>
  <sheetViews>
    <sheetView zoomScalePageLayoutView="0" workbookViewId="0" topLeftCell="A1">
      <selection activeCell="A5" sqref="A5"/>
    </sheetView>
  </sheetViews>
  <sheetFormatPr defaultColWidth="9.33203125" defaultRowHeight="10.5"/>
  <cols>
    <col min="1" max="1" width="46.16015625" style="98" customWidth="1"/>
    <col min="2" max="7" width="14.83203125" style="98" customWidth="1"/>
    <col min="8" max="8" width="16" style="98" bestFit="1" customWidth="1"/>
    <col min="9" max="16384" width="9.33203125" style="98" customWidth="1"/>
  </cols>
  <sheetData>
    <row r="1" spans="1:8" ht="11.25">
      <c r="A1" s="531" t="s">
        <v>179</v>
      </c>
      <c r="B1" s="531"/>
      <c r="C1" s="531"/>
      <c r="D1" s="531"/>
      <c r="E1" s="531"/>
      <c r="F1" s="531"/>
      <c r="G1" s="531"/>
      <c r="H1" s="531"/>
    </row>
    <row r="2" spans="1:8" ht="11.25">
      <c r="A2" s="532" t="s">
        <v>180</v>
      </c>
      <c r="B2" s="532"/>
      <c r="C2" s="532"/>
      <c r="D2" s="532"/>
      <c r="E2" s="532"/>
      <c r="F2" s="532"/>
      <c r="G2" s="532"/>
      <c r="H2" s="532"/>
    </row>
    <row r="3" spans="1:8" ht="11.25">
      <c r="A3" s="532" t="s">
        <v>532</v>
      </c>
      <c r="B3" s="532"/>
      <c r="C3" s="532"/>
      <c r="D3" s="532"/>
      <c r="E3" s="532"/>
      <c r="F3" s="532"/>
      <c r="G3" s="532"/>
      <c r="H3" s="532"/>
    </row>
    <row r="4" ht="10.5">
      <c r="A4" s="180" t="s">
        <v>99</v>
      </c>
    </row>
    <row r="5" spans="1:7" ht="10.5">
      <c r="A5" s="180"/>
      <c r="B5" s="453">
        <f>B14/H14</f>
        <v>0.040681092379389265</v>
      </c>
      <c r="C5" s="453">
        <f>C14/H14</f>
        <v>0.03673117794871667</v>
      </c>
      <c r="D5" s="453">
        <f>D14/H14</f>
        <v>0.44089719931494004</v>
      </c>
      <c r="E5" s="453">
        <f>E14/H14</f>
        <v>0.4154394999930442</v>
      </c>
      <c r="F5" s="453">
        <f>F14/H14</f>
        <v>0.02711518546974087</v>
      </c>
      <c r="G5" s="453">
        <f>G14/H14</f>
        <v>0.03913584489416899</v>
      </c>
    </row>
    <row r="6" spans="1:8" ht="10.5">
      <c r="A6" s="159" t="s">
        <v>99</v>
      </c>
      <c r="B6" s="470" t="s">
        <v>13</v>
      </c>
      <c r="C6" s="470" t="s">
        <v>13</v>
      </c>
      <c r="D6" s="310" t="s">
        <v>340</v>
      </c>
      <c r="E6" s="310" t="s">
        <v>343</v>
      </c>
      <c r="F6" s="310" t="s">
        <v>344</v>
      </c>
      <c r="G6" s="310" t="s">
        <v>344</v>
      </c>
      <c r="H6" s="470" t="s">
        <v>345</v>
      </c>
    </row>
    <row r="7" spans="2:8" ht="10.5" hidden="1">
      <c r="B7" s="470" t="s">
        <v>111</v>
      </c>
      <c r="C7" s="470" t="s">
        <v>76</v>
      </c>
      <c r="D7" s="310" t="s">
        <v>86</v>
      </c>
      <c r="E7" s="313" t="s">
        <v>93</v>
      </c>
      <c r="F7" s="313" t="s">
        <v>95</v>
      </c>
      <c r="G7" s="313" t="s">
        <v>97</v>
      </c>
      <c r="H7" s="471" t="s">
        <v>5</v>
      </c>
    </row>
    <row r="8" spans="1:8" ht="11.25" thickBot="1">
      <c r="A8" s="297"/>
      <c r="B8" s="299" t="s">
        <v>342</v>
      </c>
      <c r="C8" s="299" t="s">
        <v>235</v>
      </c>
      <c r="D8" s="311" t="s">
        <v>341</v>
      </c>
      <c r="E8" s="311" t="s">
        <v>386</v>
      </c>
      <c r="F8" s="311" t="s">
        <v>341</v>
      </c>
      <c r="G8" s="311" t="s">
        <v>386</v>
      </c>
      <c r="H8" s="298"/>
    </row>
    <row r="9" spans="1:8" ht="5.25" customHeight="1">
      <c r="A9" s="274"/>
      <c r="B9" s="443"/>
      <c r="C9" s="443"/>
      <c r="D9" s="443"/>
      <c r="E9" s="443"/>
      <c r="F9" s="443"/>
      <c r="G9" s="443"/>
      <c r="H9" s="247"/>
    </row>
    <row r="10" spans="1:8" ht="11.25">
      <c r="A10" s="518" t="s">
        <v>468</v>
      </c>
      <c r="B10" s="519">
        <v>189598.85</v>
      </c>
      <c r="C10" s="519">
        <v>947140.91</v>
      </c>
      <c r="D10" s="519">
        <v>2271665.38</v>
      </c>
      <c r="E10" s="519">
        <v>3247313.9</v>
      </c>
      <c r="F10" s="519">
        <v>121899.89</v>
      </c>
      <c r="G10" s="519">
        <v>369436.2</v>
      </c>
      <c r="H10" s="519">
        <f>SUM(B10:G10)</f>
        <v>7147055.129999999</v>
      </c>
    </row>
    <row r="11" spans="1:8" ht="11.25">
      <c r="A11" s="518" t="s">
        <v>198</v>
      </c>
      <c r="B11" s="519">
        <f>-275000</f>
        <v>-275000</v>
      </c>
      <c r="C11" s="519">
        <f>-607234-275000</f>
        <v>-882234</v>
      </c>
      <c r="D11" s="519">
        <v>319000</v>
      </c>
      <c r="E11" s="519">
        <v>231000</v>
      </c>
      <c r="F11" s="519">
        <v>323651</v>
      </c>
      <c r="G11" s="519">
        <v>283583</v>
      </c>
      <c r="H11" s="519">
        <f>SUM(B11:G11)</f>
        <v>0</v>
      </c>
    </row>
    <row r="12" spans="1:8" ht="11.25">
      <c r="A12" s="518" t="s">
        <v>200</v>
      </c>
      <c r="B12" s="519">
        <v>465789.88</v>
      </c>
      <c r="C12" s="519">
        <v>547988.11</v>
      </c>
      <c r="D12" s="519">
        <v>4766128.3</v>
      </c>
      <c r="E12" s="519">
        <v>3453693.59</v>
      </c>
      <c r="F12" s="519">
        <v>6892.05</v>
      </c>
      <c r="G12" s="519">
        <v>0</v>
      </c>
      <c r="H12" s="519">
        <f>SUM(B12:G12)</f>
        <v>9240491.93</v>
      </c>
    </row>
    <row r="13" spans="1:8" ht="11.25">
      <c r="A13" s="520" t="s">
        <v>199</v>
      </c>
      <c r="B13" s="521">
        <v>298414.41</v>
      </c>
      <c r="C13" s="521">
        <v>0</v>
      </c>
      <c r="D13" s="521">
        <v>0</v>
      </c>
      <c r="E13" s="521">
        <v>0</v>
      </c>
      <c r="F13" s="521">
        <v>0</v>
      </c>
      <c r="G13" s="521">
        <v>0</v>
      </c>
      <c r="H13" s="521">
        <f>SUM(B13:G13)</f>
        <v>298414.41</v>
      </c>
    </row>
    <row r="14" spans="1:8" ht="11.25">
      <c r="A14" s="525" t="s">
        <v>433</v>
      </c>
      <c r="B14" s="524">
        <f aca="true" t="shared" si="0" ref="B14:G14">SUM(B10:B13)</f>
        <v>678803.1399999999</v>
      </c>
      <c r="C14" s="524">
        <f t="shared" si="0"/>
        <v>612895.02</v>
      </c>
      <c r="D14" s="524">
        <f t="shared" si="0"/>
        <v>7356793.68</v>
      </c>
      <c r="E14" s="524">
        <f t="shared" si="0"/>
        <v>6932007.49</v>
      </c>
      <c r="F14" s="524">
        <f t="shared" si="0"/>
        <v>452442.94</v>
      </c>
      <c r="G14" s="524">
        <f t="shared" si="0"/>
        <v>653019.2</v>
      </c>
      <c r="H14" s="524">
        <f>SUM(B14:G14)</f>
        <v>16685961.469999999</v>
      </c>
    </row>
    <row r="15" spans="2:8" ht="10.5">
      <c r="B15" s="223"/>
      <c r="C15" s="223"/>
      <c r="D15" s="228"/>
      <c r="E15" s="228"/>
      <c r="F15" s="228"/>
      <c r="G15" s="228"/>
      <c r="H15" s="224"/>
    </row>
    <row r="16" spans="1:8" ht="11.25">
      <c r="A16" s="315" t="s">
        <v>434</v>
      </c>
      <c r="B16" s="417">
        <f>B18+B20</f>
        <v>345786.26</v>
      </c>
      <c r="C16" s="417">
        <f>C18+C20</f>
        <v>352485.67000000004</v>
      </c>
      <c r="D16" s="417">
        <f>D18+D20</f>
        <v>7697603.7</v>
      </c>
      <c r="E16" s="417">
        <f>E18+E20</f>
        <v>6429227.35</v>
      </c>
      <c r="F16" s="417">
        <f>F18+F20</f>
        <v>428402.5</v>
      </c>
      <c r="G16" s="417">
        <f>G18+G20</f>
        <v>469301.95999999996</v>
      </c>
      <c r="H16" s="417">
        <f>SUM(B16:G16)</f>
        <v>15722807.440000001</v>
      </c>
    </row>
    <row r="17" spans="1:8" ht="11.25">
      <c r="A17" s="315"/>
      <c r="B17" s="405"/>
      <c r="C17" s="405"/>
      <c r="D17" s="406"/>
      <c r="E17" s="406"/>
      <c r="F17" s="406"/>
      <c r="G17" s="406"/>
      <c r="H17" s="405"/>
    </row>
    <row r="18" spans="1:8" ht="11.25">
      <c r="A18" s="315" t="s">
        <v>435</v>
      </c>
      <c r="B18" s="417">
        <f>345786.26</f>
        <v>345786.26</v>
      </c>
      <c r="C18" s="417">
        <v>292415.52</v>
      </c>
      <c r="D18" s="522">
        <f>6186719.92</f>
        <v>6186719.92</v>
      </c>
      <c r="E18" s="522">
        <v>4143217.92</v>
      </c>
      <c r="F18" s="522">
        <v>324089.88</v>
      </c>
      <c r="G18" s="522">
        <v>274583.11</v>
      </c>
      <c r="H18" s="417">
        <f>SUM(B18:G18)</f>
        <v>11566812.610000001</v>
      </c>
    </row>
    <row r="19" spans="1:8" ht="11.25">
      <c r="A19" s="315"/>
      <c r="B19" s="405"/>
      <c r="C19" s="405"/>
      <c r="D19" s="406"/>
      <c r="E19" s="406"/>
      <c r="F19" s="406"/>
      <c r="G19" s="406"/>
      <c r="H19" s="405"/>
    </row>
    <row r="20" spans="1:8" ht="11.25">
      <c r="A20" s="315" t="s">
        <v>437</v>
      </c>
      <c r="B20" s="417">
        <f>'Obligations 17-19 at 06-30-18'!P143</f>
        <v>0</v>
      </c>
      <c r="C20" s="417">
        <f>'Obligations 17-19 at 06-30-18'!P131+'Obligations 17-19 at 06-30-18'!P163+'Obligations 17-19 at 06-30-18'!P177</f>
        <v>60070.15000000001</v>
      </c>
      <c r="D20" s="522">
        <f>'Obligations 17-19 at 06-30-18'!P122</f>
        <v>1510883.78</v>
      </c>
      <c r="E20" s="522">
        <f>'Obligations 17-19 at 06-30-18'!P98</f>
        <v>2286009.43</v>
      </c>
      <c r="F20" s="522">
        <f>'Obligations 17-19 at 06-30-18'!P58</f>
        <v>104312.62</v>
      </c>
      <c r="G20" s="522">
        <f>'Obligations 17-19 at 06-30-18'!P35</f>
        <v>194718.85</v>
      </c>
      <c r="H20" s="417">
        <f>SUM(B20:G20)</f>
        <v>4155994.8300000005</v>
      </c>
    </row>
    <row r="21" spans="2:8" ht="10.5">
      <c r="B21" s="223"/>
      <c r="C21" s="223"/>
      <c r="D21" s="228"/>
      <c r="E21" s="228"/>
      <c r="F21" s="228"/>
      <c r="G21" s="228"/>
      <c r="H21" s="224"/>
    </row>
    <row r="22" spans="1:8" ht="12" thickBot="1">
      <c r="A22" s="526" t="s">
        <v>181</v>
      </c>
      <c r="B22" s="523">
        <f>B14-B16</f>
        <v>333016.8799999999</v>
      </c>
      <c r="C22" s="523">
        <f>C14-C16</f>
        <v>260409.34999999998</v>
      </c>
      <c r="D22" s="523">
        <f>D14-D16</f>
        <v>-340810.0200000005</v>
      </c>
      <c r="E22" s="523">
        <f>E14-E16</f>
        <v>502780.1400000006</v>
      </c>
      <c r="F22" s="523">
        <f>F14-F16</f>
        <v>24040.440000000002</v>
      </c>
      <c r="G22" s="523">
        <f>G14-G16</f>
        <v>183717.24</v>
      </c>
      <c r="H22" s="523">
        <f>SUM(B22:G22)</f>
        <v>963154.03</v>
      </c>
    </row>
    <row r="23" spans="2:8" ht="12" thickTop="1">
      <c r="B23" s="405"/>
      <c r="C23" s="405"/>
      <c r="D23" s="406"/>
      <c r="E23" s="406"/>
      <c r="F23" s="406"/>
      <c r="G23" s="406"/>
      <c r="H23" s="405"/>
    </row>
    <row r="24" spans="1:8" ht="12" thickBot="1">
      <c r="A24" s="526" t="s">
        <v>436</v>
      </c>
      <c r="B24" s="523">
        <f>B14-B18</f>
        <v>333016.8799999999</v>
      </c>
      <c r="C24" s="523">
        <f>C14-C18</f>
        <v>320479.5</v>
      </c>
      <c r="D24" s="523">
        <f>D14-D18</f>
        <v>1170073.7599999998</v>
      </c>
      <c r="E24" s="523">
        <f>E14-E18</f>
        <v>2788789.5700000003</v>
      </c>
      <c r="F24" s="523">
        <f>F14-F18</f>
        <v>128353.06</v>
      </c>
      <c r="G24" s="523">
        <f>G14-G18</f>
        <v>378436.08999999997</v>
      </c>
      <c r="H24" s="523">
        <f>SUM(B24:G24)</f>
        <v>5119148.859999999</v>
      </c>
    </row>
    <row r="25" spans="1:8" ht="12.75" thickTop="1">
      <c r="A25" s="445" t="s">
        <v>438</v>
      </c>
      <c r="B25" s="450">
        <f>B18/H18</f>
        <v>0.029894688507450452</v>
      </c>
      <c r="C25" s="446" t="s">
        <v>99</v>
      </c>
      <c r="D25" s="446" t="s">
        <v>99</v>
      </c>
      <c r="E25" s="446" t="s">
        <v>99</v>
      </c>
      <c r="F25" s="446" t="s">
        <v>99</v>
      </c>
      <c r="G25" s="446" t="s">
        <v>99</v>
      </c>
      <c r="H25" s="446" t="s">
        <v>99</v>
      </c>
    </row>
    <row r="26" spans="1:8" ht="12">
      <c r="A26" s="447" t="s">
        <v>439</v>
      </c>
      <c r="B26" s="448"/>
      <c r="C26" s="448"/>
      <c r="D26" s="448"/>
      <c r="E26" s="448"/>
      <c r="F26" s="448"/>
      <c r="G26" s="448"/>
      <c r="H26" s="449">
        <f>H24/H14</f>
        <v>0.30679376008411696</v>
      </c>
    </row>
    <row r="27" ht="10.5">
      <c r="B27" s="98" t="s">
        <v>99</v>
      </c>
    </row>
    <row r="29" ht="10.5">
      <c r="B29" s="98" t="s">
        <v>99</v>
      </c>
    </row>
    <row r="30" ht="10.5">
      <c r="A30" s="227" t="s">
        <v>424</v>
      </c>
    </row>
    <row r="31" ht="10.5">
      <c r="A31" s="160" t="s">
        <v>425</v>
      </c>
    </row>
    <row r="32" ht="10.5">
      <c r="A32" s="160" t="s">
        <v>426</v>
      </c>
    </row>
    <row r="33" ht="10.5">
      <c r="A33" s="160" t="s">
        <v>427</v>
      </c>
    </row>
    <row r="36" ht="10.5">
      <c r="A36" s="227" t="s">
        <v>428</v>
      </c>
    </row>
    <row r="37" ht="10.5">
      <c r="A37" s="160" t="s">
        <v>429</v>
      </c>
    </row>
    <row r="38" ht="10.5">
      <c r="A38" s="160" t="s">
        <v>430</v>
      </c>
    </row>
    <row r="39" ht="10.5">
      <c r="A39" s="160" t="s">
        <v>431</v>
      </c>
    </row>
  </sheetData>
  <sheetProtection/>
  <mergeCells count="3">
    <mergeCell ref="A1:H1"/>
    <mergeCell ref="A2:H2"/>
    <mergeCell ref="A3:H3"/>
  </mergeCells>
  <printOptions/>
  <pageMargins left="0.7" right="0.7" top="0.75" bottom="0.75" header="0.3" footer="0.3"/>
  <pageSetup horizontalDpi="600" verticalDpi="600" orientation="landscape" r:id="rId1"/>
  <headerFooter>
    <oddFooter>&amp;C&amp;Z&amp;F</oddFooter>
  </headerFooter>
  <ignoredErrors>
    <ignoredError sqref="B5:G5 B10:H10 B21:H26 H20 B14:H17 G12:H12 C13:H13 B19:H19 H18 H11 B20:C20 D20:G20 B11:C11 D18 B18" unlockedFormula="1"/>
  </ignoredErrors>
</worksheet>
</file>

<file path=xl/worksheets/sheet10.xml><?xml version="1.0" encoding="utf-8"?>
<worksheet xmlns="http://schemas.openxmlformats.org/spreadsheetml/2006/main" xmlns:r="http://schemas.openxmlformats.org/officeDocument/2006/relationships">
  <sheetPr>
    <tabColor rgb="FF92D050"/>
  </sheetPr>
  <dimension ref="A1:AO64"/>
  <sheetViews>
    <sheetView zoomScale="75" zoomScaleNormal="75" zoomScalePageLayoutView="0" workbookViewId="0" topLeftCell="A1">
      <selection activeCell="AA6" sqref="AA6"/>
    </sheetView>
  </sheetViews>
  <sheetFormatPr defaultColWidth="9.33203125" defaultRowHeight="10.5"/>
  <cols>
    <col min="1" max="1" width="10.33203125" style="0" customWidth="1"/>
    <col min="2" max="2" width="43" style="0" customWidth="1"/>
    <col min="3" max="3" width="12.16015625" style="0" bestFit="1" customWidth="1"/>
    <col min="4" max="4" width="15.66015625" style="0" bestFit="1" customWidth="1"/>
    <col min="5" max="5" width="16.33203125" style="0" bestFit="1" customWidth="1"/>
    <col min="6" max="7" width="18.66015625" style="0" bestFit="1" customWidth="1"/>
    <col min="8" max="12" width="16.33203125" style="0" bestFit="1" customWidth="1"/>
    <col min="13" max="14" width="17.33203125" style="0" bestFit="1" customWidth="1"/>
    <col min="15" max="27" width="19.66015625" style="0" bestFit="1" customWidth="1"/>
    <col min="29" max="30" width="16.33203125" style="0" bestFit="1" customWidth="1"/>
    <col min="31" max="31" width="13" style="0" bestFit="1" customWidth="1"/>
  </cols>
  <sheetData>
    <row r="1" spans="1:38" ht="12.75">
      <c r="A1" s="121" t="s">
        <v>11</v>
      </c>
      <c r="B1" s="122"/>
      <c r="C1" s="122"/>
      <c r="D1" s="140"/>
      <c r="E1" s="140"/>
      <c r="F1" s="140"/>
      <c r="G1" s="140"/>
      <c r="H1" s="140"/>
      <c r="I1" s="140"/>
      <c r="J1" s="140"/>
      <c r="K1" s="140"/>
      <c r="L1" s="140"/>
      <c r="M1" s="140"/>
      <c r="N1" s="140"/>
      <c r="O1" s="140"/>
      <c r="P1" s="140"/>
      <c r="Q1" s="140"/>
      <c r="R1" s="140"/>
      <c r="S1" s="140"/>
      <c r="T1" s="140"/>
      <c r="U1" s="140"/>
      <c r="V1" s="140"/>
      <c r="W1" s="140"/>
      <c r="X1" s="140"/>
      <c r="Y1" s="140"/>
      <c r="Z1" s="140"/>
      <c r="AA1" s="140"/>
      <c r="AB1" s="122"/>
      <c r="AC1" s="123"/>
      <c r="AD1" s="123"/>
      <c r="AE1" s="123"/>
      <c r="AF1" s="123"/>
      <c r="AG1" s="123"/>
      <c r="AH1" s="123"/>
      <c r="AI1" s="123"/>
      <c r="AJ1" s="123"/>
      <c r="AK1" s="123"/>
      <c r="AL1" s="123"/>
    </row>
    <row r="2" spans="1:38" ht="12.75">
      <c r="A2" s="121" t="s">
        <v>188</v>
      </c>
      <c r="B2" s="122"/>
      <c r="C2" s="122"/>
      <c r="D2" s="157">
        <v>1</v>
      </c>
      <c r="E2" s="157">
        <v>2</v>
      </c>
      <c r="F2" s="157">
        <v>3</v>
      </c>
      <c r="G2" s="157">
        <v>4</v>
      </c>
      <c r="H2" s="157">
        <v>5</v>
      </c>
      <c r="I2" s="157">
        <v>6</v>
      </c>
      <c r="J2" s="157">
        <v>7</v>
      </c>
      <c r="K2" s="157">
        <v>8</v>
      </c>
      <c r="L2" s="157">
        <v>9</v>
      </c>
      <c r="M2" s="157">
        <v>10</v>
      </c>
      <c r="N2" s="157">
        <v>11</v>
      </c>
      <c r="O2" s="157">
        <v>12</v>
      </c>
      <c r="P2" s="157">
        <v>1</v>
      </c>
      <c r="Q2" s="157">
        <v>2</v>
      </c>
      <c r="R2" s="157">
        <v>3</v>
      </c>
      <c r="S2" s="157">
        <v>4</v>
      </c>
      <c r="T2" s="157">
        <v>5</v>
      </c>
      <c r="U2" s="157">
        <v>6</v>
      </c>
      <c r="V2" s="157">
        <v>7</v>
      </c>
      <c r="W2" s="157">
        <v>8</v>
      </c>
      <c r="X2" s="157">
        <v>9</v>
      </c>
      <c r="Y2" s="157">
        <v>10</v>
      </c>
      <c r="Z2" s="157">
        <v>11</v>
      </c>
      <c r="AA2" s="157">
        <v>12</v>
      </c>
      <c r="AB2" s="122"/>
      <c r="AC2" s="123"/>
      <c r="AD2" s="123"/>
      <c r="AE2" s="123"/>
      <c r="AF2" s="123"/>
      <c r="AG2" s="123"/>
      <c r="AH2" s="123"/>
      <c r="AI2" s="123"/>
      <c r="AJ2" s="123"/>
      <c r="AK2" s="123"/>
      <c r="AL2" s="123"/>
    </row>
    <row r="3" spans="1:38" ht="12.75">
      <c r="A3" s="121" t="s">
        <v>66</v>
      </c>
      <c r="B3" s="122"/>
      <c r="C3" s="122"/>
      <c r="D3" s="157"/>
      <c r="E3" s="158"/>
      <c r="F3" s="158"/>
      <c r="G3" s="158"/>
      <c r="H3" s="158"/>
      <c r="I3" s="158"/>
      <c r="J3" s="158"/>
      <c r="K3" s="158"/>
      <c r="L3" s="158"/>
      <c r="M3" s="158"/>
      <c r="N3" s="158"/>
      <c r="O3" s="158"/>
      <c r="P3" s="158"/>
      <c r="Q3" s="158"/>
      <c r="R3" s="158"/>
      <c r="S3" s="158"/>
      <c r="T3" s="158"/>
      <c r="U3" s="158"/>
      <c r="V3" s="158"/>
      <c r="W3" s="158"/>
      <c r="X3" s="158"/>
      <c r="Y3" s="158"/>
      <c r="Z3" s="158"/>
      <c r="AA3" s="158"/>
      <c r="AB3" s="122"/>
      <c r="AC3" s="132" t="s">
        <v>5</v>
      </c>
      <c r="AD3" s="133" t="s">
        <v>3</v>
      </c>
      <c r="AE3" s="134" t="s">
        <v>4</v>
      </c>
      <c r="AF3" s="123"/>
      <c r="AG3" s="123"/>
      <c r="AH3" s="123"/>
      <c r="AI3" s="123"/>
      <c r="AJ3" s="123"/>
      <c r="AK3" s="123"/>
      <c r="AL3" s="123"/>
    </row>
    <row r="4" spans="1:38" ht="12.75">
      <c r="A4" s="123"/>
      <c r="B4" s="123"/>
      <c r="C4" s="121"/>
      <c r="D4" s="143" t="s">
        <v>3</v>
      </c>
      <c r="E4" s="143" t="s">
        <v>3</v>
      </c>
      <c r="F4" s="143" t="s">
        <v>3</v>
      </c>
      <c r="G4" s="143" t="s">
        <v>3</v>
      </c>
      <c r="H4" s="143" t="s">
        <v>3</v>
      </c>
      <c r="I4" s="143" t="s">
        <v>3</v>
      </c>
      <c r="J4" s="143" t="s">
        <v>3</v>
      </c>
      <c r="K4" s="143" t="s">
        <v>3</v>
      </c>
      <c r="L4" s="143" t="s">
        <v>3</v>
      </c>
      <c r="M4" s="143" t="s">
        <v>3</v>
      </c>
      <c r="N4" s="143" t="s">
        <v>3</v>
      </c>
      <c r="O4" s="143" t="s">
        <v>3</v>
      </c>
      <c r="P4" s="143" t="s">
        <v>3</v>
      </c>
      <c r="Q4" s="143" t="s">
        <v>3</v>
      </c>
      <c r="R4" s="143" t="s">
        <v>3</v>
      </c>
      <c r="S4" s="143" t="s">
        <v>3</v>
      </c>
      <c r="T4" s="143" t="s">
        <v>3</v>
      </c>
      <c r="U4" s="143" t="s">
        <v>3</v>
      </c>
      <c r="V4" s="143" t="s">
        <v>3</v>
      </c>
      <c r="W4" s="143" t="s">
        <v>3</v>
      </c>
      <c r="X4" s="143" t="s">
        <v>3</v>
      </c>
      <c r="Y4" s="143" t="s">
        <v>3</v>
      </c>
      <c r="Z4" s="143" t="s">
        <v>3</v>
      </c>
      <c r="AA4" s="143" t="s">
        <v>3</v>
      </c>
      <c r="AB4" s="124"/>
      <c r="AC4" s="135" t="s">
        <v>70</v>
      </c>
      <c r="AD4" s="136" t="s">
        <v>71</v>
      </c>
      <c r="AE4" s="136" t="s">
        <v>72</v>
      </c>
      <c r="AF4" s="123"/>
      <c r="AG4" s="123"/>
      <c r="AH4" s="123"/>
      <c r="AI4" s="123"/>
      <c r="AJ4" s="123"/>
      <c r="AK4" s="123"/>
      <c r="AL4" s="123"/>
    </row>
    <row r="5" spans="1:38" ht="12.75">
      <c r="A5" s="124"/>
      <c r="B5" s="124"/>
      <c r="C5" s="125"/>
      <c r="D5" s="144">
        <v>42917</v>
      </c>
      <c r="E5" s="144">
        <v>42948</v>
      </c>
      <c r="F5" s="144">
        <v>42979</v>
      </c>
      <c r="G5" s="144">
        <v>43009</v>
      </c>
      <c r="H5" s="144">
        <v>43040</v>
      </c>
      <c r="I5" s="144">
        <v>43070</v>
      </c>
      <c r="J5" s="144">
        <v>43101</v>
      </c>
      <c r="K5" s="144">
        <v>43132</v>
      </c>
      <c r="L5" s="144">
        <v>43160</v>
      </c>
      <c r="M5" s="144">
        <v>43191</v>
      </c>
      <c r="N5" s="144">
        <v>43221</v>
      </c>
      <c r="O5" s="144">
        <v>43252</v>
      </c>
      <c r="P5" s="144">
        <v>43282</v>
      </c>
      <c r="Q5" s="144">
        <v>43313</v>
      </c>
      <c r="R5" s="144">
        <v>43344</v>
      </c>
      <c r="S5" s="144">
        <v>43374</v>
      </c>
      <c r="T5" s="144">
        <v>43405</v>
      </c>
      <c r="U5" s="144">
        <v>43435</v>
      </c>
      <c r="V5" s="144">
        <v>43466</v>
      </c>
      <c r="W5" s="144">
        <v>43497</v>
      </c>
      <c r="X5" s="144">
        <v>43525</v>
      </c>
      <c r="Y5" s="144">
        <v>43556</v>
      </c>
      <c r="Z5" s="144">
        <v>43586</v>
      </c>
      <c r="AA5" s="144">
        <v>43617</v>
      </c>
      <c r="AB5" s="124"/>
      <c r="AC5" s="137" t="s">
        <v>1</v>
      </c>
      <c r="AD5" s="138" t="s">
        <v>73</v>
      </c>
      <c r="AE5" s="138" t="s">
        <v>74</v>
      </c>
      <c r="AF5" s="123"/>
      <c r="AG5" s="123"/>
      <c r="AH5" s="123"/>
      <c r="AI5" s="123"/>
      <c r="AJ5" s="123"/>
      <c r="AK5" s="123"/>
      <c r="AL5" s="123"/>
    </row>
    <row r="6" spans="1:38" ht="15.75">
      <c r="A6" s="128"/>
      <c r="B6" s="101" t="s">
        <v>66</v>
      </c>
      <c r="C6" s="118"/>
      <c r="D6" s="145"/>
      <c r="E6" s="145"/>
      <c r="F6" s="145"/>
      <c r="G6" s="145"/>
      <c r="H6" s="145"/>
      <c r="I6" s="145"/>
      <c r="J6" s="145"/>
      <c r="K6" s="145"/>
      <c r="L6" s="145"/>
      <c r="M6" s="145"/>
      <c r="N6" s="145"/>
      <c r="O6" s="145"/>
      <c r="P6" s="145"/>
      <c r="Q6" s="145"/>
      <c r="R6" s="145"/>
      <c r="S6" s="145"/>
      <c r="T6" s="145"/>
      <c r="U6" s="145"/>
      <c r="V6" s="145"/>
      <c r="W6" s="145"/>
      <c r="X6" s="145"/>
      <c r="Y6" s="145"/>
      <c r="Z6" s="145"/>
      <c r="AA6" s="145"/>
      <c r="AB6" s="102"/>
      <c r="AC6" s="103"/>
      <c r="AD6" s="103"/>
      <c r="AE6" s="103"/>
      <c r="AF6" s="98"/>
      <c r="AG6" s="98"/>
      <c r="AH6" s="98"/>
      <c r="AI6" s="98"/>
      <c r="AJ6" s="98"/>
      <c r="AK6" s="98"/>
      <c r="AL6" s="98"/>
    </row>
    <row r="7" spans="1:38" ht="15">
      <c r="A7" s="128"/>
      <c r="B7" s="99"/>
      <c r="C7" s="118"/>
      <c r="D7" s="152"/>
      <c r="E7" s="146"/>
      <c r="F7" s="146"/>
      <c r="G7" s="146"/>
      <c r="H7" s="146"/>
      <c r="I7" s="146"/>
      <c r="J7" s="146"/>
      <c r="K7" s="146"/>
      <c r="L7" s="146"/>
      <c r="M7" s="146"/>
      <c r="N7" s="146"/>
      <c r="O7" s="146"/>
      <c r="P7" s="152"/>
      <c r="Q7" s="146"/>
      <c r="R7" s="146"/>
      <c r="S7" s="146"/>
      <c r="T7" s="146"/>
      <c r="U7" s="146"/>
      <c r="V7" s="146"/>
      <c r="W7" s="146"/>
      <c r="X7" s="146"/>
      <c r="Y7" s="146"/>
      <c r="Z7" s="146"/>
      <c r="AA7" s="146"/>
      <c r="AB7" s="104"/>
      <c r="AC7" s="103">
        <f>C20</f>
        <v>0</v>
      </c>
      <c r="AD7" s="103">
        <f>C20</f>
        <v>0</v>
      </c>
      <c r="AE7" s="103"/>
      <c r="AF7" s="98"/>
      <c r="AG7" s="98"/>
      <c r="AH7" s="98"/>
      <c r="AI7" s="98"/>
      <c r="AJ7" s="98"/>
      <c r="AK7" s="98"/>
      <c r="AL7" s="98"/>
    </row>
    <row r="8" spans="1:38" ht="15">
      <c r="A8" s="129" t="s">
        <v>0</v>
      </c>
      <c r="B8" s="105" t="s">
        <v>2</v>
      </c>
      <c r="C8" s="119"/>
      <c r="D8" s="147">
        <v>0</v>
      </c>
      <c r="E8" s="147">
        <v>0</v>
      </c>
      <c r="F8" s="147">
        <v>0</v>
      </c>
      <c r="G8" s="147">
        <v>0</v>
      </c>
      <c r="H8" s="147">
        <v>0</v>
      </c>
      <c r="I8" s="147">
        <v>0</v>
      </c>
      <c r="J8" s="147">
        <v>0</v>
      </c>
      <c r="K8" s="147">
        <v>0</v>
      </c>
      <c r="L8" s="147">
        <v>0</v>
      </c>
      <c r="M8" s="147">
        <v>0</v>
      </c>
      <c r="N8" s="147">
        <v>0</v>
      </c>
      <c r="O8" s="147">
        <v>0</v>
      </c>
      <c r="P8" s="147">
        <v>0</v>
      </c>
      <c r="Q8" s="147">
        <v>0</v>
      </c>
      <c r="R8" s="147">
        <v>0</v>
      </c>
      <c r="S8" s="147">
        <v>0</v>
      </c>
      <c r="T8" s="147">
        <v>0</v>
      </c>
      <c r="U8" s="147">
        <v>0</v>
      </c>
      <c r="V8" s="147">
        <v>0</v>
      </c>
      <c r="W8" s="147">
        <v>0</v>
      </c>
      <c r="X8" s="147">
        <v>0</v>
      </c>
      <c r="Y8" s="147">
        <v>0</v>
      </c>
      <c r="Z8" s="147">
        <v>0</v>
      </c>
      <c r="AA8" s="147">
        <v>0</v>
      </c>
      <c r="AB8" s="106"/>
      <c r="AC8" s="107">
        <f>SUM(D8:AA8)</f>
        <v>0</v>
      </c>
      <c r="AD8" s="107">
        <f>SUM(D8:AA8)</f>
        <v>0</v>
      </c>
      <c r="AE8" s="107">
        <f>AC8-AD8</f>
        <v>0</v>
      </c>
      <c r="AF8" s="106"/>
      <c r="AG8" s="100"/>
      <c r="AH8" s="108"/>
      <c r="AI8" s="108"/>
      <c r="AJ8" s="108"/>
      <c r="AK8" s="108"/>
      <c r="AL8" s="108"/>
    </row>
    <row r="9" spans="1:38" ht="15">
      <c r="A9" s="129" t="s">
        <v>68</v>
      </c>
      <c r="B9" s="105" t="s">
        <v>69</v>
      </c>
      <c r="C9" s="119"/>
      <c r="D9" s="147"/>
      <c r="E9" s="147"/>
      <c r="F9" s="147"/>
      <c r="G9" s="147"/>
      <c r="H9" s="147"/>
      <c r="I9" s="147"/>
      <c r="J9" s="147"/>
      <c r="K9" s="147"/>
      <c r="L9" s="147"/>
      <c r="M9" s="147"/>
      <c r="N9" s="147"/>
      <c r="O9" s="147"/>
      <c r="P9" s="147"/>
      <c r="Q9" s="147"/>
      <c r="R9" s="147"/>
      <c r="S9" s="147"/>
      <c r="T9" s="147"/>
      <c r="U9" s="147"/>
      <c r="V9" s="147"/>
      <c r="W9" s="147"/>
      <c r="X9" s="147"/>
      <c r="Y9" s="147"/>
      <c r="Z9" s="147">
        <v>0</v>
      </c>
      <c r="AA9" s="147"/>
      <c r="AB9" s="106"/>
      <c r="AC9" s="107">
        <f>SUM(D9:AA9)</f>
        <v>0</v>
      </c>
      <c r="AD9" s="107">
        <f>SUM(D9:AA9)</f>
        <v>0</v>
      </c>
      <c r="AE9" s="107">
        <f>AC9-AD9</f>
        <v>0</v>
      </c>
      <c r="AF9" s="106"/>
      <c r="AG9" s="100"/>
      <c r="AH9" s="108"/>
      <c r="AI9" s="108"/>
      <c r="AJ9" s="108"/>
      <c r="AK9" s="108"/>
      <c r="AL9" s="108"/>
    </row>
    <row r="10" spans="1:38" ht="15">
      <c r="A10" s="130" t="s">
        <v>17</v>
      </c>
      <c r="B10" s="105" t="s">
        <v>18</v>
      </c>
      <c r="C10" s="119"/>
      <c r="D10" s="147"/>
      <c r="E10" s="147">
        <v>0</v>
      </c>
      <c r="F10" s="147"/>
      <c r="G10" s="147"/>
      <c r="H10" s="147"/>
      <c r="I10" s="147"/>
      <c r="J10" s="147"/>
      <c r="K10" s="147"/>
      <c r="L10" s="147"/>
      <c r="M10" s="147"/>
      <c r="N10" s="147"/>
      <c r="O10" s="147">
        <v>0</v>
      </c>
      <c r="P10" s="147"/>
      <c r="Q10" s="147"/>
      <c r="R10" s="147"/>
      <c r="S10" s="147"/>
      <c r="T10" s="147"/>
      <c r="U10" s="147"/>
      <c r="V10" s="147"/>
      <c r="W10" s="147">
        <v>0</v>
      </c>
      <c r="X10" s="147"/>
      <c r="Y10" s="147"/>
      <c r="Z10" s="147"/>
      <c r="AA10" s="147"/>
      <c r="AB10" s="109"/>
      <c r="AC10" s="107">
        <f>SUM(D10:AA10)</f>
        <v>0</v>
      </c>
      <c r="AD10" s="107">
        <f>SUM(D10:AA10)</f>
        <v>0</v>
      </c>
      <c r="AE10" s="107">
        <f>AC10-AD10</f>
        <v>0</v>
      </c>
      <c r="AF10" s="109"/>
      <c r="AG10" s="100"/>
      <c r="AH10" s="110"/>
      <c r="AI10" s="110"/>
      <c r="AJ10" s="110"/>
      <c r="AK10" s="110"/>
      <c r="AL10" s="110"/>
    </row>
    <row r="11" spans="1:38" ht="15">
      <c r="A11" s="130" t="s">
        <v>19</v>
      </c>
      <c r="B11" s="105" t="s">
        <v>20</v>
      </c>
      <c r="C11" s="119"/>
      <c r="D11" s="148">
        <v>0</v>
      </c>
      <c r="E11" s="148">
        <v>0</v>
      </c>
      <c r="F11" s="148">
        <v>0</v>
      </c>
      <c r="G11" s="148">
        <v>0</v>
      </c>
      <c r="H11" s="148">
        <v>0</v>
      </c>
      <c r="I11" s="148">
        <v>0</v>
      </c>
      <c r="J11" s="148">
        <v>0</v>
      </c>
      <c r="K11" s="148">
        <v>0</v>
      </c>
      <c r="L11" s="148">
        <v>0</v>
      </c>
      <c r="M11" s="148">
        <v>0</v>
      </c>
      <c r="N11" s="148">
        <v>0</v>
      </c>
      <c r="O11" s="148">
        <v>0</v>
      </c>
      <c r="P11" s="148">
        <v>0</v>
      </c>
      <c r="Q11" s="148">
        <v>0</v>
      </c>
      <c r="R11" s="148">
        <v>0</v>
      </c>
      <c r="S11" s="148">
        <v>0</v>
      </c>
      <c r="T11" s="148">
        <v>0</v>
      </c>
      <c r="U11" s="148">
        <v>0</v>
      </c>
      <c r="V11" s="148">
        <v>0</v>
      </c>
      <c r="W11" s="148">
        <v>0</v>
      </c>
      <c r="X11" s="148">
        <v>0</v>
      </c>
      <c r="Y11" s="148">
        <v>0</v>
      </c>
      <c r="Z11" s="148">
        <v>0</v>
      </c>
      <c r="AA11" s="148">
        <v>0</v>
      </c>
      <c r="AB11" s="109"/>
      <c r="AC11" s="107">
        <f>SUM(D11:AA11)</f>
        <v>0</v>
      </c>
      <c r="AD11" s="107">
        <f>SUM(D11:AA11)</f>
        <v>0</v>
      </c>
      <c r="AE11" s="107">
        <f>AC11-AD11</f>
        <v>0</v>
      </c>
      <c r="AF11" s="109"/>
      <c r="AG11" s="100"/>
      <c r="AH11" s="110"/>
      <c r="AI11" s="110"/>
      <c r="AJ11" s="110"/>
      <c r="AK11" s="110"/>
      <c r="AL11" s="110"/>
    </row>
    <row r="12" spans="1:38" ht="15.75">
      <c r="A12" s="131" t="s">
        <v>7</v>
      </c>
      <c r="B12" s="105"/>
      <c r="C12" s="119"/>
      <c r="D12" s="147">
        <f>SUM(D8:D11)</f>
        <v>0</v>
      </c>
      <c r="E12" s="147">
        <f aca="true" t="shared" si="0" ref="E12:AA12">SUM(E8:E11)</f>
        <v>0</v>
      </c>
      <c r="F12" s="147">
        <f t="shared" si="0"/>
        <v>0</v>
      </c>
      <c r="G12" s="147">
        <f t="shared" si="0"/>
        <v>0</v>
      </c>
      <c r="H12" s="147">
        <f t="shared" si="0"/>
        <v>0</v>
      </c>
      <c r="I12" s="147">
        <f t="shared" si="0"/>
        <v>0</v>
      </c>
      <c r="J12" s="147">
        <f t="shared" si="0"/>
        <v>0</v>
      </c>
      <c r="K12" s="147">
        <f t="shared" si="0"/>
        <v>0</v>
      </c>
      <c r="L12" s="147">
        <f t="shared" si="0"/>
        <v>0</v>
      </c>
      <c r="M12" s="147">
        <f t="shared" si="0"/>
        <v>0</v>
      </c>
      <c r="N12" s="147">
        <f t="shared" si="0"/>
        <v>0</v>
      </c>
      <c r="O12" s="147">
        <f t="shared" si="0"/>
        <v>0</v>
      </c>
      <c r="P12" s="147">
        <f t="shared" si="0"/>
        <v>0</v>
      </c>
      <c r="Q12" s="147">
        <f t="shared" si="0"/>
        <v>0</v>
      </c>
      <c r="R12" s="147">
        <f t="shared" si="0"/>
        <v>0</v>
      </c>
      <c r="S12" s="147">
        <f t="shared" si="0"/>
        <v>0</v>
      </c>
      <c r="T12" s="147">
        <f t="shared" si="0"/>
        <v>0</v>
      </c>
      <c r="U12" s="147">
        <f t="shared" si="0"/>
        <v>0</v>
      </c>
      <c r="V12" s="147">
        <f t="shared" si="0"/>
        <v>0</v>
      </c>
      <c r="W12" s="147">
        <f t="shared" si="0"/>
        <v>0</v>
      </c>
      <c r="X12" s="147">
        <f t="shared" si="0"/>
        <v>0</v>
      </c>
      <c r="Y12" s="147">
        <f t="shared" si="0"/>
        <v>0</v>
      </c>
      <c r="Z12" s="147">
        <f t="shared" si="0"/>
        <v>0</v>
      </c>
      <c r="AA12" s="147">
        <f t="shared" si="0"/>
        <v>0</v>
      </c>
      <c r="AB12" s="109"/>
      <c r="AC12" s="112">
        <f>SUM(AC7:AC11)</f>
        <v>0</v>
      </c>
      <c r="AD12" s="112">
        <f>SUM(AD7:AD11)</f>
        <v>0</v>
      </c>
      <c r="AE12" s="112">
        <v>0</v>
      </c>
      <c r="AF12" s="109"/>
      <c r="AG12" s="100"/>
      <c r="AH12" s="110"/>
      <c r="AI12" s="110"/>
      <c r="AJ12" s="110"/>
      <c r="AK12" s="110"/>
      <c r="AL12" s="110"/>
    </row>
    <row r="13" spans="1:38" ht="15">
      <c r="A13" s="129"/>
      <c r="B13" s="105"/>
      <c r="C13" s="11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09"/>
      <c r="AC13" s="113"/>
      <c r="AD13" s="113"/>
      <c r="AE13" s="113"/>
      <c r="AF13" s="109"/>
      <c r="AG13" s="100"/>
      <c r="AH13" s="110"/>
      <c r="AI13" s="110"/>
      <c r="AJ13" s="110"/>
      <c r="AK13" s="110"/>
      <c r="AL13" s="110"/>
    </row>
    <row r="14" spans="1:38" ht="15">
      <c r="A14" s="129" t="s">
        <v>21</v>
      </c>
      <c r="B14" s="105" t="s">
        <v>22</v>
      </c>
      <c r="C14" s="119"/>
      <c r="D14" s="149">
        <v>0</v>
      </c>
      <c r="E14" s="149">
        <v>0</v>
      </c>
      <c r="F14" s="149">
        <v>0</v>
      </c>
      <c r="G14" s="149">
        <v>0</v>
      </c>
      <c r="H14" s="149">
        <v>0</v>
      </c>
      <c r="I14" s="149">
        <v>0</v>
      </c>
      <c r="J14" s="149">
        <v>0</v>
      </c>
      <c r="K14" s="149">
        <v>0</v>
      </c>
      <c r="L14" s="149">
        <v>0</v>
      </c>
      <c r="M14" s="149">
        <v>0</v>
      </c>
      <c r="N14" s="149">
        <v>0</v>
      </c>
      <c r="O14" s="149">
        <v>0</v>
      </c>
      <c r="P14" s="149">
        <v>0</v>
      </c>
      <c r="Q14" s="149">
        <v>0</v>
      </c>
      <c r="R14" s="149">
        <v>0</v>
      </c>
      <c r="S14" s="149">
        <v>0</v>
      </c>
      <c r="T14" s="149">
        <v>0</v>
      </c>
      <c r="U14" s="149">
        <v>0</v>
      </c>
      <c r="V14" s="149">
        <v>0</v>
      </c>
      <c r="W14" s="149">
        <v>0</v>
      </c>
      <c r="X14" s="149">
        <v>0</v>
      </c>
      <c r="Y14" s="149">
        <v>0</v>
      </c>
      <c r="Z14" s="149">
        <v>0</v>
      </c>
      <c r="AA14" s="149">
        <v>0</v>
      </c>
      <c r="AB14" s="109"/>
      <c r="AC14" s="107">
        <f>SUM(D14:AA14)</f>
        <v>0</v>
      </c>
      <c r="AD14" s="107">
        <f>SUM(D14:AA14)</f>
        <v>0</v>
      </c>
      <c r="AE14" s="107">
        <f>AC14-AD14</f>
        <v>0</v>
      </c>
      <c r="AF14" s="109"/>
      <c r="AG14" s="100"/>
      <c r="AH14" s="110"/>
      <c r="AI14" s="110"/>
      <c r="AJ14" s="110"/>
      <c r="AK14" s="110"/>
      <c r="AL14" s="110"/>
    </row>
    <row r="15" spans="1:38" ht="15">
      <c r="A15" s="129" t="s">
        <v>44</v>
      </c>
      <c r="B15" s="105" t="s">
        <v>23</v>
      </c>
      <c r="C15" s="119" t="s">
        <v>99</v>
      </c>
      <c r="D15" s="149">
        <v>0</v>
      </c>
      <c r="E15" s="149">
        <v>0</v>
      </c>
      <c r="F15" s="149">
        <v>0</v>
      </c>
      <c r="G15" s="149">
        <v>0</v>
      </c>
      <c r="H15" s="149">
        <v>0</v>
      </c>
      <c r="I15" s="149">
        <v>0</v>
      </c>
      <c r="J15" s="149">
        <v>0</v>
      </c>
      <c r="K15" s="149">
        <v>0</v>
      </c>
      <c r="L15" s="149">
        <v>0</v>
      </c>
      <c r="M15" s="149">
        <v>0</v>
      </c>
      <c r="N15" s="149">
        <v>0</v>
      </c>
      <c r="O15" s="149">
        <v>0</v>
      </c>
      <c r="P15" s="149">
        <v>0</v>
      </c>
      <c r="Q15" s="149">
        <v>0</v>
      </c>
      <c r="R15" s="149">
        <v>0</v>
      </c>
      <c r="S15" s="149">
        <v>0</v>
      </c>
      <c r="T15" s="149">
        <v>0</v>
      </c>
      <c r="U15" s="149">
        <v>0</v>
      </c>
      <c r="V15" s="149">
        <v>0</v>
      </c>
      <c r="W15" s="149">
        <v>0</v>
      </c>
      <c r="X15" s="149">
        <v>0</v>
      </c>
      <c r="Y15" s="149">
        <v>0</v>
      </c>
      <c r="Z15" s="149">
        <v>0</v>
      </c>
      <c r="AA15" s="149">
        <v>0</v>
      </c>
      <c r="AB15" s="109" t="s">
        <v>99</v>
      </c>
      <c r="AC15" s="107">
        <f>SUM(D15:AA15)</f>
        <v>0</v>
      </c>
      <c r="AD15" s="107">
        <f>SUM(D15:AA15)</f>
        <v>0</v>
      </c>
      <c r="AE15" s="107">
        <f>AC15-AD15</f>
        <v>0</v>
      </c>
      <c r="AF15" s="109"/>
      <c r="AG15" s="100"/>
      <c r="AH15" s="110"/>
      <c r="AI15" s="110"/>
      <c r="AJ15" s="110"/>
      <c r="AK15" s="110"/>
      <c r="AL15" s="110"/>
    </row>
    <row r="16" spans="1:38" ht="15">
      <c r="A16" s="129" t="s">
        <v>43</v>
      </c>
      <c r="B16" s="105" t="s">
        <v>24</v>
      </c>
      <c r="C16" s="119"/>
      <c r="D16" s="149">
        <v>0</v>
      </c>
      <c r="E16" s="149">
        <v>0</v>
      </c>
      <c r="F16" s="149">
        <v>0</v>
      </c>
      <c r="G16" s="149">
        <v>0</v>
      </c>
      <c r="H16" s="149">
        <v>0</v>
      </c>
      <c r="I16" s="149">
        <v>0</v>
      </c>
      <c r="J16" s="149">
        <v>0</v>
      </c>
      <c r="K16" s="149">
        <v>0</v>
      </c>
      <c r="L16" s="149">
        <v>0</v>
      </c>
      <c r="M16" s="149">
        <v>0</v>
      </c>
      <c r="N16" s="149">
        <v>0</v>
      </c>
      <c r="O16" s="149">
        <v>0</v>
      </c>
      <c r="P16" s="149">
        <v>0</v>
      </c>
      <c r="Q16" s="149">
        <v>0</v>
      </c>
      <c r="R16" s="149">
        <v>0</v>
      </c>
      <c r="S16" s="149">
        <v>0</v>
      </c>
      <c r="T16" s="149">
        <v>0</v>
      </c>
      <c r="U16" s="149">
        <v>0</v>
      </c>
      <c r="V16" s="149">
        <v>0</v>
      </c>
      <c r="W16" s="149">
        <v>0</v>
      </c>
      <c r="X16" s="149">
        <v>0</v>
      </c>
      <c r="Y16" s="149">
        <v>0</v>
      </c>
      <c r="Z16" s="149">
        <v>0</v>
      </c>
      <c r="AA16" s="149">
        <v>0</v>
      </c>
      <c r="AB16" s="109"/>
      <c r="AC16" s="107">
        <f>SUM(D16:AA16)</f>
        <v>0</v>
      </c>
      <c r="AD16" s="107">
        <f>SUM(D16:AA16)</f>
        <v>0</v>
      </c>
      <c r="AE16" s="107">
        <f>AC16-AD16</f>
        <v>0</v>
      </c>
      <c r="AF16" s="109"/>
      <c r="AG16" s="100"/>
      <c r="AH16" s="110"/>
      <c r="AI16" s="110"/>
      <c r="AJ16" s="110"/>
      <c r="AK16" s="110"/>
      <c r="AL16" s="110"/>
    </row>
    <row r="17" spans="1:38" ht="15">
      <c r="A17" s="129" t="s">
        <v>42</v>
      </c>
      <c r="B17" s="105" t="s">
        <v>45</v>
      </c>
      <c r="C17" s="119"/>
      <c r="D17" s="149">
        <v>0</v>
      </c>
      <c r="E17" s="149">
        <v>0</v>
      </c>
      <c r="F17" s="149">
        <v>0</v>
      </c>
      <c r="G17" s="149">
        <v>0</v>
      </c>
      <c r="H17" s="149">
        <v>0</v>
      </c>
      <c r="I17" s="149">
        <v>0</v>
      </c>
      <c r="J17" s="149">
        <v>0</v>
      </c>
      <c r="K17" s="149">
        <v>0</v>
      </c>
      <c r="L17" s="149">
        <v>0</v>
      </c>
      <c r="M17" s="149">
        <v>0</v>
      </c>
      <c r="N17" s="149">
        <v>0</v>
      </c>
      <c r="O17" s="149">
        <v>0</v>
      </c>
      <c r="P17" s="149">
        <v>0</v>
      </c>
      <c r="Q17" s="149">
        <v>0</v>
      </c>
      <c r="R17" s="149">
        <v>0</v>
      </c>
      <c r="S17" s="149">
        <v>0</v>
      </c>
      <c r="T17" s="149">
        <v>0</v>
      </c>
      <c r="U17" s="149">
        <v>0</v>
      </c>
      <c r="V17" s="149">
        <v>0</v>
      </c>
      <c r="W17" s="149">
        <v>0</v>
      </c>
      <c r="X17" s="149">
        <v>0</v>
      </c>
      <c r="Y17" s="149">
        <v>0</v>
      </c>
      <c r="Z17" s="149">
        <v>0</v>
      </c>
      <c r="AA17" s="149">
        <v>0</v>
      </c>
      <c r="AB17" s="109"/>
      <c r="AC17" s="107">
        <f>SUM(D17:AA17)</f>
        <v>0</v>
      </c>
      <c r="AD17" s="107">
        <f>SUM(D17:AA17)</f>
        <v>0</v>
      </c>
      <c r="AE17" s="107">
        <f>AC17-AD17</f>
        <v>0</v>
      </c>
      <c r="AF17" s="109"/>
      <c r="AG17" s="100"/>
      <c r="AH17" s="110"/>
      <c r="AI17" s="110"/>
      <c r="AJ17" s="110"/>
      <c r="AK17" s="110"/>
      <c r="AL17" s="110"/>
    </row>
    <row r="18" spans="1:38" ht="15.75">
      <c r="A18" s="111" t="s">
        <v>8</v>
      </c>
      <c r="B18" s="105"/>
      <c r="C18" s="119"/>
      <c r="D18" s="153">
        <f>SUM(D14:D17)</f>
        <v>0</v>
      </c>
      <c r="E18" s="153">
        <f aca="true" t="shared" si="1" ref="E18:AA18">SUM(E14:E17)</f>
        <v>0</v>
      </c>
      <c r="F18" s="153">
        <f t="shared" si="1"/>
        <v>0</v>
      </c>
      <c r="G18" s="153">
        <f t="shared" si="1"/>
        <v>0</v>
      </c>
      <c r="H18" s="153">
        <f t="shared" si="1"/>
        <v>0</v>
      </c>
      <c r="I18" s="153">
        <f t="shared" si="1"/>
        <v>0</v>
      </c>
      <c r="J18" s="153">
        <f t="shared" si="1"/>
        <v>0</v>
      </c>
      <c r="K18" s="153">
        <f t="shared" si="1"/>
        <v>0</v>
      </c>
      <c r="L18" s="153">
        <f t="shared" si="1"/>
        <v>0</v>
      </c>
      <c r="M18" s="153">
        <f t="shared" si="1"/>
        <v>0</v>
      </c>
      <c r="N18" s="153">
        <f t="shared" si="1"/>
        <v>0</v>
      </c>
      <c r="O18" s="153">
        <f t="shared" si="1"/>
        <v>0</v>
      </c>
      <c r="P18" s="153">
        <f t="shared" si="1"/>
        <v>0</v>
      </c>
      <c r="Q18" s="153">
        <f t="shared" si="1"/>
        <v>0</v>
      </c>
      <c r="R18" s="153">
        <f t="shared" si="1"/>
        <v>0</v>
      </c>
      <c r="S18" s="153">
        <f t="shared" si="1"/>
        <v>0</v>
      </c>
      <c r="T18" s="153">
        <f t="shared" si="1"/>
        <v>0</v>
      </c>
      <c r="U18" s="153">
        <f t="shared" si="1"/>
        <v>0</v>
      </c>
      <c r="V18" s="153">
        <f t="shared" si="1"/>
        <v>0</v>
      </c>
      <c r="W18" s="153">
        <f t="shared" si="1"/>
        <v>0</v>
      </c>
      <c r="X18" s="153">
        <f t="shared" si="1"/>
        <v>0</v>
      </c>
      <c r="Y18" s="153">
        <f t="shared" si="1"/>
        <v>0</v>
      </c>
      <c r="Z18" s="153">
        <f t="shared" si="1"/>
        <v>0</v>
      </c>
      <c r="AA18" s="153">
        <f t="shared" si="1"/>
        <v>0</v>
      </c>
      <c r="AB18" s="109"/>
      <c r="AC18" s="112">
        <f>SUM(AC14:AC17)</f>
        <v>0</v>
      </c>
      <c r="AD18" s="112">
        <f>SUM(AD14:AD17)</f>
        <v>0</v>
      </c>
      <c r="AE18" s="112">
        <v>0</v>
      </c>
      <c r="AF18" s="109"/>
      <c r="AG18" s="100"/>
      <c r="AH18" s="110"/>
      <c r="AI18" s="110"/>
      <c r="AJ18" s="110"/>
      <c r="AK18" s="110"/>
      <c r="AL18" s="110"/>
    </row>
    <row r="19" spans="1:38" ht="15">
      <c r="A19" s="105"/>
      <c r="B19" s="179">
        <v>0</v>
      </c>
      <c r="C19" s="119"/>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09"/>
      <c r="AC19" s="113"/>
      <c r="AD19" s="113"/>
      <c r="AE19" s="113"/>
      <c r="AF19" s="109"/>
      <c r="AG19" s="100"/>
      <c r="AH19" s="110"/>
      <c r="AI19" s="110"/>
      <c r="AJ19" s="110"/>
      <c r="AK19" s="110"/>
      <c r="AL19" s="110"/>
    </row>
    <row r="20" spans="1:38" ht="15.75">
      <c r="A20" s="111" t="s">
        <v>9</v>
      </c>
      <c r="B20" s="105"/>
      <c r="C20" s="126">
        <v>0</v>
      </c>
      <c r="D20" s="150">
        <f>C20+D12-D18</f>
        <v>0</v>
      </c>
      <c r="E20" s="150">
        <f aca="true" t="shared" si="2" ref="E20:M20">D20+E12-E18</f>
        <v>0</v>
      </c>
      <c r="F20" s="150">
        <f t="shared" si="2"/>
        <v>0</v>
      </c>
      <c r="G20" s="150">
        <f t="shared" si="2"/>
        <v>0</v>
      </c>
      <c r="H20" s="150">
        <f t="shared" si="2"/>
        <v>0</v>
      </c>
      <c r="I20" s="150">
        <f t="shared" si="2"/>
        <v>0</v>
      </c>
      <c r="J20" s="150">
        <f t="shared" si="2"/>
        <v>0</v>
      </c>
      <c r="K20" s="150">
        <f t="shared" si="2"/>
        <v>0</v>
      </c>
      <c r="L20" s="150">
        <f t="shared" si="2"/>
        <v>0</v>
      </c>
      <c r="M20" s="150">
        <f t="shared" si="2"/>
        <v>0</v>
      </c>
      <c r="N20" s="150">
        <f>M20+N12-N18</f>
        <v>0</v>
      </c>
      <c r="O20" s="150">
        <f>N20+O12-O18</f>
        <v>0</v>
      </c>
      <c r="P20" s="150">
        <f>O20+P12-P18</f>
        <v>0</v>
      </c>
      <c r="Q20" s="150">
        <f>P20+Q12-Q18</f>
        <v>0</v>
      </c>
      <c r="R20" s="150">
        <f>Q20+R12-R18</f>
        <v>0</v>
      </c>
      <c r="S20" s="150">
        <f>R20+S12-S18</f>
        <v>0</v>
      </c>
      <c r="T20" s="150">
        <f>S20+T12-T18</f>
        <v>0</v>
      </c>
      <c r="U20" s="150">
        <f>T20+U12-U18</f>
        <v>0</v>
      </c>
      <c r="V20" s="150">
        <f>U20+V12-V18</f>
        <v>0</v>
      </c>
      <c r="W20" s="150">
        <f>V20+W12-W18</f>
        <v>0</v>
      </c>
      <c r="X20" s="150">
        <f>W20+X12-X18</f>
        <v>0</v>
      </c>
      <c r="Y20" s="150">
        <f>X20+Y12-Y18</f>
        <v>0</v>
      </c>
      <c r="Z20" s="150">
        <f>Y20+Z12-Z18</f>
        <v>0</v>
      </c>
      <c r="AA20" s="150">
        <f>Z20+AA12-AA18</f>
        <v>0</v>
      </c>
      <c r="AB20" s="109"/>
      <c r="AC20" s="113"/>
      <c r="AD20" s="113">
        <f>AD12-AD18</f>
        <v>0</v>
      </c>
      <c r="AE20" s="113">
        <v>0</v>
      </c>
      <c r="AF20" s="109"/>
      <c r="AG20" s="100"/>
      <c r="AH20" s="110"/>
      <c r="AI20" s="110"/>
      <c r="AJ20" s="110"/>
      <c r="AK20" s="110"/>
      <c r="AL20" s="110"/>
    </row>
    <row r="21" spans="1:38" ht="15">
      <c r="A21" s="105"/>
      <c r="B21" s="105"/>
      <c r="C21" s="127"/>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09"/>
      <c r="AC21" s="113"/>
      <c r="AD21" s="113"/>
      <c r="AE21" s="113"/>
      <c r="AF21" s="109"/>
      <c r="AG21" s="100"/>
      <c r="AH21" s="110"/>
      <c r="AI21" s="110"/>
      <c r="AJ21" s="110"/>
      <c r="AK21" s="110"/>
      <c r="AL21" s="110"/>
    </row>
    <row r="22" spans="1:38" ht="15">
      <c r="A22" s="105"/>
      <c r="B22" s="98"/>
      <c r="C22" s="120"/>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14"/>
      <c r="AC22" s="114"/>
      <c r="AD22" s="114"/>
      <c r="AE22" s="114"/>
      <c r="AF22" s="114"/>
      <c r="AG22" s="98"/>
      <c r="AH22" s="98"/>
      <c r="AI22" s="98"/>
      <c r="AJ22" s="98"/>
      <c r="AK22" s="98"/>
      <c r="AL22" s="98"/>
    </row>
    <row r="23" spans="1:38" ht="15">
      <c r="A23" s="154" t="s">
        <v>46</v>
      </c>
      <c r="B23" s="155"/>
      <c r="C23" s="156"/>
      <c r="D23" s="151">
        <v>0</v>
      </c>
      <c r="E23" s="151">
        <v>0</v>
      </c>
      <c r="F23" s="151">
        <v>0</v>
      </c>
      <c r="G23" s="151">
        <v>0</v>
      </c>
      <c r="H23" s="151">
        <v>0</v>
      </c>
      <c r="I23" s="151">
        <v>0</v>
      </c>
      <c r="J23" s="151">
        <v>0</v>
      </c>
      <c r="K23" s="151">
        <v>0</v>
      </c>
      <c r="L23" s="151">
        <v>0</v>
      </c>
      <c r="M23" s="151">
        <v>0</v>
      </c>
      <c r="N23" s="151">
        <v>0</v>
      </c>
      <c r="O23" s="151">
        <v>0</v>
      </c>
      <c r="P23" s="151">
        <v>0</v>
      </c>
      <c r="Q23" s="151">
        <v>0</v>
      </c>
      <c r="R23" s="151">
        <v>0</v>
      </c>
      <c r="S23" s="151">
        <v>0</v>
      </c>
      <c r="T23" s="151">
        <v>0</v>
      </c>
      <c r="U23" s="151">
        <v>0</v>
      </c>
      <c r="V23" s="151">
        <v>0</v>
      </c>
      <c r="W23" s="151">
        <v>0</v>
      </c>
      <c r="X23" s="151">
        <v>0</v>
      </c>
      <c r="Y23" s="151">
        <v>0</v>
      </c>
      <c r="Z23" s="151">
        <v>0</v>
      </c>
      <c r="AA23" s="151">
        <v>0</v>
      </c>
      <c r="AB23" s="114"/>
      <c r="AC23" s="114"/>
      <c r="AD23" s="114"/>
      <c r="AE23" s="114"/>
      <c r="AF23" s="114"/>
      <c r="AG23" s="98"/>
      <c r="AH23" s="98"/>
      <c r="AI23" s="98"/>
      <c r="AJ23" s="98"/>
      <c r="AK23" s="98"/>
      <c r="AL23" s="98"/>
    </row>
    <row r="24" spans="1:38" ht="15">
      <c r="A24" s="154" t="s">
        <v>47</v>
      </c>
      <c r="B24" s="155"/>
      <c r="C24" s="156">
        <v>0</v>
      </c>
      <c r="D24" s="151">
        <v>0</v>
      </c>
      <c r="E24" s="151">
        <v>0</v>
      </c>
      <c r="F24" s="151">
        <v>0</v>
      </c>
      <c r="G24" s="151">
        <v>0</v>
      </c>
      <c r="H24" s="151">
        <v>0</v>
      </c>
      <c r="I24" s="151">
        <v>0</v>
      </c>
      <c r="J24" s="151">
        <v>0</v>
      </c>
      <c r="K24" s="151">
        <v>0</v>
      </c>
      <c r="L24" s="151">
        <v>0</v>
      </c>
      <c r="M24" s="151">
        <v>0</v>
      </c>
      <c r="N24" s="151">
        <v>0</v>
      </c>
      <c r="O24" s="151">
        <v>0</v>
      </c>
      <c r="P24" s="151">
        <v>0</v>
      </c>
      <c r="Q24" s="151">
        <v>0</v>
      </c>
      <c r="R24" s="151">
        <v>0</v>
      </c>
      <c r="S24" s="151">
        <v>0</v>
      </c>
      <c r="T24" s="151">
        <v>0</v>
      </c>
      <c r="U24" s="151">
        <v>0</v>
      </c>
      <c r="V24" s="151">
        <v>0</v>
      </c>
      <c r="W24" s="151">
        <v>0</v>
      </c>
      <c r="X24" s="151">
        <v>0</v>
      </c>
      <c r="Y24" s="151">
        <v>0</v>
      </c>
      <c r="Z24" s="151">
        <v>0</v>
      </c>
      <c r="AA24" s="151">
        <v>0</v>
      </c>
      <c r="AB24" s="114"/>
      <c r="AC24" s="114"/>
      <c r="AD24" s="114"/>
      <c r="AE24" s="114"/>
      <c r="AF24" s="114"/>
      <c r="AG24" s="98"/>
      <c r="AH24" s="98"/>
      <c r="AI24" s="98"/>
      <c r="AJ24" s="98"/>
      <c r="AK24" s="98"/>
      <c r="AL24" s="98"/>
    </row>
    <row r="25" spans="1:38" ht="15">
      <c r="A25" s="154" t="s">
        <v>48</v>
      </c>
      <c r="B25" s="155"/>
      <c r="C25" s="156">
        <v>0</v>
      </c>
      <c r="D25" s="151">
        <v>0</v>
      </c>
      <c r="E25" s="151">
        <v>0</v>
      </c>
      <c r="F25" s="151">
        <v>0</v>
      </c>
      <c r="G25" s="151">
        <v>0</v>
      </c>
      <c r="H25" s="151">
        <v>0</v>
      </c>
      <c r="I25" s="151">
        <v>0</v>
      </c>
      <c r="J25" s="151">
        <v>0</v>
      </c>
      <c r="K25" s="151">
        <v>0</v>
      </c>
      <c r="L25" s="151">
        <v>0</v>
      </c>
      <c r="M25" s="151">
        <v>0</v>
      </c>
      <c r="N25" s="151">
        <v>0</v>
      </c>
      <c r="O25" s="151">
        <v>0</v>
      </c>
      <c r="P25" s="151">
        <v>0</v>
      </c>
      <c r="Q25" s="151">
        <v>0</v>
      </c>
      <c r="R25" s="151">
        <v>0</v>
      </c>
      <c r="S25" s="151">
        <v>0</v>
      </c>
      <c r="T25" s="151">
        <v>0</v>
      </c>
      <c r="U25" s="151">
        <v>0</v>
      </c>
      <c r="V25" s="151">
        <v>0</v>
      </c>
      <c r="W25" s="151">
        <v>0</v>
      </c>
      <c r="X25" s="151">
        <v>0</v>
      </c>
      <c r="Y25" s="151">
        <v>0</v>
      </c>
      <c r="Z25" s="151">
        <v>0</v>
      </c>
      <c r="AA25" s="151">
        <v>0</v>
      </c>
      <c r="AB25" s="114"/>
      <c r="AC25" s="114"/>
      <c r="AD25" s="114"/>
      <c r="AE25" s="114"/>
      <c r="AF25" s="114"/>
      <c r="AG25" s="98"/>
      <c r="AH25" s="98"/>
      <c r="AI25" s="98"/>
      <c r="AJ25" s="98"/>
      <c r="AK25" s="98"/>
      <c r="AL25" s="98"/>
    </row>
    <row r="26" spans="1:38" ht="15">
      <c r="A26" s="154" t="s">
        <v>49</v>
      </c>
      <c r="B26" s="155"/>
      <c r="C26" s="156">
        <v>0</v>
      </c>
      <c r="D26" s="151">
        <v>0</v>
      </c>
      <c r="E26" s="151">
        <v>0</v>
      </c>
      <c r="F26" s="151">
        <v>0</v>
      </c>
      <c r="G26" s="151">
        <v>0</v>
      </c>
      <c r="H26" s="151">
        <v>0</v>
      </c>
      <c r="I26" s="151">
        <v>0</v>
      </c>
      <c r="J26" s="151">
        <v>0</v>
      </c>
      <c r="K26" s="151">
        <v>0</v>
      </c>
      <c r="L26" s="151">
        <v>0</v>
      </c>
      <c r="M26" s="151">
        <v>0</v>
      </c>
      <c r="N26" s="151">
        <v>0</v>
      </c>
      <c r="O26" s="151">
        <v>0</v>
      </c>
      <c r="P26" s="151">
        <v>0</v>
      </c>
      <c r="Q26" s="151">
        <v>0</v>
      </c>
      <c r="R26" s="151">
        <v>0</v>
      </c>
      <c r="S26" s="151">
        <v>0</v>
      </c>
      <c r="T26" s="151">
        <v>0</v>
      </c>
      <c r="U26" s="151">
        <v>0</v>
      </c>
      <c r="V26" s="151">
        <v>0</v>
      </c>
      <c r="W26" s="151">
        <v>0</v>
      </c>
      <c r="X26" s="151">
        <v>0</v>
      </c>
      <c r="Y26" s="151">
        <v>0</v>
      </c>
      <c r="Z26" s="151">
        <v>0</v>
      </c>
      <c r="AA26" s="151">
        <v>0</v>
      </c>
      <c r="AB26" s="114"/>
      <c r="AC26" s="114"/>
      <c r="AD26" s="114"/>
      <c r="AE26" s="114"/>
      <c r="AF26" s="114"/>
      <c r="AG26" s="98"/>
      <c r="AH26" s="98"/>
      <c r="AI26" s="98"/>
      <c r="AJ26" s="98"/>
      <c r="AK26" s="98"/>
      <c r="AL26" s="98"/>
    </row>
    <row r="27" spans="1:38" ht="15">
      <c r="A27" s="154" t="s">
        <v>50</v>
      </c>
      <c r="B27" s="155"/>
      <c r="C27" s="156"/>
      <c r="D27" s="151">
        <v>0</v>
      </c>
      <c r="E27" s="151">
        <v>0</v>
      </c>
      <c r="F27" s="151">
        <v>0</v>
      </c>
      <c r="G27" s="151">
        <v>0</v>
      </c>
      <c r="H27" s="151">
        <v>0</v>
      </c>
      <c r="I27" s="151">
        <v>0</v>
      </c>
      <c r="J27" s="151">
        <v>0</v>
      </c>
      <c r="K27" s="151">
        <v>0</v>
      </c>
      <c r="L27" s="151">
        <v>0</v>
      </c>
      <c r="M27" s="151">
        <v>0</v>
      </c>
      <c r="N27" s="151">
        <v>0</v>
      </c>
      <c r="O27" s="151">
        <v>0</v>
      </c>
      <c r="P27" s="151">
        <v>0</v>
      </c>
      <c r="Q27" s="151">
        <v>0</v>
      </c>
      <c r="R27" s="151">
        <v>0</v>
      </c>
      <c r="S27" s="151">
        <v>0</v>
      </c>
      <c r="T27" s="151">
        <v>0</v>
      </c>
      <c r="U27" s="151">
        <v>0</v>
      </c>
      <c r="V27" s="151">
        <v>0</v>
      </c>
      <c r="W27" s="151">
        <v>0</v>
      </c>
      <c r="X27" s="151">
        <v>0</v>
      </c>
      <c r="Y27" s="151">
        <v>0</v>
      </c>
      <c r="Z27" s="151">
        <v>0</v>
      </c>
      <c r="AA27" s="151">
        <v>0</v>
      </c>
      <c r="AB27" s="114"/>
      <c r="AC27" s="114"/>
      <c r="AD27" s="114"/>
      <c r="AE27" s="114"/>
      <c r="AF27" s="114"/>
      <c r="AG27" s="98"/>
      <c r="AH27" s="98"/>
      <c r="AI27" s="98"/>
      <c r="AJ27" s="98"/>
      <c r="AK27" s="98"/>
      <c r="AL27" s="98"/>
    </row>
    <row r="28" spans="1:38" ht="15">
      <c r="A28" s="105" t="s">
        <v>51</v>
      </c>
      <c r="B28" s="98"/>
      <c r="C28" s="120"/>
      <c r="D28" s="142">
        <v>0</v>
      </c>
      <c r="E28" s="142">
        <v>0</v>
      </c>
      <c r="F28" s="142">
        <v>0</v>
      </c>
      <c r="G28" s="142">
        <v>0</v>
      </c>
      <c r="H28" s="142">
        <v>0</v>
      </c>
      <c r="I28" s="142">
        <v>0</v>
      </c>
      <c r="J28" s="142">
        <v>0</v>
      </c>
      <c r="K28" s="142">
        <v>0</v>
      </c>
      <c r="L28" s="142">
        <v>0</v>
      </c>
      <c r="M28" s="142">
        <v>0</v>
      </c>
      <c r="N28" s="142">
        <v>0</v>
      </c>
      <c r="O28" s="142">
        <v>0</v>
      </c>
      <c r="P28" s="142">
        <v>0</v>
      </c>
      <c r="Q28" s="142">
        <v>0</v>
      </c>
      <c r="R28" s="142">
        <v>0</v>
      </c>
      <c r="S28" s="142">
        <v>0</v>
      </c>
      <c r="T28" s="142">
        <v>0</v>
      </c>
      <c r="U28" s="142">
        <v>0</v>
      </c>
      <c r="V28" s="142">
        <v>0</v>
      </c>
      <c r="W28" s="142">
        <v>0</v>
      </c>
      <c r="X28" s="142">
        <v>0</v>
      </c>
      <c r="Y28" s="142">
        <v>0</v>
      </c>
      <c r="Z28" s="142">
        <v>0</v>
      </c>
      <c r="AA28" s="142">
        <v>0</v>
      </c>
      <c r="AB28" s="114"/>
      <c r="AC28" s="114"/>
      <c r="AD28" s="114"/>
      <c r="AE28" s="114"/>
      <c r="AF28" s="114"/>
      <c r="AG28" s="98"/>
      <c r="AH28" s="98"/>
      <c r="AI28" s="98"/>
      <c r="AJ28" s="98"/>
      <c r="AK28" s="98"/>
      <c r="AL28" s="98"/>
    </row>
    <row r="29" spans="1:38" ht="15">
      <c r="A29" s="105" t="s">
        <v>52</v>
      </c>
      <c r="B29" s="98"/>
      <c r="C29" s="120"/>
      <c r="D29" s="142">
        <v>0</v>
      </c>
      <c r="E29" s="142">
        <v>0</v>
      </c>
      <c r="F29" s="142">
        <v>0</v>
      </c>
      <c r="G29" s="142">
        <v>0</v>
      </c>
      <c r="H29" s="142">
        <v>0</v>
      </c>
      <c r="I29" s="142">
        <v>0</v>
      </c>
      <c r="J29" s="142">
        <v>0</v>
      </c>
      <c r="K29" s="142">
        <v>0</v>
      </c>
      <c r="L29" s="142">
        <v>0</v>
      </c>
      <c r="M29" s="142">
        <v>0</v>
      </c>
      <c r="N29" s="142">
        <v>0</v>
      </c>
      <c r="O29" s="142">
        <v>0</v>
      </c>
      <c r="P29" s="142">
        <v>0</v>
      </c>
      <c r="Q29" s="142">
        <v>0</v>
      </c>
      <c r="R29" s="142">
        <v>0</v>
      </c>
      <c r="S29" s="142">
        <v>0</v>
      </c>
      <c r="T29" s="142">
        <v>0</v>
      </c>
      <c r="U29" s="142">
        <v>0</v>
      </c>
      <c r="V29" s="142">
        <v>0</v>
      </c>
      <c r="W29" s="142">
        <v>0</v>
      </c>
      <c r="X29" s="142">
        <v>0</v>
      </c>
      <c r="Y29" s="142">
        <v>0</v>
      </c>
      <c r="Z29" s="142">
        <v>0</v>
      </c>
      <c r="AA29" s="142">
        <v>0</v>
      </c>
      <c r="AB29" s="114"/>
      <c r="AC29" s="114"/>
      <c r="AD29" s="114"/>
      <c r="AE29" s="114"/>
      <c r="AF29" s="114"/>
      <c r="AG29" s="98"/>
      <c r="AH29" s="98"/>
      <c r="AI29" s="98"/>
      <c r="AJ29" s="98"/>
      <c r="AK29" s="98"/>
      <c r="AL29" s="98"/>
    </row>
    <row r="30" spans="1:41" ht="15">
      <c r="A30" s="105" t="s">
        <v>53</v>
      </c>
      <c r="B30" s="98"/>
      <c r="C30" s="120">
        <v>0</v>
      </c>
      <c r="D30" s="142">
        <v>0</v>
      </c>
      <c r="E30" s="142">
        <v>0</v>
      </c>
      <c r="F30" s="142">
        <v>0</v>
      </c>
      <c r="G30" s="142">
        <v>0</v>
      </c>
      <c r="H30" s="142">
        <v>0</v>
      </c>
      <c r="I30" s="142">
        <v>0</v>
      </c>
      <c r="J30" s="142">
        <v>0</v>
      </c>
      <c r="K30" s="142">
        <v>0</v>
      </c>
      <c r="L30" s="142">
        <v>0</v>
      </c>
      <c r="M30" s="142">
        <v>0</v>
      </c>
      <c r="N30" s="142">
        <v>0</v>
      </c>
      <c r="O30" s="142">
        <v>0</v>
      </c>
      <c r="P30" s="142">
        <v>0</v>
      </c>
      <c r="Q30" s="142">
        <v>0</v>
      </c>
      <c r="R30" s="142">
        <v>0</v>
      </c>
      <c r="S30" s="142">
        <v>0</v>
      </c>
      <c r="T30" s="142">
        <v>0</v>
      </c>
      <c r="U30" s="142">
        <v>0</v>
      </c>
      <c r="V30" s="142">
        <v>0</v>
      </c>
      <c r="W30" s="142">
        <v>0</v>
      </c>
      <c r="X30" s="142">
        <v>0</v>
      </c>
      <c r="Y30" s="142">
        <v>0</v>
      </c>
      <c r="Z30" s="142">
        <v>0</v>
      </c>
      <c r="AA30" s="142">
        <v>0</v>
      </c>
      <c r="AB30" s="114"/>
      <c r="AC30" s="114"/>
      <c r="AD30" s="114"/>
      <c r="AE30" s="114"/>
      <c r="AF30" s="114"/>
      <c r="AG30" s="98"/>
      <c r="AH30" s="98"/>
      <c r="AI30" s="98"/>
      <c r="AJ30" s="98"/>
      <c r="AK30" s="98"/>
      <c r="AL30" s="98"/>
      <c r="AM30" s="98"/>
      <c r="AN30" s="98"/>
      <c r="AO30" s="98"/>
    </row>
    <row r="31" spans="1:41" ht="15">
      <c r="A31" s="105" t="s">
        <v>54</v>
      </c>
      <c r="B31" s="98"/>
      <c r="C31" s="120"/>
      <c r="D31" s="142">
        <v>0</v>
      </c>
      <c r="E31" s="142">
        <v>0</v>
      </c>
      <c r="F31" s="142">
        <v>0</v>
      </c>
      <c r="G31" s="142">
        <v>0</v>
      </c>
      <c r="H31" s="142">
        <v>0</v>
      </c>
      <c r="I31" s="142">
        <v>0</v>
      </c>
      <c r="J31" s="142">
        <v>0</v>
      </c>
      <c r="K31" s="142">
        <v>0</v>
      </c>
      <c r="L31" s="142">
        <v>0</v>
      </c>
      <c r="M31" s="142">
        <v>0</v>
      </c>
      <c r="N31" s="142">
        <v>0</v>
      </c>
      <c r="O31" s="142">
        <v>0</v>
      </c>
      <c r="P31" s="142">
        <v>0</v>
      </c>
      <c r="Q31" s="142">
        <v>0</v>
      </c>
      <c r="R31" s="142">
        <v>0</v>
      </c>
      <c r="S31" s="142">
        <v>0</v>
      </c>
      <c r="T31" s="142">
        <v>0</v>
      </c>
      <c r="U31" s="142">
        <v>0</v>
      </c>
      <c r="V31" s="142">
        <v>0</v>
      </c>
      <c r="W31" s="142">
        <v>0</v>
      </c>
      <c r="X31" s="142">
        <v>0</v>
      </c>
      <c r="Y31" s="142">
        <v>0</v>
      </c>
      <c r="Z31" s="142">
        <v>0</v>
      </c>
      <c r="AA31" s="142">
        <v>0</v>
      </c>
      <c r="AB31" s="114"/>
      <c r="AC31" s="114"/>
      <c r="AD31" s="114"/>
      <c r="AE31" s="114"/>
      <c r="AF31" s="114"/>
      <c r="AG31" s="98"/>
      <c r="AH31" s="98"/>
      <c r="AI31" s="98"/>
      <c r="AJ31" s="98"/>
      <c r="AK31" s="98"/>
      <c r="AL31" s="98"/>
      <c r="AM31" s="98"/>
      <c r="AN31" s="98"/>
      <c r="AO31" s="98"/>
    </row>
    <row r="32" spans="1:41" ht="15">
      <c r="A32" s="105" t="s">
        <v>55</v>
      </c>
      <c r="B32" s="98"/>
      <c r="C32" s="120"/>
      <c r="D32" s="142">
        <v>0</v>
      </c>
      <c r="E32" s="142">
        <v>0</v>
      </c>
      <c r="F32" s="142">
        <v>0</v>
      </c>
      <c r="G32" s="142">
        <v>0</v>
      </c>
      <c r="H32" s="142">
        <v>0</v>
      </c>
      <c r="I32" s="142">
        <v>0</v>
      </c>
      <c r="J32" s="142">
        <v>0</v>
      </c>
      <c r="K32" s="142">
        <v>0</v>
      </c>
      <c r="L32" s="142">
        <v>0</v>
      </c>
      <c r="M32" s="142">
        <v>0</v>
      </c>
      <c r="N32" s="142">
        <v>0</v>
      </c>
      <c r="O32" s="142">
        <v>0</v>
      </c>
      <c r="P32" s="142">
        <v>0</v>
      </c>
      <c r="Q32" s="142">
        <v>0</v>
      </c>
      <c r="R32" s="142">
        <v>0</v>
      </c>
      <c r="S32" s="142">
        <v>0</v>
      </c>
      <c r="T32" s="142">
        <v>0</v>
      </c>
      <c r="U32" s="142">
        <v>0</v>
      </c>
      <c r="V32" s="142">
        <v>0</v>
      </c>
      <c r="W32" s="142">
        <v>0</v>
      </c>
      <c r="X32" s="142">
        <v>0</v>
      </c>
      <c r="Y32" s="142">
        <v>0</v>
      </c>
      <c r="Z32" s="142">
        <v>0</v>
      </c>
      <c r="AA32" s="142">
        <v>0</v>
      </c>
      <c r="AB32" s="114"/>
      <c r="AC32" s="114"/>
      <c r="AD32" s="114"/>
      <c r="AE32" s="114"/>
      <c r="AF32" s="114"/>
      <c r="AG32" s="98"/>
      <c r="AH32" s="98"/>
      <c r="AI32" s="98"/>
      <c r="AJ32" s="98"/>
      <c r="AK32" s="98"/>
      <c r="AL32" s="98"/>
      <c r="AM32" s="98"/>
      <c r="AN32" s="98"/>
      <c r="AO32" s="98"/>
    </row>
    <row r="33" spans="1:41" ht="15">
      <c r="A33" s="154" t="s">
        <v>56</v>
      </c>
      <c r="B33" s="155"/>
      <c r="C33" s="156"/>
      <c r="D33" s="151">
        <v>0</v>
      </c>
      <c r="E33" s="151">
        <v>0</v>
      </c>
      <c r="F33" s="151">
        <v>0</v>
      </c>
      <c r="G33" s="151">
        <v>0</v>
      </c>
      <c r="H33" s="151">
        <v>0</v>
      </c>
      <c r="I33" s="151">
        <v>0</v>
      </c>
      <c r="J33" s="151">
        <v>0</v>
      </c>
      <c r="K33" s="151">
        <v>0</v>
      </c>
      <c r="L33" s="151">
        <v>0</v>
      </c>
      <c r="M33" s="151">
        <v>0</v>
      </c>
      <c r="N33" s="151">
        <v>0</v>
      </c>
      <c r="O33" s="151">
        <v>0</v>
      </c>
      <c r="P33" s="151">
        <v>0</v>
      </c>
      <c r="Q33" s="151">
        <v>0</v>
      </c>
      <c r="R33" s="151">
        <v>0</v>
      </c>
      <c r="S33" s="151">
        <v>0</v>
      </c>
      <c r="T33" s="151">
        <v>0</v>
      </c>
      <c r="U33" s="151">
        <v>0</v>
      </c>
      <c r="V33" s="151">
        <v>0</v>
      </c>
      <c r="W33" s="151">
        <v>0</v>
      </c>
      <c r="X33" s="151">
        <v>0</v>
      </c>
      <c r="Y33" s="151">
        <v>0</v>
      </c>
      <c r="Z33" s="151">
        <v>0</v>
      </c>
      <c r="AA33" s="151">
        <v>0</v>
      </c>
      <c r="AB33" s="114"/>
      <c r="AC33" s="114"/>
      <c r="AD33" s="114"/>
      <c r="AE33" s="114"/>
      <c r="AF33" s="114"/>
      <c r="AG33" s="98"/>
      <c r="AH33" s="98"/>
      <c r="AI33" s="98"/>
      <c r="AJ33" s="98"/>
      <c r="AK33" s="98"/>
      <c r="AL33" s="98"/>
      <c r="AM33" s="98"/>
      <c r="AN33" s="98"/>
      <c r="AO33" s="98"/>
    </row>
    <row r="34" spans="1:41" ht="15">
      <c r="A34" s="154" t="s">
        <v>57</v>
      </c>
      <c r="B34" s="155"/>
      <c r="C34" s="156"/>
      <c r="D34" s="151">
        <v>0</v>
      </c>
      <c r="E34" s="151">
        <v>0</v>
      </c>
      <c r="F34" s="151">
        <v>0</v>
      </c>
      <c r="G34" s="151">
        <v>0</v>
      </c>
      <c r="H34" s="151">
        <v>0</v>
      </c>
      <c r="I34" s="151">
        <v>0</v>
      </c>
      <c r="J34" s="151">
        <v>0</v>
      </c>
      <c r="K34" s="151">
        <v>0</v>
      </c>
      <c r="L34" s="151">
        <v>0</v>
      </c>
      <c r="M34" s="151">
        <v>0</v>
      </c>
      <c r="N34" s="151">
        <v>0</v>
      </c>
      <c r="O34" s="151">
        <v>0</v>
      </c>
      <c r="P34" s="151">
        <v>0</v>
      </c>
      <c r="Q34" s="151">
        <v>0</v>
      </c>
      <c r="R34" s="151">
        <v>0</v>
      </c>
      <c r="S34" s="151">
        <v>0</v>
      </c>
      <c r="T34" s="151">
        <v>0</v>
      </c>
      <c r="U34" s="151">
        <v>0</v>
      </c>
      <c r="V34" s="151">
        <v>0</v>
      </c>
      <c r="W34" s="151">
        <v>0</v>
      </c>
      <c r="X34" s="151">
        <v>0</v>
      </c>
      <c r="Y34" s="151">
        <v>0</v>
      </c>
      <c r="Z34" s="151">
        <v>0</v>
      </c>
      <c r="AA34" s="151">
        <v>0</v>
      </c>
      <c r="AB34" s="114"/>
      <c r="AC34" s="114"/>
      <c r="AD34" s="114"/>
      <c r="AE34" s="114"/>
      <c r="AF34" s="114"/>
      <c r="AG34" s="98"/>
      <c r="AH34" s="98"/>
      <c r="AI34" s="98"/>
      <c r="AJ34" s="98"/>
      <c r="AK34" s="98"/>
      <c r="AL34" s="98"/>
      <c r="AM34" s="98"/>
      <c r="AN34" s="98"/>
      <c r="AO34" s="98"/>
    </row>
    <row r="35" spans="1:41" ht="15">
      <c r="A35" s="154" t="s">
        <v>58</v>
      </c>
      <c r="B35" s="155"/>
      <c r="C35" s="156">
        <v>0</v>
      </c>
      <c r="D35" s="151">
        <v>0</v>
      </c>
      <c r="E35" s="151">
        <v>0</v>
      </c>
      <c r="F35" s="151">
        <v>0</v>
      </c>
      <c r="G35" s="151">
        <v>0</v>
      </c>
      <c r="H35" s="151">
        <v>0</v>
      </c>
      <c r="I35" s="151">
        <v>0</v>
      </c>
      <c r="J35" s="151">
        <v>0</v>
      </c>
      <c r="K35" s="151">
        <v>0</v>
      </c>
      <c r="L35" s="151">
        <v>0</v>
      </c>
      <c r="M35" s="151">
        <v>0</v>
      </c>
      <c r="N35" s="151">
        <v>0</v>
      </c>
      <c r="O35" s="151">
        <v>0</v>
      </c>
      <c r="P35" s="151">
        <v>0</v>
      </c>
      <c r="Q35" s="151">
        <v>0</v>
      </c>
      <c r="R35" s="151">
        <v>0</v>
      </c>
      <c r="S35" s="151">
        <v>0</v>
      </c>
      <c r="T35" s="151">
        <v>0</v>
      </c>
      <c r="U35" s="151">
        <v>0</v>
      </c>
      <c r="V35" s="151">
        <v>0</v>
      </c>
      <c r="W35" s="151">
        <v>0</v>
      </c>
      <c r="X35" s="151">
        <v>0</v>
      </c>
      <c r="Y35" s="151">
        <v>0</v>
      </c>
      <c r="Z35" s="151">
        <v>0</v>
      </c>
      <c r="AA35" s="151">
        <v>0</v>
      </c>
      <c r="AB35" s="114"/>
      <c r="AC35" s="114"/>
      <c r="AD35" s="114"/>
      <c r="AE35" s="114"/>
      <c r="AF35" s="114"/>
      <c r="AG35" s="98"/>
      <c r="AH35" s="98"/>
      <c r="AI35" s="98"/>
      <c r="AJ35" s="98"/>
      <c r="AK35" s="98"/>
      <c r="AL35" s="98"/>
      <c r="AM35" s="98"/>
      <c r="AN35" s="98"/>
      <c r="AO35" s="98"/>
    </row>
    <row r="36" spans="1:41" ht="15">
      <c r="A36" s="154" t="s">
        <v>59</v>
      </c>
      <c r="B36" s="155"/>
      <c r="C36" s="156"/>
      <c r="D36" s="151">
        <v>0</v>
      </c>
      <c r="E36" s="151">
        <v>0</v>
      </c>
      <c r="F36" s="151">
        <v>0</v>
      </c>
      <c r="G36" s="151">
        <v>0</v>
      </c>
      <c r="H36" s="151">
        <v>0</v>
      </c>
      <c r="I36" s="151">
        <v>0</v>
      </c>
      <c r="J36" s="151">
        <v>0</v>
      </c>
      <c r="K36" s="151">
        <v>0</v>
      </c>
      <c r="L36" s="151">
        <v>0</v>
      </c>
      <c r="M36" s="151">
        <v>0</v>
      </c>
      <c r="N36" s="151">
        <v>0</v>
      </c>
      <c r="O36" s="151">
        <v>0</v>
      </c>
      <c r="P36" s="151">
        <v>0</v>
      </c>
      <c r="Q36" s="151">
        <v>0</v>
      </c>
      <c r="R36" s="151">
        <v>0</v>
      </c>
      <c r="S36" s="151">
        <v>0</v>
      </c>
      <c r="T36" s="151">
        <v>0</v>
      </c>
      <c r="U36" s="151">
        <v>0</v>
      </c>
      <c r="V36" s="151">
        <v>0</v>
      </c>
      <c r="W36" s="151">
        <v>0</v>
      </c>
      <c r="X36" s="151">
        <v>0</v>
      </c>
      <c r="Y36" s="151">
        <v>0</v>
      </c>
      <c r="Z36" s="151">
        <v>0</v>
      </c>
      <c r="AA36" s="151">
        <v>0</v>
      </c>
      <c r="AB36" s="114"/>
      <c r="AC36" s="114"/>
      <c r="AD36" s="114"/>
      <c r="AE36" s="114"/>
      <c r="AF36" s="114"/>
      <c r="AG36" s="98"/>
      <c r="AH36" s="98"/>
      <c r="AI36" s="98"/>
      <c r="AJ36" s="98"/>
      <c r="AK36" s="98"/>
      <c r="AL36" s="98"/>
      <c r="AM36" s="98"/>
      <c r="AN36" s="98"/>
      <c r="AO36" s="98"/>
    </row>
    <row r="37" spans="1:41" ht="15">
      <c r="A37" s="154" t="s">
        <v>60</v>
      </c>
      <c r="B37" s="155"/>
      <c r="C37" s="156"/>
      <c r="D37" s="151">
        <v>0</v>
      </c>
      <c r="E37" s="151">
        <v>0</v>
      </c>
      <c r="F37" s="151">
        <v>0</v>
      </c>
      <c r="G37" s="151">
        <v>0</v>
      </c>
      <c r="H37" s="151">
        <v>0</v>
      </c>
      <c r="I37" s="151">
        <v>0</v>
      </c>
      <c r="J37" s="151">
        <v>0</v>
      </c>
      <c r="K37" s="151">
        <v>0</v>
      </c>
      <c r="L37" s="151">
        <v>0</v>
      </c>
      <c r="M37" s="151">
        <v>0</v>
      </c>
      <c r="N37" s="151">
        <v>0</v>
      </c>
      <c r="O37" s="151">
        <v>0</v>
      </c>
      <c r="P37" s="151">
        <v>0</v>
      </c>
      <c r="Q37" s="151">
        <v>0</v>
      </c>
      <c r="R37" s="151">
        <v>0</v>
      </c>
      <c r="S37" s="151">
        <v>0</v>
      </c>
      <c r="T37" s="151">
        <v>0</v>
      </c>
      <c r="U37" s="151">
        <v>0</v>
      </c>
      <c r="V37" s="151">
        <v>0</v>
      </c>
      <c r="W37" s="151">
        <v>0</v>
      </c>
      <c r="X37" s="151">
        <v>0</v>
      </c>
      <c r="Y37" s="151">
        <v>0</v>
      </c>
      <c r="Z37" s="151">
        <v>0</v>
      </c>
      <c r="AA37" s="151">
        <v>0</v>
      </c>
      <c r="AB37" s="114"/>
      <c r="AC37" s="114"/>
      <c r="AD37" s="114"/>
      <c r="AE37" s="114"/>
      <c r="AF37" s="114"/>
      <c r="AG37" s="98"/>
      <c r="AH37" s="98"/>
      <c r="AI37" s="98"/>
      <c r="AJ37" s="98"/>
      <c r="AK37" s="98"/>
      <c r="AL37" s="98"/>
      <c r="AM37" s="98"/>
      <c r="AN37" s="98"/>
      <c r="AO37" s="98"/>
    </row>
    <row r="38" spans="1:41" ht="15">
      <c r="A38" s="105" t="s">
        <v>61</v>
      </c>
      <c r="B38" s="98"/>
      <c r="C38" s="120"/>
      <c r="D38" s="142">
        <v>0</v>
      </c>
      <c r="E38" s="142">
        <v>0</v>
      </c>
      <c r="F38" s="142">
        <v>0</v>
      </c>
      <c r="G38" s="142">
        <v>0</v>
      </c>
      <c r="H38" s="142">
        <v>0</v>
      </c>
      <c r="I38" s="142">
        <v>0</v>
      </c>
      <c r="J38" s="142">
        <v>0</v>
      </c>
      <c r="K38" s="142">
        <v>0</v>
      </c>
      <c r="L38" s="142">
        <v>0</v>
      </c>
      <c r="M38" s="142">
        <v>0</v>
      </c>
      <c r="N38" s="142">
        <v>0</v>
      </c>
      <c r="O38" s="142">
        <v>0</v>
      </c>
      <c r="P38" s="142">
        <v>0</v>
      </c>
      <c r="Q38" s="142">
        <v>0</v>
      </c>
      <c r="R38" s="142">
        <v>0</v>
      </c>
      <c r="S38" s="142">
        <v>0</v>
      </c>
      <c r="T38" s="142">
        <v>0</v>
      </c>
      <c r="U38" s="142">
        <v>0</v>
      </c>
      <c r="V38" s="142">
        <v>0</v>
      </c>
      <c r="W38" s="142">
        <v>0</v>
      </c>
      <c r="X38" s="142">
        <v>0</v>
      </c>
      <c r="Y38" s="142">
        <v>0</v>
      </c>
      <c r="Z38" s="142">
        <v>0</v>
      </c>
      <c r="AA38" s="142">
        <v>0</v>
      </c>
      <c r="AB38" s="114"/>
      <c r="AC38" s="114"/>
      <c r="AD38" s="114"/>
      <c r="AE38" s="114"/>
      <c r="AF38" s="114"/>
      <c r="AG38" s="98"/>
      <c r="AH38" s="98"/>
      <c r="AI38" s="98"/>
      <c r="AJ38" s="98"/>
      <c r="AK38" s="98"/>
      <c r="AL38" s="98"/>
      <c r="AM38" s="98"/>
      <c r="AN38" s="98"/>
      <c r="AO38" s="98"/>
    </row>
    <row r="39" spans="1:41" ht="15">
      <c r="A39" s="105" t="s">
        <v>62</v>
      </c>
      <c r="B39" s="98"/>
      <c r="C39" s="120"/>
      <c r="D39" s="142">
        <v>0</v>
      </c>
      <c r="E39" s="142">
        <v>0</v>
      </c>
      <c r="F39" s="142">
        <v>0</v>
      </c>
      <c r="G39" s="142">
        <v>0</v>
      </c>
      <c r="H39" s="142">
        <v>0</v>
      </c>
      <c r="I39" s="142">
        <v>0</v>
      </c>
      <c r="J39" s="142">
        <v>0</v>
      </c>
      <c r="K39" s="142">
        <v>0</v>
      </c>
      <c r="L39" s="142">
        <v>0</v>
      </c>
      <c r="M39" s="142">
        <v>0</v>
      </c>
      <c r="N39" s="142">
        <v>0</v>
      </c>
      <c r="O39" s="142">
        <v>0</v>
      </c>
      <c r="P39" s="142">
        <v>0</v>
      </c>
      <c r="Q39" s="142">
        <v>0</v>
      </c>
      <c r="R39" s="142">
        <v>0</v>
      </c>
      <c r="S39" s="142">
        <v>0</v>
      </c>
      <c r="T39" s="142">
        <v>0</v>
      </c>
      <c r="U39" s="142">
        <v>0</v>
      </c>
      <c r="V39" s="142">
        <v>0</v>
      </c>
      <c r="W39" s="142">
        <v>0</v>
      </c>
      <c r="X39" s="142">
        <v>0</v>
      </c>
      <c r="Y39" s="142">
        <v>0</v>
      </c>
      <c r="Z39" s="142">
        <v>0</v>
      </c>
      <c r="AA39" s="142">
        <v>0</v>
      </c>
      <c r="AB39" s="114"/>
      <c r="AC39" s="114"/>
      <c r="AD39" s="114"/>
      <c r="AE39" s="114"/>
      <c r="AF39" s="114"/>
      <c r="AG39" s="98"/>
      <c r="AH39" s="98"/>
      <c r="AI39" s="98"/>
      <c r="AJ39" s="98"/>
      <c r="AK39" s="98"/>
      <c r="AL39" s="98"/>
      <c r="AM39" s="98"/>
      <c r="AN39" s="98"/>
      <c r="AO39" s="98"/>
    </row>
    <row r="40" spans="1:41" ht="15">
      <c r="A40" s="105" t="s">
        <v>63</v>
      </c>
      <c r="B40" s="98"/>
      <c r="C40" s="120">
        <v>0</v>
      </c>
      <c r="D40" s="142">
        <v>0</v>
      </c>
      <c r="E40" s="142">
        <v>0</v>
      </c>
      <c r="F40" s="142">
        <v>0</v>
      </c>
      <c r="G40" s="142">
        <v>0</v>
      </c>
      <c r="H40" s="142">
        <v>0</v>
      </c>
      <c r="I40" s="142">
        <v>0</v>
      </c>
      <c r="J40" s="142">
        <v>0</v>
      </c>
      <c r="K40" s="142">
        <v>0</v>
      </c>
      <c r="L40" s="142">
        <v>0</v>
      </c>
      <c r="M40" s="142">
        <v>0</v>
      </c>
      <c r="N40" s="142">
        <v>0</v>
      </c>
      <c r="O40" s="142">
        <v>0</v>
      </c>
      <c r="P40" s="142">
        <v>0</v>
      </c>
      <c r="Q40" s="142">
        <v>0</v>
      </c>
      <c r="R40" s="142">
        <v>0</v>
      </c>
      <c r="S40" s="142">
        <v>0</v>
      </c>
      <c r="T40" s="142">
        <v>0</v>
      </c>
      <c r="U40" s="142">
        <v>0</v>
      </c>
      <c r="V40" s="142">
        <v>0</v>
      </c>
      <c r="W40" s="142">
        <v>0</v>
      </c>
      <c r="X40" s="142">
        <v>0</v>
      </c>
      <c r="Y40" s="142">
        <v>0</v>
      </c>
      <c r="Z40" s="142">
        <v>0</v>
      </c>
      <c r="AA40" s="142">
        <v>0</v>
      </c>
      <c r="AB40" s="114"/>
      <c r="AC40" s="114"/>
      <c r="AD40" s="114"/>
      <c r="AE40" s="114"/>
      <c r="AF40" s="114"/>
      <c r="AG40" s="98"/>
      <c r="AH40" s="98"/>
      <c r="AI40" s="98"/>
      <c r="AJ40" s="98"/>
      <c r="AK40" s="98"/>
      <c r="AL40" s="98"/>
      <c r="AM40" s="98"/>
      <c r="AN40" s="98"/>
      <c r="AO40" s="98"/>
    </row>
    <row r="41" spans="1:41" ht="15">
      <c r="A41" s="105" t="s">
        <v>64</v>
      </c>
      <c r="B41" s="98"/>
      <c r="C41" s="120"/>
      <c r="D41" s="142">
        <v>0</v>
      </c>
      <c r="E41" s="142">
        <v>0</v>
      </c>
      <c r="F41" s="142">
        <v>0</v>
      </c>
      <c r="G41" s="142">
        <v>0</v>
      </c>
      <c r="H41" s="142">
        <v>0</v>
      </c>
      <c r="I41" s="142">
        <v>0</v>
      </c>
      <c r="J41" s="142">
        <v>0</v>
      </c>
      <c r="K41" s="142">
        <v>0</v>
      </c>
      <c r="L41" s="142">
        <v>0</v>
      </c>
      <c r="M41" s="142">
        <v>0</v>
      </c>
      <c r="N41" s="142">
        <v>0</v>
      </c>
      <c r="O41" s="142">
        <v>0</v>
      </c>
      <c r="P41" s="142">
        <v>0</v>
      </c>
      <c r="Q41" s="142">
        <v>0</v>
      </c>
      <c r="R41" s="142">
        <v>0</v>
      </c>
      <c r="S41" s="142">
        <v>0</v>
      </c>
      <c r="T41" s="142">
        <v>0</v>
      </c>
      <c r="U41" s="142">
        <v>0</v>
      </c>
      <c r="V41" s="142">
        <v>0</v>
      </c>
      <c r="W41" s="142">
        <v>0</v>
      </c>
      <c r="X41" s="142">
        <v>0</v>
      </c>
      <c r="Y41" s="142">
        <v>0</v>
      </c>
      <c r="Z41" s="142">
        <v>0</v>
      </c>
      <c r="AA41" s="142">
        <v>0</v>
      </c>
      <c r="AB41" s="114"/>
      <c r="AC41" s="114"/>
      <c r="AD41" s="114"/>
      <c r="AE41" s="114"/>
      <c r="AF41" s="114"/>
      <c r="AG41" s="98"/>
      <c r="AH41" s="98"/>
      <c r="AI41" s="98"/>
      <c r="AJ41" s="98"/>
      <c r="AK41" s="98"/>
      <c r="AL41" s="98"/>
      <c r="AM41" s="98"/>
      <c r="AN41" s="98"/>
      <c r="AO41" s="98"/>
    </row>
    <row r="42" spans="1:41" ht="15">
      <c r="A42" s="105" t="s">
        <v>65</v>
      </c>
      <c r="B42" s="98"/>
      <c r="C42" s="120"/>
      <c r="D42" s="142">
        <v>0</v>
      </c>
      <c r="E42" s="142">
        <v>0</v>
      </c>
      <c r="F42" s="142">
        <v>0</v>
      </c>
      <c r="G42" s="142">
        <v>0</v>
      </c>
      <c r="H42" s="142">
        <v>0</v>
      </c>
      <c r="I42" s="142">
        <v>0</v>
      </c>
      <c r="J42" s="142">
        <v>0</v>
      </c>
      <c r="K42" s="142">
        <v>0</v>
      </c>
      <c r="L42" s="142">
        <v>0</v>
      </c>
      <c r="M42" s="142">
        <v>0</v>
      </c>
      <c r="N42" s="142">
        <v>0</v>
      </c>
      <c r="O42" s="142">
        <v>0</v>
      </c>
      <c r="P42" s="142">
        <v>0</v>
      </c>
      <c r="Q42" s="142">
        <v>0</v>
      </c>
      <c r="R42" s="142">
        <v>0</v>
      </c>
      <c r="S42" s="142">
        <v>0</v>
      </c>
      <c r="T42" s="142">
        <v>0</v>
      </c>
      <c r="U42" s="142">
        <v>0</v>
      </c>
      <c r="V42" s="142">
        <v>0</v>
      </c>
      <c r="W42" s="142">
        <v>0</v>
      </c>
      <c r="X42" s="142">
        <v>0</v>
      </c>
      <c r="Y42" s="142">
        <v>0</v>
      </c>
      <c r="Z42" s="142">
        <v>0</v>
      </c>
      <c r="AA42" s="142">
        <v>0</v>
      </c>
      <c r="AB42" s="114"/>
      <c r="AC42" s="114"/>
      <c r="AD42" s="114"/>
      <c r="AE42" s="114"/>
      <c r="AF42" s="114"/>
      <c r="AG42" s="98"/>
      <c r="AH42" s="98"/>
      <c r="AI42" s="98"/>
      <c r="AJ42" s="98"/>
      <c r="AK42" s="98"/>
      <c r="AL42" s="98"/>
      <c r="AM42" s="98"/>
      <c r="AN42" s="98"/>
      <c r="AO42" s="98"/>
    </row>
    <row r="43" spans="1:32" s="98" customFormat="1" ht="15">
      <c r="A43" s="154" t="s">
        <v>101</v>
      </c>
      <c r="B43" s="177"/>
      <c r="C43" s="156"/>
      <c r="D43" s="151">
        <v>0</v>
      </c>
      <c r="E43" s="151">
        <v>0</v>
      </c>
      <c r="F43" s="151">
        <v>0</v>
      </c>
      <c r="G43" s="151">
        <v>0</v>
      </c>
      <c r="H43" s="151">
        <v>0</v>
      </c>
      <c r="I43" s="151">
        <v>0</v>
      </c>
      <c r="J43" s="151">
        <v>0</v>
      </c>
      <c r="K43" s="151">
        <v>0</v>
      </c>
      <c r="L43" s="151">
        <v>0</v>
      </c>
      <c r="M43" s="151">
        <v>0</v>
      </c>
      <c r="N43" s="151">
        <v>0</v>
      </c>
      <c r="O43" s="151">
        <v>0</v>
      </c>
      <c r="P43" s="151">
        <v>0</v>
      </c>
      <c r="Q43" s="151">
        <v>0</v>
      </c>
      <c r="R43" s="151">
        <v>0</v>
      </c>
      <c r="S43" s="151">
        <v>0</v>
      </c>
      <c r="T43" s="151">
        <v>0</v>
      </c>
      <c r="U43" s="151">
        <v>0</v>
      </c>
      <c r="V43" s="151">
        <v>0</v>
      </c>
      <c r="W43" s="151">
        <v>0</v>
      </c>
      <c r="X43" s="151">
        <v>0</v>
      </c>
      <c r="Y43" s="151">
        <v>0</v>
      </c>
      <c r="Z43" s="151">
        <v>0</v>
      </c>
      <c r="AA43" s="151">
        <v>0</v>
      </c>
      <c r="AB43" s="114"/>
      <c r="AC43" s="114"/>
      <c r="AD43" s="114"/>
      <c r="AE43" s="114"/>
      <c r="AF43" s="114"/>
    </row>
    <row r="44" spans="1:32" s="98" customFormat="1" ht="15">
      <c r="A44" s="154" t="s">
        <v>102</v>
      </c>
      <c r="B44" s="177"/>
      <c r="C44" s="156"/>
      <c r="D44" s="151">
        <v>0</v>
      </c>
      <c r="E44" s="151">
        <v>0</v>
      </c>
      <c r="F44" s="151">
        <v>0</v>
      </c>
      <c r="G44" s="151">
        <v>0</v>
      </c>
      <c r="H44" s="151">
        <v>0</v>
      </c>
      <c r="I44" s="151">
        <v>0</v>
      </c>
      <c r="J44" s="151">
        <v>0</v>
      </c>
      <c r="K44" s="151">
        <v>0</v>
      </c>
      <c r="L44" s="151">
        <v>0</v>
      </c>
      <c r="M44" s="151">
        <v>0</v>
      </c>
      <c r="N44" s="151">
        <v>0</v>
      </c>
      <c r="O44" s="151">
        <v>0</v>
      </c>
      <c r="P44" s="151">
        <v>0</v>
      </c>
      <c r="Q44" s="151">
        <v>0</v>
      </c>
      <c r="R44" s="151">
        <v>0</v>
      </c>
      <c r="S44" s="151">
        <v>0</v>
      </c>
      <c r="T44" s="151">
        <v>0</v>
      </c>
      <c r="U44" s="151">
        <v>0</v>
      </c>
      <c r="V44" s="151">
        <v>0</v>
      </c>
      <c r="W44" s="151">
        <v>0</v>
      </c>
      <c r="X44" s="151">
        <v>0</v>
      </c>
      <c r="Y44" s="151">
        <v>0</v>
      </c>
      <c r="Z44" s="151">
        <v>0</v>
      </c>
      <c r="AA44" s="151">
        <v>0</v>
      </c>
      <c r="AB44" s="114"/>
      <c r="AC44" s="114"/>
      <c r="AD44" s="114"/>
      <c r="AE44" s="114"/>
      <c r="AF44" s="114"/>
    </row>
    <row r="45" spans="1:32" s="98" customFormat="1" ht="15">
      <c r="A45" s="154" t="s">
        <v>103</v>
      </c>
      <c r="B45" s="177"/>
      <c r="C45" s="156">
        <v>0</v>
      </c>
      <c r="D45" s="151">
        <v>0</v>
      </c>
      <c r="E45" s="151">
        <v>0</v>
      </c>
      <c r="F45" s="151">
        <v>0</v>
      </c>
      <c r="G45" s="151">
        <v>0</v>
      </c>
      <c r="H45" s="151">
        <v>0</v>
      </c>
      <c r="I45" s="151">
        <v>0</v>
      </c>
      <c r="J45" s="151">
        <v>0</v>
      </c>
      <c r="K45" s="151">
        <v>0</v>
      </c>
      <c r="L45" s="151">
        <v>0</v>
      </c>
      <c r="M45" s="151">
        <v>0</v>
      </c>
      <c r="N45" s="151">
        <v>0</v>
      </c>
      <c r="O45" s="151">
        <v>0</v>
      </c>
      <c r="P45" s="151">
        <v>0</v>
      </c>
      <c r="Q45" s="151">
        <v>0</v>
      </c>
      <c r="R45" s="151">
        <v>0</v>
      </c>
      <c r="S45" s="151">
        <v>0</v>
      </c>
      <c r="T45" s="151">
        <v>0</v>
      </c>
      <c r="U45" s="151">
        <v>0</v>
      </c>
      <c r="V45" s="151">
        <v>0</v>
      </c>
      <c r="W45" s="151">
        <v>0</v>
      </c>
      <c r="X45" s="151">
        <v>0</v>
      </c>
      <c r="Y45" s="151">
        <v>0</v>
      </c>
      <c r="Z45" s="151">
        <v>0</v>
      </c>
      <c r="AA45" s="151">
        <v>0</v>
      </c>
      <c r="AB45" s="114"/>
      <c r="AC45" s="114"/>
      <c r="AD45" s="114"/>
      <c r="AE45" s="114"/>
      <c r="AF45" s="114"/>
    </row>
    <row r="46" spans="1:32" s="98" customFormat="1" ht="15">
      <c r="A46" s="154" t="s">
        <v>104</v>
      </c>
      <c r="B46" s="177"/>
      <c r="C46" s="156"/>
      <c r="D46" s="151">
        <v>0</v>
      </c>
      <c r="E46" s="151">
        <v>0</v>
      </c>
      <c r="F46" s="151">
        <v>0</v>
      </c>
      <c r="G46" s="151">
        <v>0</v>
      </c>
      <c r="H46" s="151">
        <v>0</v>
      </c>
      <c r="I46" s="151">
        <v>0</v>
      </c>
      <c r="J46" s="151">
        <v>0</v>
      </c>
      <c r="K46" s="151">
        <v>0</v>
      </c>
      <c r="L46" s="151">
        <v>0</v>
      </c>
      <c r="M46" s="151">
        <v>0</v>
      </c>
      <c r="N46" s="151">
        <v>0</v>
      </c>
      <c r="O46" s="151">
        <v>0</v>
      </c>
      <c r="P46" s="151">
        <v>0</v>
      </c>
      <c r="Q46" s="151">
        <v>0</v>
      </c>
      <c r="R46" s="151">
        <v>0</v>
      </c>
      <c r="S46" s="151">
        <v>0</v>
      </c>
      <c r="T46" s="151">
        <v>0</v>
      </c>
      <c r="U46" s="151">
        <v>0</v>
      </c>
      <c r="V46" s="151">
        <v>0</v>
      </c>
      <c r="W46" s="151">
        <v>0</v>
      </c>
      <c r="X46" s="151">
        <v>0</v>
      </c>
      <c r="Y46" s="151">
        <v>0</v>
      </c>
      <c r="Z46" s="151">
        <v>0</v>
      </c>
      <c r="AA46" s="151">
        <v>0</v>
      </c>
      <c r="AB46" s="114"/>
      <c r="AC46" s="114"/>
      <c r="AD46" s="114"/>
      <c r="AE46" s="114"/>
      <c r="AF46" s="114"/>
    </row>
    <row r="47" spans="1:32" s="98" customFormat="1" ht="15">
      <c r="A47" s="154" t="s">
        <v>105</v>
      </c>
      <c r="B47" s="177"/>
      <c r="C47" s="156"/>
      <c r="D47" s="151">
        <v>0</v>
      </c>
      <c r="E47" s="151">
        <v>0</v>
      </c>
      <c r="F47" s="151">
        <v>0</v>
      </c>
      <c r="G47" s="151">
        <v>0</v>
      </c>
      <c r="H47" s="151">
        <v>0</v>
      </c>
      <c r="I47" s="151">
        <v>0</v>
      </c>
      <c r="J47" s="151">
        <v>0</v>
      </c>
      <c r="K47" s="151">
        <v>0</v>
      </c>
      <c r="L47" s="151">
        <v>0</v>
      </c>
      <c r="M47" s="151">
        <v>0</v>
      </c>
      <c r="N47" s="151">
        <v>0</v>
      </c>
      <c r="O47" s="151">
        <v>0</v>
      </c>
      <c r="P47" s="151">
        <v>0</v>
      </c>
      <c r="Q47" s="151">
        <v>0</v>
      </c>
      <c r="R47" s="151">
        <v>0</v>
      </c>
      <c r="S47" s="151">
        <v>0</v>
      </c>
      <c r="T47" s="151">
        <v>0</v>
      </c>
      <c r="U47" s="151">
        <v>0</v>
      </c>
      <c r="V47" s="151">
        <v>0</v>
      </c>
      <c r="W47" s="151">
        <v>0</v>
      </c>
      <c r="X47" s="151">
        <v>0</v>
      </c>
      <c r="Y47" s="151">
        <v>0</v>
      </c>
      <c r="Z47" s="151">
        <v>0</v>
      </c>
      <c r="AA47" s="151">
        <v>0</v>
      </c>
      <c r="AB47" s="114"/>
      <c r="AC47" s="114"/>
      <c r="AD47" s="114"/>
      <c r="AE47" s="114"/>
      <c r="AF47" s="114"/>
    </row>
    <row r="48" spans="1:32" s="98" customFormat="1" ht="15">
      <c r="A48" s="105" t="s">
        <v>106</v>
      </c>
      <c r="C48" s="120"/>
      <c r="D48" s="142">
        <v>0</v>
      </c>
      <c r="E48" s="142">
        <v>0</v>
      </c>
      <c r="F48" s="142">
        <v>0</v>
      </c>
      <c r="G48" s="142">
        <v>0</v>
      </c>
      <c r="H48" s="142">
        <v>0</v>
      </c>
      <c r="I48" s="142">
        <v>0</v>
      </c>
      <c r="J48" s="142">
        <v>0</v>
      </c>
      <c r="K48" s="142">
        <v>0</v>
      </c>
      <c r="L48" s="142">
        <v>0</v>
      </c>
      <c r="M48" s="142">
        <v>0</v>
      </c>
      <c r="N48" s="142">
        <v>0</v>
      </c>
      <c r="O48" s="142">
        <v>0</v>
      </c>
      <c r="P48" s="142">
        <v>0</v>
      </c>
      <c r="Q48" s="142">
        <v>0</v>
      </c>
      <c r="R48" s="142">
        <v>0</v>
      </c>
      <c r="S48" s="142">
        <v>0</v>
      </c>
      <c r="T48" s="142">
        <v>0</v>
      </c>
      <c r="U48" s="142">
        <v>0</v>
      </c>
      <c r="V48" s="142">
        <v>0</v>
      </c>
      <c r="W48" s="142">
        <v>0</v>
      </c>
      <c r="X48" s="142">
        <v>0</v>
      </c>
      <c r="Y48" s="142">
        <v>0</v>
      </c>
      <c r="Z48" s="142">
        <v>0</v>
      </c>
      <c r="AA48" s="142">
        <v>0</v>
      </c>
      <c r="AB48" s="114"/>
      <c r="AC48" s="114"/>
      <c r="AD48" s="114"/>
      <c r="AE48" s="114"/>
      <c r="AF48" s="114"/>
    </row>
    <row r="49" spans="1:32" s="98" customFormat="1" ht="15">
      <c r="A49" s="105" t="s">
        <v>107</v>
      </c>
      <c r="C49" s="120"/>
      <c r="D49" s="142">
        <v>0</v>
      </c>
      <c r="E49" s="142">
        <v>0</v>
      </c>
      <c r="F49" s="142">
        <v>0</v>
      </c>
      <c r="G49" s="142">
        <v>0</v>
      </c>
      <c r="H49" s="142">
        <v>0</v>
      </c>
      <c r="I49" s="142">
        <v>0</v>
      </c>
      <c r="J49" s="142">
        <v>0</v>
      </c>
      <c r="K49" s="142">
        <v>0</v>
      </c>
      <c r="L49" s="142">
        <v>0</v>
      </c>
      <c r="M49" s="142">
        <v>0</v>
      </c>
      <c r="N49" s="142">
        <v>0</v>
      </c>
      <c r="O49" s="142">
        <v>0</v>
      </c>
      <c r="P49" s="142">
        <v>0</v>
      </c>
      <c r="Q49" s="142">
        <v>0</v>
      </c>
      <c r="R49" s="142">
        <v>0</v>
      </c>
      <c r="S49" s="142">
        <v>0</v>
      </c>
      <c r="T49" s="142">
        <v>0</v>
      </c>
      <c r="U49" s="142">
        <v>0</v>
      </c>
      <c r="V49" s="142">
        <v>0</v>
      </c>
      <c r="W49" s="142">
        <v>0</v>
      </c>
      <c r="X49" s="142">
        <v>0</v>
      </c>
      <c r="Y49" s="142">
        <v>0</v>
      </c>
      <c r="Z49" s="142">
        <v>0</v>
      </c>
      <c r="AA49" s="142">
        <v>0</v>
      </c>
      <c r="AB49" s="114"/>
      <c r="AC49" s="114"/>
      <c r="AD49" s="114"/>
      <c r="AE49" s="114"/>
      <c r="AF49" s="114"/>
    </row>
    <row r="50" spans="1:32" s="98" customFormat="1" ht="15">
      <c r="A50" s="105" t="s">
        <v>108</v>
      </c>
      <c r="C50" s="120">
        <v>0</v>
      </c>
      <c r="D50" s="142">
        <v>0</v>
      </c>
      <c r="E50" s="142">
        <v>0</v>
      </c>
      <c r="F50" s="142">
        <v>0</v>
      </c>
      <c r="G50" s="142">
        <v>0</v>
      </c>
      <c r="H50" s="142">
        <v>0</v>
      </c>
      <c r="I50" s="142">
        <v>0</v>
      </c>
      <c r="J50" s="142">
        <v>0</v>
      </c>
      <c r="K50" s="142">
        <v>0</v>
      </c>
      <c r="L50" s="142">
        <v>0</v>
      </c>
      <c r="M50" s="142">
        <v>0</v>
      </c>
      <c r="N50" s="142">
        <v>0</v>
      </c>
      <c r="O50" s="142">
        <v>0</v>
      </c>
      <c r="P50" s="142">
        <v>0</v>
      </c>
      <c r="Q50" s="142">
        <v>0</v>
      </c>
      <c r="R50" s="142">
        <v>0</v>
      </c>
      <c r="S50" s="142">
        <v>0</v>
      </c>
      <c r="T50" s="142">
        <v>0</v>
      </c>
      <c r="U50" s="142">
        <v>0</v>
      </c>
      <c r="V50" s="142">
        <v>0</v>
      </c>
      <c r="W50" s="142">
        <v>0</v>
      </c>
      <c r="X50" s="142">
        <v>0</v>
      </c>
      <c r="Y50" s="142">
        <v>0</v>
      </c>
      <c r="Z50" s="142">
        <v>0</v>
      </c>
      <c r="AA50" s="142">
        <v>0</v>
      </c>
      <c r="AB50" s="114"/>
      <c r="AC50" s="114"/>
      <c r="AD50" s="114"/>
      <c r="AE50" s="114"/>
      <c r="AF50" s="114"/>
    </row>
    <row r="51" spans="1:32" s="98" customFormat="1" ht="15">
      <c r="A51" s="105" t="s">
        <v>109</v>
      </c>
      <c r="C51" s="120"/>
      <c r="D51" s="142">
        <v>0</v>
      </c>
      <c r="E51" s="142">
        <v>0</v>
      </c>
      <c r="F51" s="142">
        <v>0</v>
      </c>
      <c r="G51" s="142">
        <v>0</v>
      </c>
      <c r="H51" s="142">
        <v>0</v>
      </c>
      <c r="I51" s="142">
        <v>0</v>
      </c>
      <c r="J51" s="142">
        <v>0</v>
      </c>
      <c r="K51" s="142">
        <v>0</v>
      </c>
      <c r="L51" s="142">
        <v>0</v>
      </c>
      <c r="M51" s="142">
        <v>0</v>
      </c>
      <c r="N51" s="142">
        <v>0</v>
      </c>
      <c r="O51" s="142">
        <v>0</v>
      </c>
      <c r="P51" s="142">
        <v>0</v>
      </c>
      <c r="Q51" s="142">
        <v>0</v>
      </c>
      <c r="R51" s="142">
        <v>0</v>
      </c>
      <c r="S51" s="142">
        <v>0</v>
      </c>
      <c r="T51" s="142">
        <v>0</v>
      </c>
      <c r="U51" s="142">
        <v>0</v>
      </c>
      <c r="V51" s="142">
        <v>0</v>
      </c>
      <c r="W51" s="142">
        <v>0</v>
      </c>
      <c r="X51" s="142">
        <v>0</v>
      </c>
      <c r="Y51" s="142">
        <v>0</v>
      </c>
      <c r="Z51" s="142">
        <v>0</v>
      </c>
      <c r="AA51" s="142">
        <v>0</v>
      </c>
      <c r="AB51" s="114"/>
      <c r="AC51" s="114"/>
      <c r="AD51" s="114"/>
      <c r="AE51" s="114"/>
      <c r="AF51" s="114"/>
    </row>
    <row r="52" spans="1:32" s="98" customFormat="1" ht="15">
      <c r="A52" s="105" t="s">
        <v>110</v>
      </c>
      <c r="C52" s="120"/>
      <c r="D52" s="142">
        <v>0</v>
      </c>
      <c r="E52" s="142">
        <v>0</v>
      </c>
      <c r="F52" s="142">
        <v>0</v>
      </c>
      <c r="G52" s="142">
        <v>0</v>
      </c>
      <c r="H52" s="142">
        <v>0</v>
      </c>
      <c r="I52" s="142">
        <v>0</v>
      </c>
      <c r="J52" s="142">
        <v>0</v>
      </c>
      <c r="K52" s="142">
        <v>0</v>
      </c>
      <c r="L52" s="142">
        <v>0</v>
      </c>
      <c r="M52" s="142">
        <v>0</v>
      </c>
      <c r="N52" s="142">
        <v>0</v>
      </c>
      <c r="O52" s="142">
        <v>0</v>
      </c>
      <c r="P52" s="142">
        <v>0</v>
      </c>
      <c r="Q52" s="142">
        <v>0</v>
      </c>
      <c r="R52" s="142">
        <v>0</v>
      </c>
      <c r="S52" s="142">
        <v>0</v>
      </c>
      <c r="T52" s="142">
        <v>0</v>
      </c>
      <c r="U52" s="142">
        <v>0</v>
      </c>
      <c r="V52" s="142">
        <v>0</v>
      </c>
      <c r="W52" s="142">
        <v>0</v>
      </c>
      <c r="X52" s="142">
        <v>0</v>
      </c>
      <c r="Y52" s="142">
        <v>0</v>
      </c>
      <c r="Z52" s="142">
        <v>0</v>
      </c>
      <c r="AA52" s="142">
        <v>0</v>
      </c>
      <c r="AB52" s="114"/>
      <c r="AC52" s="114"/>
      <c r="AD52" s="114"/>
      <c r="AE52" s="114"/>
      <c r="AF52" s="114"/>
    </row>
    <row r="53" spans="1:41" ht="15">
      <c r="A53" s="105"/>
      <c r="B53" s="98"/>
      <c r="C53" s="120"/>
      <c r="D53" s="142"/>
      <c r="E53" s="142"/>
      <c r="F53" s="142"/>
      <c r="G53" s="142"/>
      <c r="H53" s="142"/>
      <c r="I53" s="142"/>
      <c r="J53" s="142" t="s">
        <v>12</v>
      </c>
      <c r="K53" s="142"/>
      <c r="L53" s="142"/>
      <c r="M53" s="142"/>
      <c r="N53" s="142"/>
      <c r="O53" s="142"/>
      <c r="P53" s="142"/>
      <c r="Q53" s="142"/>
      <c r="R53" s="142"/>
      <c r="S53" s="142"/>
      <c r="T53" s="142"/>
      <c r="U53" s="142"/>
      <c r="V53" s="142"/>
      <c r="W53" s="142"/>
      <c r="X53" s="142"/>
      <c r="Y53" s="142"/>
      <c r="Z53" s="142"/>
      <c r="AA53" s="142"/>
      <c r="AB53" s="114"/>
      <c r="AC53" s="114"/>
      <c r="AD53" s="114"/>
      <c r="AE53" s="114"/>
      <c r="AF53" s="114"/>
      <c r="AG53" s="98"/>
      <c r="AH53" s="98"/>
      <c r="AI53" s="98"/>
      <c r="AJ53" s="98"/>
      <c r="AK53" s="98"/>
      <c r="AL53" s="98"/>
      <c r="AM53" s="98"/>
      <c r="AN53" s="98"/>
      <c r="AO53" s="98"/>
    </row>
    <row r="54" spans="1:41" ht="15">
      <c r="A54" s="105" t="s">
        <v>10</v>
      </c>
      <c r="B54" s="98"/>
      <c r="C54" s="98">
        <f>SUM(C23:C52)</f>
        <v>0</v>
      </c>
      <c r="D54" s="150">
        <f>SUM(D23:D52)</f>
        <v>0</v>
      </c>
      <c r="E54" s="150">
        <f>SUM(E23:E52)</f>
        <v>0</v>
      </c>
      <c r="F54" s="150">
        <f aca="true" t="shared" si="3" ref="F54:AA54">SUM(F23:F52)</f>
        <v>0</v>
      </c>
      <c r="G54" s="150">
        <f t="shared" si="3"/>
        <v>0</v>
      </c>
      <c r="H54" s="150">
        <f t="shared" si="3"/>
        <v>0</v>
      </c>
      <c r="I54" s="150">
        <f t="shared" si="3"/>
        <v>0</v>
      </c>
      <c r="J54" s="150">
        <f t="shared" si="3"/>
        <v>0</v>
      </c>
      <c r="K54" s="150">
        <f t="shared" si="3"/>
        <v>0</v>
      </c>
      <c r="L54" s="150">
        <f t="shared" si="3"/>
        <v>0</v>
      </c>
      <c r="M54" s="150">
        <f t="shared" si="3"/>
        <v>0</v>
      </c>
      <c r="N54" s="150">
        <f t="shared" si="3"/>
        <v>0</v>
      </c>
      <c r="O54" s="150">
        <f t="shared" si="3"/>
        <v>0</v>
      </c>
      <c r="P54" s="150">
        <f t="shared" si="3"/>
        <v>0</v>
      </c>
      <c r="Q54" s="150">
        <f t="shared" si="3"/>
        <v>0</v>
      </c>
      <c r="R54" s="150">
        <f t="shared" si="3"/>
        <v>0</v>
      </c>
      <c r="S54" s="150">
        <f t="shared" si="3"/>
        <v>0</v>
      </c>
      <c r="T54" s="150">
        <f t="shared" si="3"/>
        <v>0</v>
      </c>
      <c r="U54" s="150">
        <f t="shared" si="3"/>
        <v>0</v>
      </c>
      <c r="V54" s="150">
        <f t="shared" si="3"/>
        <v>0</v>
      </c>
      <c r="W54" s="150">
        <f t="shared" si="3"/>
        <v>0</v>
      </c>
      <c r="X54" s="150">
        <f t="shared" si="3"/>
        <v>0</v>
      </c>
      <c r="Y54" s="150">
        <f t="shared" si="3"/>
        <v>0</v>
      </c>
      <c r="Z54" s="150">
        <f t="shared" si="3"/>
        <v>0</v>
      </c>
      <c r="AA54" s="150">
        <f t="shared" si="3"/>
        <v>0</v>
      </c>
      <c r="AB54" s="114"/>
      <c r="AC54" s="114"/>
      <c r="AD54" s="114"/>
      <c r="AE54" s="114"/>
      <c r="AF54" s="114"/>
      <c r="AG54" s="98"/>
      <c r="AH54" s="98"/>
      <c r="AI54" s="98"/>
      <c r="AJ54" s="98"/>
      <c r="AK54" s="98"/>
      <c r="AL54" s="98"/>
      <c r="AM54" s="98"/>
      <c r="AN54" s="98"/>
      <c r="AO54" s="98"/>
    </row>
    <row r="55" spans="1:41" ht="15">
      <c r="A55" s="98"/>
      <c r="B55" s="98"/>
      <c r="C55" s="98"/>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4"/>
      <c r="AC55" s="114"/>
      <c r="AD55" s="114"/>
      <c r="AE55" s="114"/>
      <c r="AF55" s="114"/>
      <c r="AG55" s="116"/>
      <c r="AH55" s="116"/>
      <c r="AI55" s="116"/>
      <c r="AJ55" s="116"/>
      <c r="AK55" s="116"/>
      <c r="AL55" s="116"/>
      <c r="AM55" s="116"/>
      <c r="AN55" s="116"/>
      <c r="AO55" s="116"/>
    </row>
    <row r="56" spans="1:41" ht="15">
      <c r="A56" s="100" t="s">
        <v>6</v>
      </c>
      <c r="B56" s="98"/>
      <c r="C56" s="98"/>
      <c r="D56" s="141">
        <f>D20-D54</f>
        <v>0</v>
      </c>
      <c r="E56" s="141">
        <f aca="true" t="shared" si="4" ref="E56:AA56">E20-E54</f>
        <v>0</v>
      </c>
      <c r="F56" s="141">
        <f t="shared" si="4"/>
        <v>0</v>
      </c>
      <c r="G56" s="141">
        <f t="shared" si="4"/>
        <v>0</v>
      </c>
      <c r="H56" s="141">
        <f t="shared" si="4"/>
        <v>0</v>
      </c>
      <c r="I56" s="141">
        <f t="shared" si="4"/>
        <v>0</v>
      </c>
      <c r="J56" s="141">
        <f t="shared" si="4"/>
        <v>0</v>
      </c>
      <c r="K56" s="141">
        <f t="shared" si="4"/>
        <v>0</v>
      </c>
      <c r="L56" s="141">
        <f t="shared" si="4"/>
        <v>0</v>
      </c>
      <c r="M56" s="141">
        <f t="shared" si="4"/>
        <v>0</v>
      </c>
      <c r="N56" s="141">
        <f t="shared" si="4"/>
        <v>0</v>
      </c>
      <c r="O56" s="141">
        <f t="shared" si="4"/>
        <v>0</v>
      </c>
      <c r="P56" s="141">
        <f t="shared" si="4"/>
        <v>0</v>
      </c>
      <c r="Q56" s="141">
        <f t="shared" si="4"/>
        <v>0</v>
      </c>
      <c r="R56" s="141">
        <f t="shared" si="4"/>
        <v>0</v>
      </c>
      <c r="S56" s="141">
        <f t="shared" si="4"/>
        <v>0</v>
      </c>
      <c r="T56" s="141">
        <f t="shared" si="4"/>
        <v>0</v>
      </c>
      <c r="U56" s="141">
        <f t="shared" si="4"/>
        <v>0</v>
      </c>
      <c r="V56" s="141">
        <f t="shared" si="4"/>
        <v>0</v>
      </c>
      <c r="W56" s="141">
        <f t="shared" si="4"/>
        <v>0</v>
      </c>
      <c r="X56" s="141">
        <f t="shared" si="4"/>
        <v>0</v>
      </c>
      <c r="Y56" s="141">
        <f t="shared" si="4"/>
        <v>0</v>
      </c>
      <c r="Z56" s="141">
        <f t="shared" si="4"/>
        <v>0</v>
      </c>
      <c r="AA56" s="141">
        <f t="shared" si="4"/>
        <v>0</v>
      </c>
      <c r="AB56" s="141" t="s">
        <v>99</v>
      </c>
      <c r="AC56" s="141" t="s">
        <v>99</v>
      </c>
      <c r="AD56" s="141" t="s">
        <v>99</v>
      </c>
      <c r="AE56" s="114"/>
      <c r="AF56" s="114"/>
      <c r="AG56" s="116"/>
      <c r="AH56" s="116"/>
      <c r="AI56" s="116"/>
      <c r="AJ56" s="116"/>
      <c r="AK56" s="116"/>
      <c r="AL56" s="116"/>
      <c r="AM56" s="116"/>
      <c r="AN56" s="116"/>
      <c r="AO56" s="116"/>
    </row>
    <row r="57" spans="1:41" ht="15">
      <c r="A57" s="98"/>
      <c r="B57" s="98"/>
      <c r="C57" s="98"/>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98"/>
      <c r="AC57" s="114"/>
      <c r="AD57" s="114"/>
      <c r="AE57" s="114"/>
      <c r="AF57" s="114"/>
      <c r="AG57" s="116"/>
      <c r="AH57" s="116"/>
      <c r="AI57" s="116"/>
      <c r="AJ57" s="116"/>
      <c r="AK57" s="116"/>
      <c r="AL57" s="116"/>
      <c r="AM57" s="116"/>
      <c r="AN57" s="116"/>
      <c r="AO57" s="116"/>
    </row>
    <row r="58" spans="1:41" ht="15">
      <c r="A58" s="100" t="s">
        <v>67</v>
      </c>
      <c r="B58" s="98"/>
      <c r="C58" s="98"/>
      <c r="D58" s="139">
        <f>D20-D54</f>
        <v>0</v>
      </c>
      <c r="E58" s="139">
        <f aca="true" t="shared" si="5" ref="E58:AA58">E20-E54</f>
        <v>0</v>
      </c>
      <c r="F58" s="139">
        <f t="shared" si="5"/>
        <v>0</v>
      </c>
      <c r="G58" s="139">
        <f t="shared" si="5"/>
        <v>0</v>
      </c>
      <c r="H58" s="139">
        <f t="shared" si="5"/>
        <v>0</v>
      </c>
      <c r="I58" s="139">
        <f t="shared" si="5"/>
        <v>0</v>
      </c>
      <c r="J58" s="139">
        <f t="shared" si="5"/>
        <v>0</v>
      </c>
      <c r="K58" s="139">
        <f t="shared" si="5"/>
        <v>0</v>
      </c>
      <c r="L58" s="139">
        <f t="shared" si="5"/>
        <v>0</v>
      </c>
      <c r="M58" s="139">
        <f t="shared" si="5"/>
        <v>0</v>
      </c>
      <c r="N58" s="139">
        <f t="shared" si="5"/>
        <v>0</v>
      </c>
      <c r="O58" s="139">
        <f t="shared" si="5"/>
        <v>0</v>
      </c>
      <c r="P58" s="139">
        <f t="shared" si="5"/>
        <v>0</v>
      </c>
      <c r="Q58" s="139">
        <f t="shared" si="5"/>
        <v>0</v>
      </c>
      <c r="R58" s="139">
        <f t="shared" si="5"/>
        <v>0</v>
      </c>
      <c r="S58" s="139">
        <f t="shared" si="5"/>
        <v>0</v>
      </c>
      <c r="T58" s="139">
        <f t="shared" si="5"/>
        <v>0</v>
      </c>
      <c r="U58" s="139">
        <f t="shared" si="5"/>
        <v>0</v>
      </c>
      <c r="V58" s="139">
        <f t="shared" si="5"/>
        <v>0</v>
      </c>
      <c r="W58" s="139">
        <f t="shared" si="5"/>
        <v>0</v>
      </c>
      <c r="X58" s="139">
        <f t="shared" si="5"/>
        <v>0</v>
      </c>
      <c r="Y58" s="139">
        <f t="shared" si="5"/>
        <v>0</v>
      </c>
      <c r="Z58" s="139">
        <f t="shared" si="5"/>
        <v>0</v>
      </c>
      <c r="AA58" s="139">
        <f t="shared" si="5"/>
        <v>0</v>
      </c>
      <c r="AB58" s="98"/>
      <c r="AC58" s="114"/>
      <c r="AD58" s="114"/>
      <c r="AE58" s="114"/>
      <c r="AF58" s="114"/>
      <c r="AG58" s="98"/>
      <c r="AH58" s="98"/>
      <c r="AI58" s="98"/>
      <c r="AJ58" s="98"/>
      <c r="AK58" s="98"/>
      <c r="AL58" s="98"/>
      <c r="AM58" s="98"/>
      <c r="AN58" s="98"/>
      <c r="AO58" s="98"/>
    </row>
    <row r="59" spans="1:41" ht="15">
      <c r="A59" s="100" t="s">
        <v>16</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114"/>
      <c r="AD59" s="114"/>
      <c r="AE59" s="114"/>
      <c r="AF59" s="114"/>
      <c r="AG59" s="98"/>
      <c r="AH59" s="98"/>
      <c r="AI59" s="98"/>
      <c r="AJ59" s="98"/>
      <c r="AK59" s="98"/>
      <c r="AL59" s="98"/>
      <c r="AM59" s="98"/>
      <c r="AN59" s="98"/>
      <c r="AO59" s="98"/>
    </row>
    <row r="60" spans="1:41" ht="15">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114"/>
      <c r="AD60" s="114"/>
      <c r="AE60" s="114"/>
      <c r="AF60" s="114"/>
      <c r="AG60" s="98"/>
      <c r="AH60" s="98"/>
      <c r="AI60" s="98"/>
      <c r="AJ60" s="98"/>
      <c r="AK60" s="98"/>
      <c r="AL60" s="98"/>
      <c r="AM60" s="98"/>
      <c r="AN60" s="98"/>
      <c r="AO60" s="98"/>
    </row>
    <row r="61" spans="1:41" ht="15">
      <c r="A61" s="98"/>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114"/>
      <c r="AD61" s="114"/>
      <c r="AE61" s="114"/>
      <c r="AF61" s="114"/>
      <c r="AG61" s="98"/>
      <c r="AH61" s="98"/>
      <c r="AI61" s="98"/>
      <c r="AJ61" s="98"/>
      <c r="AK61" s="98"/>
      <c r="AL61" s="98"/>
      <c r="AM61" s="98"/>
      <c r="AN61" s="98"/>
      <c r="AO61" s="98"/>
    </row>
    <row r="62" spans="1:41" ht="15">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114"/>
      <c r="AD62" s="114"/>
      <c r="AE62" s="114"/>
      <c r="AF62" s="114"/>
      <c r="AG62" s="98"/>
      <c r="AH62" s="98"/>
      <c r="AI62" s="98"/>
      <c r="AJ62" s="98"/>
      <c r="AK62" s="98"/>
      <c r="AL62" s="98"/>
      <c r="AM62" s="98"/>
      <c r="AN62" s="98"/>
      <c r="AO62" s="98"/>
    </row>
    <row r="63" spans="1:41" ht="15">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114"/>
      <c r="AD63" s="114"/>
      <c r="AE63" s="114"/>
      <c r="AF63" s="114"/>
      <c r="AG63" s="98"/>
      <c r="AH63" s="98"/>
      <c r="AI63" s="98"/>
      <c r="AJ63" s="98"/>
      <c r="AK63" s="98"/>
      <c r="AL63" s="98"/>
      <c r="AM63" s="98"/>
      <c r="AN63" s="98"/>
      <c r="AO63" s="98"/>
    </row>
    <row r="64" spans="1:41" ht="15">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114"/>
      <c r="AD64" s="114"/>
      <c r="AE64" s="114"/>
      <c r="AF64" s="114"/>
      <c r="AG64" s="98"/>
      <c r="AH64" s="98"/>
      <c r="AI64" s="98"/>
      <c r="AJ64" s="98"/>
      <c r="AK64" s="98"/>
      <c r="AL64" s="98"/>
      <c r="AM64" s="98"/>
      <c r="AN64" s="98"/>
      <c r="AO64" s="98"/>
    </row>
  </sheetData>
  <sheetProtection/>
  <printOptions/>
  <pageMargins left="0.2" right="0.2" top="0.25" bottom="0.25" header="0" footer="0"/>
  <pageSetup horizontalDpi="600" verticalDpi="600" orientation="landscape" paperSize="17" scale="82" r:id="rId1"/>
  <ignoredErrors>
    <ignoredError sqref="AA12 AA18 D20:AA20 C54:AA54 D56:AA56 D58:AA58 AD7:AD12 AD14:AD18 AD20 AC7:AC12 AC14:AC18 Z12 Z18 Y12 Y18 X12 X18 W12 W18 V12 V18 U12 U18 T12 T18 S12 S18 R12 R18 Q12 Q18 P12 P18 O12 O18 N12 N18 M12 M18 L12 L18 K12 K18 J12 J18 I12 I18 H12 H18 G12 G18 F12 F18 E12 E18 D12 D18" unlockedFormula="1"/>
  </ignoredErrors>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E120"/>
  <sheetViews>
    <sheetView zoomScalePageLayoutView="0" workbookViewId="0" topLeftCell="A1">
      <selection activeCell="A2" sqref="A2"/>
    </sheetView>
  </sheetViews>
  <sheetFormatPr defaultColWidth="9.33203125" defaultRowHeight="10.5"/>
  <cols>
    <col min="1" max="1" width="25.33203125" style="85" customWidth="1"/>
    <col min="2" max="2" width="14" style="87" customWidth="1"/>
    <col min="3" max="3" width="15" style="87" customWidth="1"/>
    <col min="4" max="4" width="16.16015625" style="87" customWidth="1"/>
    <col min="5" max="5" width="13.33203125" style="47" bestFit="1" customWidth="1"/>
    <col min="6" max="6" width="13.83203125" style="48" bestFit="1" customWidth="1"/>
    <col min="7" max="10" width="9.33203125" style="48" customWidth="1"/>
    <col min="11" max="11" width="12.16015625" style="48" bestFit="1" customWidth="1"/>
    <col min="12" max="16384" width="9.33203125" style="48" customWidth="1"/>
  </cols>
  <sheetData>
    <row r="1" spans="1:5" ht="10.5">
      <c r="A1" s="203" t="s">
        <v>120</v>
      </c>
      <c r="B1" s="94"/>
      <c r="C1" s="94"/>
      <c r="D1" s="94"/>
      <c r="E1" s="94"/>
    </row>
    <row r="2" spans="1:5" ht="10.5">
      <c r="A2" s="229" t="s">
        <v>366</v>
      </c>
      <c r="B2" s="48"/>
      <c r="C2" s="48"/>
      <c r="D2" s="48"/>
      <c r="E2" s="48"/>
    </row>
    <row r="3" spans="1:5" ht="10.5">
      <c r="A3" s="239" t="s">
        <v>193</v>
      </c>
      <c r="B3" s="88"/>
      <c r="C3" s="88"/>
      <c r="D3" s="88"/>
      <c r="E3" s="88"/>
    </row>
    <row r="4" spans="1:5" s="94" customFormat="1" ht="10.5">
      <c r="A4" s="48"/>
      <c r="B4" s="48"/>
      <c r="C4" s="48"/>
      <c r="D4" s="48"/>
      <c r="E4" s="48"/>
    </row>
    <row r="5" spans="1:5" ht="9.75" customHeight="1">
      <c r="A5" s="48"/>
      <c r="B5" s="48"/>
      <c r="C5" s="48"/>
      <c r="D5" s="48"/>
      <c r="E5" s="48"/>
    </row>
    <row r="6" spans="1:5" s="88" customFormat="1" ht="10.5">
      <c r="A6" s="48"/>
      <c r="B6" s="48"/>
      <c r="C6" s="48"/>
      <c r="D6" s="48"/>
      <c r="E6" s="48"/>
    </row>
    <row r="7" spans="1:5" ht="10.5">
      <c r="A7" s="202" t="s">
        <v>203</v>
      </c>
      <c r="B7" s="48"/>
      <c r="C7" s="48"/>
      <c r="D7" s="48"/>
      <c r="E7" s="48"/>
    </row>
    <row r="8" spans="1:5" ht="10.5">
      <c r="A8" s="203"/>
      <c r="B8" s="201" t="s">
        <v>114</v>
      </c>
      <c r="C8" s="201" t="s">
        <v>14</v>
      </c>
      <c r="D8" s="201" t="s">
        <v>115</v>
      </c>
      <c r="E8" s="94"/>
    </row>
    <row r="9" spans="1:5" ht="10.5">
      <c r="A9" s="202" t="s">
        <v>25</v>
      </c>
      <c r="B9" s="198">
        <f>13248+81869.87</f>
        <v>95117.87</v>
      </c>
      <c r="C9" s="198">
        <f>13248+81869.87</f>
        <v>95117.87</v>
      </c>
      <c r="D9" s="198">
        <f>B9-C9</f>
        <v>0</v>
      </c>
      <c r="E9" s="199"/>
    </row>
    <row r="10" spans="1:5" ht="10.5">
      <c r="A10" s="204" t="s">
        <v>26</v>
      </c>
      <c r="B10" s="198">
        <f>1094.68+12703.59</f>
        <v>13798.27</v>
      </c>
      <c r="C10" s="198">
        <f>1094.68+12703.59</f>
        <v>13798.27</v>
      </c>
      <c r="D10" s="198">
        <f aca="true" t="shared" si="0" ref="D10:D21">B10-C10</f>
        <v>0</v>
      </c>
      <c r="E10" s="199"/>
    </row>
    <row r="11" spans="1:5" s="94" customFormat="1" ht="10.5">
      <c r="A11" s="202" t="s">
        <v>27</v>
      </c>
      <c r="B11" s="198">
        <f>4141+15420</f>
        <v>19561</v>
      </c>
      <c r="C11" s="198">
        <f>4141+15420</f>
        <v>19561</v>
      </c>
      <c r="D11" s="198">
        <f t="shared" si="0"/>
        <v>0</v>
      </c>
      <c r="E11" s="199"/>
    </row>
    <row r="12" spans="1:5" ht="12" customHeight="1">
      <c r="A12" s="202" t="s">
        <v>28</v>
      </c>
      <c r="B12" s="198">
        <f>2962+4088</f>
        <v>7050</v>
      </c>
      <c r="C12" s="198">
        <f>2962+4088</f>
        <v>7050</v>
      </c>
      <c r="D12" s="198">
        <f t="shared" si="0"/>
        <v>0</v>
      </c>
      <c r="E12" s="199"/>
    </row>
    <row r="13" spans="1:5" s="88" customFormat="1" ht="10.5">
      <c r="A13" s="202" t="s">
        <v>29</v>
      </c>
      <c r="B13" s="198">
        <f>8644+84830</f>
        <v>93474</v>
      </c>
      <c r="C13" s="198">
        <f>8644+84830</f>
        <v>93474</v>
      </c>
      <c r="D13" s="198">
        <f t="shared" si="0"/>
        <v>0</v>
      </c>
      <c r="E13" s="199"/>
    </row>
    <row r="14" spans="1:5" ht="10.5">
      <c r="A14" s="202" t="s">
        <v>40</v>
      </c>
      <c r="B14" s="198">
        <f>7725.83</f>
        <v>7725.83</v>
      </c>
      <c r="C14" s="198">
        <f>7725.83</f>
        <v>7725.83</v>
      </c>
      <c r="D14" s="198">
        <f t="shared" si="0"/>
        <v>0</v>
      </c>
      <c r="E14" s="199"/>
    </row>
    <row r="15" spans="1:5" ht="10.5">
      <c r="A15" s="202" t="s">
        <v>30</v>
      </c>
      <c r="B15" s="198">
        <f>88+6030.9</f>
        <v>6118.9</v>
      </c>
      <c r="C15" s="198">
        <f>88+6030.9</f>
        <v>6118.9</v>
      </c>
      <c r="D15" s="198">
        <f t="shared" si="0"/>
        <v>0</v>
      </c>
      <c r="E15" s="199"/>
    </row>
    <row r="16" spans="1:5" ht="10.5">
      <c r="A16" s="202" t="s">
        <v>31</v>
      </c>
      <c r="B16" s="198">
        <f>3771+49754.88</f>
        <v>53525.88</v>
      </c>
      <c r="C16" s="198">
        <f>3771+49754.88</f>
        <v>53525.88</v>
      </c>
      <c r="D16" s="198">
        <f t="shared" si="0"/>
        <v>0</v>
      </c>
      <c r="E16" s="199"/>
    </row>
    <row r="17" spans="1:5" ht="10.5">
      <c r="A17" s="202" t="s">
        <v>32</v>
      </c>
      <c r="B17" s="198">
        <f>2264+25231</f>
        <v>27495</v>
      </c>
      <c r="C17" s="198">
        <f>2264+25231</f>
        <v>27495</v>
      </c>
      <c r="D17" s="198">
        <f t="shared" si="0"/>
        <v>0</v>
      </c>
      <c r="E17" s="199"/>
    </row>
    <row r="18" spans="1:5" ht="10.5">
      <c r="A18" s="202" t="s">
        <v>33</v>
      </c>
      <c r="B18" s="198">
        <f>6443+32983</f>
        <v>39426</v>
      </c>
      <c r="C18" s="198">
        <f>6443+32983</f>
        <v>39426</v>
      </c>
      <c r="D18" s="198">
        <f t="shared" si="0"/>
        <v>0</v>
      </c>
      <c r="E18" s="199"/>
    </row>
    <row r="19" spans="1:5" ht="10.5">
      <c r="A19" s="202" t="s">
        <v>41</v>
      </c>
      <c r="B19" s="198">
        <f>16664.63</f>
        <v>16664.63</v>
      </c>
      <c r="C19" s="198">
        <f>16664.63</f>
        <v>16664.63</v>
      </c>
      <c r="D19" s="198">
        <f t="shared" si="0"/>
        <v>0</v>
      </c>
      <c r="E19" s="199"/>
    </row>
    <row r="20" spans="1:5" ht="10.5">
      <c r="A20" s="202" t="s">
        <v>34</v>
      </c>
      <c r="B20" s="198">
        <f>6554.25+21871</f>
        <v>28425.25</v>
      </c>
      <c r="C20" s="198">
        <f>6554.25+21871</f>
        <v>28425.25</v>
      </c>
      <c r="D20" s="198">
        <f t="shared" si="0"/>
        <v>0</v>
      </c>
      <c r="E20" s="199"/>
    </row>
    <row r="21" spans="1:5" ht="10.5">
      <c r="A21" s="202" t="s">
        <v>35</v>
      </c>
      <c r="B21" s="205">
        <f>2896+76880</f>
        <v>79776</v>
      </c>
      <c r="C21" s="205">
        <f>2896+76880</f>
        <v>79776</v>
      </c>
      <c r="D21" s="205">
        <f t="shared" si="0"/>
        <v>0</v>
      </c>
      <c r="E21" s="199"/>
    </row>
    <row r="22" spans="1:5" ht="10.5">
      <c r="A22" s="48"/>
      <c r="B22" s="198"/>
      <c r="C22" s="198"/>
      <c r="D22" s="198"/>
      <c r="E22" s="199"/>
    </row>
    <row r="23" spans="1:5" ht="10.5">
      <c r="A23" s="202" t="s">
        <v>117</v>
      </c>
      <c r="B23" s="198">
        <f>SUM(B9:B21)</f>
        <v>488158.63</v>
      </c>
      <c r="C23" s="198">
        <f>SUM(C9:C21)</f>
        <v>488158.63</v>
      </c>
      <c r="D23" s="198">
        <f>SUM(D9:D21)</f>
        <v>0</v>
      </c>
      <c r="E23" s="199"/>
    </row>
    <row r="24" spans="1:5" ht="10.5">
      <c r="A24" s="202"/>
      <c r="B24" s="198"/>
      <c r="C24" s="198"/>
      <c r="D24" s="198"/>
      <c r="E24" s="199"/>
    </row>
    <row r="25" spans="1:5" ht="10.5">
      <c r="A25" s="202" t="s">
        <v>204</v>
      </c>
      <c r="B25" s="198"/>
      <c r="C25" s="198"/>
      <c r="D25" s="198"/>
      <c r="E25" s="199"/>
    </row>
    <row r="26" spans="1:5" ht="10.5">
      <c r="A26" s="203"/>
      <c r="B26" s="201" t="s">
        <v>114</v>
      </c>
      <c r="C26" s="201" t="s">
        <v>14</v>
      </c>
      <c r="D26" s="201" t="s">
        <v>115</v>
      </c>
      <c r="E26" s="199"/>
    </row>
    <row r="27" spans="1:5" ht="10.5">
      <c r="A27" s="202" t="s">
        <v>25</v>
      </c>
      <c r="B27" s="198">
        <f>159058.87+824792.56</f>
        <v>983851.43</v>
      </c>
      <c r="C27" s="198">
        <f>159058.87+824792.56</f>
        <v>983851.43</v>
      </c>
      <c r="D27" s="198">
        <f>B27-C27</f>
        <v>0</v>
      </c>
      <c r="E27" s="199"/>
    </row>
    <row r="28" spans="1:5" ht="10.5">
      <c r="A28" s="204" t="s">
        <v>26</v>
      </c>
      <c r="B28" s="198">
        <f>9628.19+146851.54</f>
        <v>156479.73</v>
      </c>
      <c r="C28" s="198">
        <f>9628.19+146851.54</f>
        <v>156479.73</v>
      </c>
      <c r="D28" s="198">
        <f aca="true" t="shared" si="1" ref="D28:D39">B28-C28</f>
        <v>0</v>
      </c>
      <c r="E28" s="199"/>
    </row>
    <row r="29" spans="1:5" ht="10.5">
      <c r="A29" s="202" t="s">
        <v>27</v>
      </c>
      <c r="B29" s="198">
        <f>54098+143273</f>
        <v>197371</v>
      </c>
      <c r="C29" s="198">
        <f>54098+143273</f>
        <v>197371</v>
      </c>
      <c r="D29" s="198">
        <f t="shared" si="1"/>
        <v>0</v>
      </c>
      <c r="E29" s="199"/>
    </row>
    <row r="30" spans="1:5" s="94" customFormat="1" ht="10.5">
      <c r="A30" s="202" t="s">
        <v>28</v>
      </c>
      <c r="B30" s="198">
        <f>35210+32492</f>
        <v>67702</v>
      </c>
      <c r="C30" s="198">
        <f>35210+32492</f>
        <v>67702</v>
      </c>
      <c r="D30" s="198">
        <f t="shared" si="1"/>
        <v>0</v>
      </c>
      <c r="E30" s="199"/>
    </row>
    <row r="31" spans="1:5" ht="10.5" customHeight="1">
      <c r="A31" s="202" t="s">
        <v>29</v>
      </c>
      <c r="B31" s="198">
        <f>99360+896577</f>
        <v>995937</v>
      </c>
      <c r="C31" s="198">
        <f>99360+896577</f>
        <v>995937</v>
      </c>
      <c r="D31" s="198">
        <f t="shared" si="1"/>
        <v>0</v>
      </c>
      <c r="E31" s="199"/>
    </row>
    <row r="32" spans="1:5" s="88" customFormat="1" ht="10.5">
      <c r="A32" s="202" t="s">
        <v>40</v>
      </c>
      <c r="B32" s="198">
        <f>89341.35</f>
        <v>89341.35</v>
      </c>
      <c r="C32" s="198">
        <f>89341.35</f>
        <v>89341.35</v>
      </c>
      <c r="D32" s="198">
        <f t="shared" si="1"/>
        <v>0</v>
      </c>
      <c r="E32" s="199"/>
    </row>
    <row r="33" spans="1:5" ht="10.5">
      <c r="A33" s="202" t="s">
        <v>30</v>
      </c>
      <c r="B33" s="198">
        <f>1010+20243.96</f>
        <v>21253.96</v>
      </c>
      <c r="C33" s="198">
        <f>1010+20243.96</f>
        <v>21253.96</v>
      </c>
      <c r="D33" s="198">
        <f t="shared" si="1"/>
        <v>0</v>
      </c>
      <c r="E33" s="199"/>
    </row>
    <row r="34" spans="1:5" ht="10.5">
      <c r="A34" s="202" t="s">
        <v>31</v>
      </c>
      <c r="B34" s="198">
        <f>59330+857429.1</f>
        <v>916759.1</v>
      </c>
      <c r="C34" s="198">
        <f>59330+857429.1</f>
        <v>916759.1</v>
      </c>
      <c r="D34" s="198">
        <f t="shared" si="1"/>
        <v>0</v>
      </c>
      <c r="E34" s="199"/>
    </row>
    <row r="35" spans="1:5" ht="10.5">
      <c r="A35" s="202" t="s">
        <v>32</v>
      </c>
      <c r="B35" s="198">
        <f>32212+213651</f>
        <v>245863</v>
      </c>
      <c r="C35" s="198">
        <f>32212+213651</f>
        <v>245863</v>
      </c>
      <c r="D35" s="198">
        <f t="shared" si="1"/>
        <v>0</v>
      </c>
      <c r="E35" s="199"/>
    </row>
    <row r="36" spans="1:5" ht="10.5">
      <c r="A36" s="202" t="s">
        <v>33</v>
      </c>
      <c r="B36" s="198">
        <f>22123+800170</f>
        <v>822293</v>
      </c>
      <c r="C36" s="198">
        <f>22123+800170</f>
        <v>822293</v>
      </c>
      <c r="D36" s="198">
        <f t="shared" si="1"/>
        <v>0</v>
      </c>
      <c r="E36" s="199"/>
    </row>
    <row r="37" spans="1:5" ht="10.5">
      <c r="A37" s="202" t="s">
        <v>41</v>
      </c>
      <c r="B37" s="198">
        <f>179688.47</f>
        <v>179688.47</v>
      </c>
      <c r="C37" s="198">
        <f>179688.47</f>
        <v>179688.47</v>
      </c>
      <c r="D37" s="198">
        <f t="shared" si="1"/>
        <v>0</v>
      </c>
      <c r="E37" s="199"/>
    </row>
    <row r="38" spans="1:5" ht="10.5">
      <c r="A38" s="202" t="s">
        <v>34</v>
      </c>
      <c r="B38" s="198">
        <f>74973+193706.25</f>
        <v>268679.25</v>
      </c>
      <c r="C38" s="198">
        <f>74973+193706.25</f>
        <v>268679.25</v>
      </c>
      <c r="D38" s="198">
        <f t="shared" si="1"/>
        <v>0</v>
      </c>
      <c r="E38" s="199"/>
    </row>
    <row r="39" spans="1:5" ht="10.5">
      <c r="A39" s="202" t="s">
        <v>35</v>
      </c>
      <c r="B39" s="205">
        <f>33296+691892</f>
        <v>725188</v>
      </c>
      <c r="C39" s="205">
        <f>33296+691892</f>
        <v>725188</v>
      </c>
      <c r="D39" s="205">
        <f t="shared" si="1"/>
        <v>0</v>
      </c>
      <c r="E39" s="199"/>
    </row>
    <row r="40" spans="1:5" ht="10.5">
      <c r="A40" s="48"/>
      <c r="B40" s="198"/>
      <c r="C40" s="198"/>
      <c r="D40" s="198"/>
      <c r="E40" s="199"/>
    </row>
    <row r="41" spans="1:5" ht="10.5">
      <c r="A41" s="202" t="s">
        <v>117</v>
      </c>
      <c r="B41" s="198">
        <f>SUM(B27:B39)</f>
        <v>5670407.29</v>
      </c>
      <c r="C41" s="198">
        <f>SUM(C27:C39)</f>
        <v>5670407.29</v>
      </c>
      <c r="D41" s="198">
        <f>SUM(D27:D39)</f>
        <v>0</v>
      </c>
      <c r="E41" s="199"/>
    </row>
    <row r="42" spans="1:5" ht="10.5">
      <c r="A42" s="202"/>
      <c r="B42" s="198"/>
      <c r="C42" s="198"/>
      <c r="D42" s="198"/>
      <c r="E42" s="199"/>
    </row>
    <row r="43" spans="1:5" ht="10.5">
      <c r="A43" s="202" t="s">
        <v>205</v>
      </c>
      <c r="B43" s="198"/>
      <c r="C43" s="198"/>
      <c r="D43" s="198"/>
      <c r="E43" s="199"/>
    </row>
    <row r="44" spans="1:5" ht="10.5">
      <c r="A44" s="203"/>
      <c r="B44" s="198"/>
      <c r="C44" s="198"/>
      <c r="D44" s="198"/>
      <c r="E44" s="199"/>
    </row>
    <row r="45" spans="1:5" ht="10.5">
      <c r="A45" s="202" t="s">
        <v>25</v>
      </c>
      <c r="B45" s="198">
        <v>8397.39</v>
      </c>
      <c r="C45" s="198">
        <v>8397.39</v>
      </c>
      <c r="D45" s="198">
        <f>B45-C45</f>
        <v>0</v>
      </c>
      <c r="E45" s="199"/>
    </row>
    <row r="46" spans="1:5" ht="10.5">
      <c r="A46" s="204" t="s">
        <v>26</v>
      </c>
      <c r="B46" s="198">
        <v>1726.56</v>
      </c>
      <c r="C46" s="198">
        <v>1726.56</v>
      </c>
      <c r="D46" s="198">
        <f aca="true" t="shared" si="2" ref="D46:D57">B46-C46</f>
        <v>0</v>
      </c>
      <c r="E46" s="199"/>
    </row>
    <row r="47" spans="1:5" ht="10.5">
      <c r="A47" s="202" t="s">
        <v>27</v>
      </c>
      <c r="B47" s="198">
        <v>5862</v>
      </c>
      <c r="C47" s="198">
        <v>5862</v>
      </c>
      <c r="D47" s="198">
        <f t="shared" si="2"/>
        <v>0</v>
      </c>
      <c r="E47" s="199"/>
    </row>
    <row r="48" spans="1:5" ht="10.5">
      <c r="A48" s="202" t="s">
        <v>28</v>
      </c>
      <c r="B48" s="198">
        <v>214</v>
      </c>
      <c r="C48" s="198">
        <v>214</v>
      </c>
      <c r="D48" s="198">
        <f t="shared" si="2"/>
        <v>0</v>
      </c>
      <c r="E48" s="199"/>
    </row>
    <row r="49" spans="1:5" s="94" customFormat="1" ht="10.5">
      <c r="A49" s="202" t="s">
        <v>29</v>
      </c>
      <c r="B49" s="198">
        <v>3924</v>
      </c>
      <c r="C49" s="198">
        <v>3924</v>
      </c>
      <c r="D49" s="198">
        <f t="shared" si="2"/>
        <v>0</v>
      </c>
      <c r="E49" s="199"/>
    </row>
    <row r="50" spans="1:5" ht="9.75" customHeight="1">
      <c r="A50" s="202" t="s">
        <v>40</v>
      </c>
      <c r="B50" s="198">
        <v>231.98</v>
      </c>
      <c r="C50" s="198">
        <v>231.98</v>
      </c>
      <c r="D50" s="198">
        <f t="shared" si="2"/>
        <v>0</v>
      </c>
      <c r="E50" s="199"/>
    </row>
    <row r="51" spans="1:5" s="88" customFormat="1" ht="10.5">
      <c r="A51" s="202" t="s">
        <v>30</v>
      </c>
      <c r="B51" s="198">
        <v>438</v>
      </c>
      <c r="C51" s="198">
        <v>438</v>
      </c>
      <c r="D51" s="198">
        <f t="shared" si="2"/>
        <v>0</v>
      </c>
      <c r="E51" s="199"/>
    </row>
    <row r="52" spans="1:5" ht="10.5">
      <c r="A52" s="202" t="s">
        <v>31</v>
      </c>
      <c r="B52" s="198">
        <v>6902</v>
      </c>
      <c r="C52" s="198">
        <v>6902</v>
      </c>
      <c r="D52" s="198">
        <f t="shared" si="2"/>
        <v>0</v>
      </c>
      <c r="E52" s="199"/>
    </row>
    <row r="53" spans="1:5" ht="10.5">
      <c r="A53" s="202" t="s">
        <v>32</v>
      </c>
      <c r="B53" s="198">
        <v>4311</v>
      </c>
      <c r="C53" s="198">
        <v>4311</v>
      </c>
      <c r="D53" s="198">
        <f t="shared" si="2"/>
        <v>0</v>
      </c>
      <c r="E53" s="199"/>
    </row>
    <row r="54" spans="1:5" ht="10.5">
      <c r="A54" s="202" t="s">
        <v>33</v>
      </c>
      <c r="B54" s="198">
        <v>2572</v>
      </c>
      <c r="C54" s="198">
        <v>2572</v>
      </c>
      <c r="D54" s="198">
        <f t="shared" si="2"/>
        <v>0</v>
      </c>
      <c r="E54" s="199"/>
    </row>
    <row r="55" spans="1:5" ht="10.5">
      <c r="A55" s="202" t="s">
        <v>41</v>
      </c>
      <c r="B55" s="198">
        <v>1790</v>
      </c>
      <c r="C55" s="198">
        <v>1790</v>
      </c>
      <c r="D55" s="198">
        <f t="shared" si="2"/>
        <v>0</v>
      </c>
      <c r="E55" s="199"/>
    </row>
    <row r="56" spans="1:5" ht="10.5">
      <c r="A56" s="202" t="s">
        <v>34</v>
      </c>
      <c r="B56" s="198">
        <v>5450</v>
      </c>
      <c r="C56" s="198">
        <v>5450</v>
      </c>
      <c r="D56" s="198">
        <f t="shared" si="2"/>
        <v>0</v>
      </c>
      <c r="E56" s="199"/>
    </row>
    <row r="57" spans="1:5" ht="10.5">
      <c r="A57" s="202" t="s">
        <v>35</v>
      </c>
      <c r="B57" s="205">
        <v>5128</v>
      </c>
      <c r="C57" s="205">
        <v>5128</v>
      </c>
      <c r="D57" s="205">
        <f t="shared" si="2"/>
        <v>0</v>
      </c>
      <c r="E57" s="199"/>
    </row>
    <row r="58" spans="1:5" ht="10.5">
      <c r="A58" s="48"/>
      <c r="B58" s="198"/>
      <c r="C58" s="198"/>
      <c r="D58" s="198"/>
      <c r="E58" s="199"/>
    </row>
    <row r="59" spans="1:5" ht="10.5">
      <c r="A59" s="202" t="s">
        <v>117</v>
      </c>
      <c r="B59" s="198">
        <f>SUM(B45:B57)</f>
        <v>46946.92999999999</v>
      </c>
      <c r="C59" s="198">
        <f>SUM(C45:C57)</f>
        <v>46946.92999999999</v>
      </c>
      <c r="D59" s="198">
        <f>SUM(D45:D57)</f>
        <v>0</v>
      </c>
      <c r="E59" s="199"/>
    </row>
    <row r="60" spans="1:5" ht="10.5">
      <c r="A60" s="202"/>
      <c r="B60" s="198"/>
      <c r="C60" s="198"/>
      <c r="D60" s="198"/>
      <c r="E60" s="199"/>
    </row>
    <row r="61" spans="1:5" ht="10.5">
      <c r="A61" s="48"/>
      <c r="B61" s="198"/>
      <c r="C61" s="198"/>
      <c r="D61" s="198"/>
      <c r="E61" s="199"/>
    </row>
    <row r="62" spans="1:5" ht="10.5">
      <c r="A62" s="202" t="s">
        <v>208</v>
      </c>
      <c r="B62" s="198"/>
      <c r="C62" s="198"/>
      <c r="D62" s="198"/>
      <c r="E62" s="199"/>
    </row>
    <row r="63" spans="1:5" ht="10.5">
      <c r="A63" s="94"/>
      <c r="B63" s="201" t="s">
        <v>114</v>
      </c>
      <c r="C63" s="201" t="s">
        <v>14</v>
      </c>
      <c r="D63" s="201" t="s">
        <v>115</v>
      </c>
      <c r="E63" s="200"/>
    </row>
    <row r="64" spans="1:5" ht="10.5">
      <c r="A64" s="202" t="s">
        <v>36</v>
      </c>
      <c r="B64" s="196">
        <f>25273+217819</f>
        <v>243092</v>
      </c>
      <c r="C64" s="196">
        <f>25273+217819</f>
        <v>243092</v>
      </c>
      <c r="D64" s="196">
        <f>B64-C64</f>
        <v>0</v>
      </c>
      <c r="E64" s="196"/>
    </row>
    <row r="65" spans="1:5" ht="10.5">
      <c r="A65" s="204" t="s">
        <v>37</v>
      </c>
      <c r="B65" s="198">
        <f>8882.48+113580.27</f>
        <v>122462.75</v>
      </c>
      <c r="C65" s="198">
        <f>8882.48+113580.27</f>
        <v>122462.75</v>
      </c>
      <c r="D65" s="196">
        <f>B65-C65</f>
        <v>0</v>
      </c>
      <c r="E65" s="197"/>
    </row>
    <row r="66" spans="1:5" ht="10.5">
      <c r="A66" s="202" t="s">
        <v>31</v>
      </c>
      <c r="B66" s="196">
        <f>6509.25+173384.89</f>
        <v>179894.14</v>
      </c>
      <c r="C66" s="196">
        <f>6509.25+173384.89</f>
        <v>179894.14</v>
      </c>
      <c r="D66" s="196">
        <f>B66-C66</f>
        <v>0</v>
      </c>
      <c r="E66" s="196"/>
    </row>
    <row r="67" spans="1:5" ht="10.5">
      <c r="A67" s="202" t="s">
        <v>32</v>
      </c>
      <c r="B67" s="196">
        <f>5358+132851</f>
        <v>138209</v>
      </c>
      <c r="C67" s="196">
        <f>5358+132851</f>
        <v>138209</v>
      </c>
      <c r="D67" s="196">
        <f>B67-C67</f>
        <v>0</v>
      </c>
      <c r="E67" s="196"/>
    </row>
    <row r="68" spans="1:5" s="94" customFormat="1" ht="10.5">
      <c r="A68" s="202" t="s">
        <v>38</v>
      </c>
      <c r="B68" s="206">
        <f>6414+23691.81</f>
        <v>30105.81</v>
      </c>
      <c r="C68" s="206">
        <f>6414+23691.81</f>
        <v>30105.81</v>
      </c>
      <c r="D68" s="206">
        <f>B68-C68</f>
        <v>0</v>
      </c>
      <c r="E68" s="196"/>
    </row>
    <row r="69" spans="1:5" ht="9" customHeight="1">
      <c r="A69" s="48"/>
      <c r="B69" s="196"/>
      <c r="C69" s="196"/>
      <c r="D69" s="196"/>
      <c r="E69" s="196"/>
    </row>
    <row r="70" spans="1:5" s="88" customFormat="1" ht="10.5">
      <c r="A70" s="202" t="s">
        <v>116</v>
      </c>
      <c r="B70" s="196">
        <f>SUM(B64:B68)</f>
        <v>713763.7000000001</v>
      </c>
      <c r="C70" s="196">
        <f>SUM(C64:C68)</f>
        <v>713763.7000000001</v>
      </c>
      <c r="D70" s="196">
        <f>SUM(D64:D68)</f>
        <v>0</v>
      </c>
      <c r="E70" s="196"/>
    </row>
    <row r="71" spans="1:5" ht="10.5">
      <c r="A71" s="48"/>
      <c r="B71" s="196"/>
      <c r="C71" s="196"/>
      <c r="D71" s="196"/>
      <c r="E71" s="196"/>
    </row>
    <row r="72" spans="1:5" ht="10.5">
      <c r="A72" s="48"/>
      <c r="B72" s="196"/>
      <c r="C72" s="196"/>
      <c r="D72" s="196"/>
      <c r="E72" s="196"/>
    </row>
    <row r="73" spans="1:5" ht="10.5">
      <c r="A73" s="202" t="s">
        <v>209</v>
      </c>
      <c r="B73" s="198"/>
      <c r="C73" s="198"/>
      <c r="D73" s="198"/>
      <c r="E73" s="196"/>
    </row>
    <row r="74" spans="1:5" ht="10.5">
      <c r="A74" s="94"/>
      <c r="B74" s="201" t="s">
        <v>114</v>
      </c>
      <c r="C74" s="201" t="s">
        <v>14</v>
      </c>
      <c r="D74" s="201" t="s">
        <v>115</v>
      </c>
      <c r="E74" s="196"/>
    </row>
    <row r="75" spans="1:5" ht="10.5">
      <c r="A75" s="202" t="s">
        <v>36</v>
      </c>
      <c r="B75" s="196">
        <f>289210+2308872</f>
        <v>2598082</v>
      </c>
      <c r="C75" s="196">
        <f>289210+2308872</f>
        <v>2598082</v>
      </c>
      <c r="D75" s="196">
        <f>B75-C75</f>
        <v>0</v>
      </c>
      <c r="E75" s="196"/>
    </row>
    <row r="76" spans="1:5" ht="10.5">
      <c r="A76" s="204" t="s">
        <v>37</v>
      </c>
      <c r="B76" s="198">
        <f>136690.18+1006098.05</f>
        <v>1142788.23</v>
      </c>
      <c r="C76" s="198">
        <f>136690.18+1006098.05</f>
        <v>1142788.23</v>
      </c>
      <c r="D76" s="196">
        <f>B76-C76</f>
        <v>0</v>
      </c>
      <c r="E76" s="196"/>
    </row>
    <row r="77" spans="1:5" ht="10.5">
      <c r="A77" s="202" t="s">
        <v>31</v>
      </c>
      <c r="B77" s="196">
        <f>102302.5+3216073.61</f>
        <v>3318376.11</v>
      </c>
      <c r="C77" s="196">
        <f>102302.5+3216073.61</f>
        <v>3318376.11</v>
      </c>
      <c r="D77" s="196">
        <f>B77-C77</f>
        <v>0</v>
      </c>
      <c r="E77" s="196"/>
    </row>
    <row r="78" spans="1:5" ht="10.5">
      <c r="A78" s="202" t="s">
        <v>32</v>
      </c>
      <c r="B78" s="196">
        <f>79878+1282944</f>
        <v>1362822</v>
      </c>
      <c r="C78" s="196">
        <f>79878+1282944</f>
        <v>1362822</v>
      </c>
      <c r="D78" s="196">
        <f>B78-C78</f>
        <v>0</v>
      </c>
      <c r="E78" s="196"/>
    </row>
    <row r="79" spans="1:5" ht="10.5">
      <c r="A79" s="202" t="s">
        <v>38</v>
      </c>
      <c r="B79" s="206">
        <f>57287+213447</f>
        <v>270734</v>
      </c>
      <c r="C79" s="206">
        <f>57287+213447</f>
        <v>270734</v>
      </c>
      <c r="D79" s="206">
        <f>B79-C79</f>
        <v>0</v>
      </c>
      <c r="E79" s="196"/>
    </row>
    <row r="80" spans="1:5" s="94" customFormat="1" ht="10.5">
      <c r="A80" s="48"/>
      <c r="B80" s="196"/>
      <c r="C80" s="196"/>
      <c r="D80" s="196"/>
      <c r="E80" s="196"/>
    </row>
    <row r="81" spans="1:5" ht="10.5" customHeight="1">
      <c r="A81" s="202" t="s">
        <v>116</v>
      </c>
      <c r="B81" s="196">
        <f>SUM(B75:B79)</f>
        <v>8692802.34</v>
      </c>
      <c r="C81" s="196">
        <f>SUM(C75:C79)</f>
        <v>8692802.34</v>
      </c>
      <c r="D81" s="196">
        <f>SUM(D75:D79)</f>
        <v>0</v>
      </c>
      <c r="E81" s="196"/>
    </row>
    <row r="82" spans="1:5" s="88" customFormat="1" ht="10.5">
      <c r="A82" s="48"/>
      <c r="B82" s="196"/>
      <c r="C82" s="196"/>
      <c r="D82" s="196"/>
      <c r="E82" s="196"/>
    </row>
    <row r="83" spans="1:5" ht="10.5">
      <c r="A83" s="48"/>
      <c r="B83" s="196"/>
      <c r="C83" s="196"/>
      <c r="D83" s="196"/>
      <c r="E83" s="196"/>
    </row>
    <row r="84" spans="1:5" ht="10.5">
      <c r="A84" s="202" t="s">
        <v>210</v>
      </c>
      <c r="B84" s="198"/>
      <c r="C84" s="198"/>
      <c r="D84" s="198"/>
      <c r="E84" s="196"/>
    </row>
    <row r="85" spans="1:5" ht="10.5">
      <c r="A85" s="94"/>
      <c r="B85" s="201" t="s">
        <v>114</v>
      </c>
      <c r="C85" s="201" t="s">
        <v>14</v>
      </c>
      <c r="D85" s="201" t="s">
        <v>115</v>
      </c>
      <c r="E85" s="196"/>
    </row>
    <row r="86" spans="1:5" ht="10.5">
      <c r="A86" s="202" t="s">
        <v>36</v>
      </c>
      <c r="B86" s="196">
        <f>14717</f>
        <v>14717</v>
      </c>
      <c r="C86" s="196">
        <v>14717</v>
      </c>
      <c r="D86" s="196">
        <f>B86-C86</f>
        <v>0</v>
      </c>
      <c r="E86" s="196"/>
    </row>
    <row r="87" spans="1:5" ht="10.5">
      <c r="A87" s="204" t="s">
        <v>37</v>
      </c>
      <c r="B87" s="198">
        <v>14674.81</v>
      </c>
      <c r="C87" s="198">
        <v>14674.81</v>
      </c>
      <c r="D87" s="196">
        <f>B87-C87</f>
        <v>0</v>
      </c>
      <c r="E87" s="196"/>
    </row>
    <row r="88" spans="1:5" ht="10.5">
      <c r="A88" s="202" t="s">
        <v>31</v>
      </c>
      <c r="B88" s="196">
        <v>22720</v>
      </c>
      <c r="C88" s="196">
        <v>22720</v>
      </c>
      <c r="D88" s="196">
        <f>B88-C88</f>
        <v>0</v>
      </c>
      <c r="E88" s="196"/>
    </row>
    <row r="89" spans="1:5" ht="10.5">
      <c r="A89" s="202" t="s">
        <v>32</v>
      </c>
      <c r="B89" s="196">
        <v>13944</v>
      </c>
      <c r="C89" s="196">
        <v>13944</v>
      </c>
      <c r="D89" s="196">
        <f>B89-C89</f>
        <v>0</v>
      </c>
      <c r="E89" s="196"/>
    </row>
    <row r="90" spans="1:5" ht="10.5">
      <c r="A90" s="202" t="s">
        <v>38</v>
      </c>
      <c r="B90" s="206">
        <v>4568</v>
      </c>
      <c r="C90" s="206">
        <v>4568</v>
      </c>
      <c r="D90" s="206">
        <f>B90-C90</f>
        <v>0</v>
      </c>
      <c r="E90" s="196"/>
    </row>
    <row r="91" spans="1:5" s="94" customFormat="1" ht="10.5">
      <c r="A91" s="48"/>
      <c r="B91" s="196"/>
      <c r="C91" s="196"/>
      <c r="D91" s="196"/>
      <c r="E91" s="196"/>
    </row>
    <row r="92" spans="1:5" ht="12" customHeight="1">
      <c r="A92" s="202" t="s">
        <v>116</v>
      </c>
      <c r="B92" s="196">
        <f>SUM(B86:B90)</f>
        <v>70623.81</v>
      </c>
      <c r="C92" s="196">
        <f>SUM(C86:C90)</f>
        <v>70623.81</v>
      </c>
      <c r="D92" s="196">
        <f>SUM(D86:D90)</f>
        <v>0</v>
      </c>
      <c r="E92" s="196"/>
    </row>
    <row r="93" spans="1:5" s="88" customFormat="1" ht="10.5">
      <c r="A93" s="48"/>
      <c r="B93" s="196"/>
      <c r="C93" s="196"/>
      <c r="D93" s="196"/>
      <c r="E93" s="196"/>
    </row>
    <row r="94" spans="1:5" ht="10.5">
      <c r="A94" s="48"/>
      <c r="B94" s="196"/>
      <c r="C94" s="196"/>
      <c r="D94" s="196"/>
      <c r="E94" s="196"/>
    </row>
    <row r="95" spans="1:5" ht="10.5">
      <c r="A95" s="48"/>
      <c r="B95" s="196"/>
      <c r="C95" s="196"/>
      <c r="D95" s="196"/>
      <c r="E95" s="196"/>
    </row>
    <row r="96" spans="1:5" ht="10.5">
      <c r="A96" s="202" t="s">
        <v>206</v>
      </c>
      <c r="B96" s="196"/>
      <c r="C96" s="196"/>
      <c r="D96" s="196"/>
      <c r="E96" s="196"/>
    </row>
    <row r="97" spans="1:5" ht="10.5">
      <c r="A97" s="48"/>
      <c r="B97" s="201" t="s">
        <v>114</v>
      </c>
      <c r="C97" s="201" t="s">
        <v>14</v>
      </c>
      <c r="D97" s="201" t="s">
        <v>115</v>
      </c>
      <c r="E97" s="196"/>
    </row>
    <row r="98" spans="1:5" ht="10.5">
      <c r="A98" s="202" t="s">
        <v>39</v>
      </c>
      <c r="B98" s="196">
        <v>53087</v>
      </c>
      <c r="C98" s="196">
        <v>53087</v>
      </c>
      <c r="D98" s="196">
        <f>B98-C98</f>
        <v>0</v>
      </c>
      <c r="E98" s="48"/>
    </row>
    <row r="99" spans="1:5" ht="10.5">
      <c r="A99" s="202" t="s">
        <v>99</v>
      </c>
      <c r="B99" s="206">
        <v>0</v>
      </c>
      <c r="C99" s="206">
        <v>0</v>
      </c>
      <c r="D99" s="206">
        <f>B99-C99</f>
        <v>0</v>
      </c>
      <c r="E99" s="48"/>
    </row>
    <row r="100" spans="1:5" ht="10.5">
      <c r="A100" s="48"/>
      <c r="B100" s="196"/>
      <c r="C100" s="196"/>
      <c r="D100" s="196"/>
      <c r="E100" s="48"/>
    </row>
    <row r="101" spans="1:5" ht="10.5">
      <c r="A101" s="202" t="s">
        <v>118</v>
      </c>
      <c r="B101" s="196">
        <f>SUM(B98:B99)</f>
        <v>53087</v>
      </c>
      <c r="C101" s="196">
        <f>SUM(C98:C99)</f>
        <v>53087</v>
      </c>
      <c r="D101" s="196">
        <f>SUM(D98:D99)</f>
        <v>0</v>
      </c>
      <c r="E101" s="48"/>
    </row>
    <row r="102" spans="1:5" ht="10.5">
      <c r="A102" s="48"/>
      <c r="B102" s="196"/>
      <c r="C102" s="196"/>
      <c r="D102" s="196"/>
      <c r="E102" s="48"/>
    </row>
    <row r="103" spans="1:5" ht="10.5" customHeight="1">
      <c r="A103" s="202" t="s">
        <v>207</v>
      </c>
      <c r="B103" s="196"/>
      <c r="C103" s="196"/>
      <c r="D103" s="196"/>
      <c r="E103" s="48"/>
    </row>
    <row r="104" spans="1:5" s="88" customFormat="1" ht="10.5">
      <c r="A104" s="48"/>
      <c r="B104" s="196"/>
      <c r="C104" s="196"/>
      <c r="D104" s="196"/>
      <c r="E104" s="48"/>
    </row>
    <row r="105" spans="1:5" ht="10.5">
      <c r="A105" s="202" t="s">
        <v>39</v>
      </c>
      <c r="B105" s="196">
        <v>3344</v>
      </c>
      <c r="C105" s="196">
        <v>3344</v>
      </c>
      <c r="D105" s="196">
        <f>B105-C105</f>
        <v>0</v>
      </c>
      <c r="E105" s="48"/>
    </row>
    <row r="106" spans="1:5" ht="10.5">
      <c r="A106" s="202" t="s">
        <v>35</v>
      </c>
      <c r="B106" s="206">
        <v>750</v>
      </c>
      <c r="C106" s="206">
        <v>750</v>
      </c>
      <c r="D106" s="206">
        <f>B106-C106</f>
        <v>0</v>
      </c>
      <c r="E106" s="48"/>
    </row>
    <row r="107" spans="1:5" ht="10.5">
      <c r="A107" s="48"/>
      <c r="B107" s="196"/>
      <c r="C107" s="196"/>
      <c r="D107" s="196"/>
      <c r="E107" s="48"/>
    </row>
    <row r="108" spans="1:5" ht="10.5">
      <c r="A108" s="202" t="s">
        <v>118</v>
      </c>
      <c r="B108" s="196">
        <f>SUM(B105:B106)</f>
        <v>4094</v>
      </c>
      <c r="C108" s="196">
        <f>SUM(C105:C106)</f>
        <v>4094</v>
      </c>
      <c r="D108" s="196">
        <f>SUM(D105:D106)</f>
        <v>0</v>
      </c>
      <c r="E108" s="48"/>
    </row>
    <row r="109" spans="1:5" ht="10.5">
      <c r="A109" s="48"/>
      <c r="B109" s="196"/>
      <c r="C109" s="196"/>
      <c r="D109" s="196"/>
      <c r="E109" s="48"/>
    </row>
    <row r="110" spans="1:5" ht="10.5">
      <c r="A110" s="48"/>
      <c r="B110" s="207"/>
      <c r="C110" s="207"/>
      <c r="D110" s="207"/>
      <c r="E110" s="48"/>
    </row>
    <row r="111" spans="1:5" ht="10.5">
      <c r="A111" s="202" t="s">
        <v>119</v>
      </c>
      <c r="B111" s="48"/>
      <c r="C111" s="48"/>
      <c r="D111" s="208">
        <f>D23+D41+D59+D70+D81+D92+D101+D108</f>
        <v>0</v>
      </c>
      <c r="E111" s="48"/>
    </row>
    <row r="112" spans="1:5" ht="10.5">
      <c r="A112" s="94"/>
      <c r="B112" s="94"/>
      <c r="C112" s="94"/>
      <c r="D112" s="94"/>
      <c r="E112" s="94"/>
    </row>
    <row r="113" spans="1:5" ht="10.5">
      <c r="A113" s="48"/>
      <c r="B113" s="48"/>
      <c r="C113" s="48"/>
      <c r="D113" s="48"/>
      <c r="E113" s="48"/>
    </row>
    <row r="114" spans="1:5" ht="10.5">
      <c r="A114" s="88"/>
      <c r="B114" s="88"/>
      <c r="C114" s="88"/>
      <c r="D114" s="88"/>
      <c r="E114" s="88"/>
    </row>
    <row r="115" spans="1:5" ht="10.5">
      <c r="A115" s="48"/>
      <c r="B115" s="48"/>
      <c r="C115" s="48"/>
      <c r="D115" s="48"/>
      <c r="E115" s="48"/>
    </row>
    <row r="116" spans="1:5" ht="10.5">
      <c r="A116" s="48"/>
      <c r="B116" s="48"/>
      <c r="C116" s="48"/>
      <c r="D116" s="48"/>
      <c r="E116" s="48"/>
    </row>
    <row r="117" spans="1:5" ht="10.5">
      <c r="A117" s="48"/>
      <c r="B117" s="48"/>
      <c r="C117" s="48"/>
      <c r="D117" s="48"/>
      <c r="E117" s="48"/>
    </row>
    <row r="118" spans="1:5" ht="10.5">
      <c r="A118" s="48"/>
      <c r="B118" s="48"/>
      <c r="C118" s="48"/>
      <c r="D118" s="48"/>
      <c r="E118" s="48"/>
    </row>
    <row r="119" spans="1:5" ht="10.5">
      <c r="A119" s="48"/>
      <c r="B119" s="48"/>
      <c r="C119" s="48"/>
      <c r="D119" s="48"/>
      <c r="E119" s="48"/>
    </row>
    <row r="120" spans="1:5" ht="10.5">
      <c r="A120" s="48"/>
      <c r="B120" s="48"/>
      <c r="C120" s="48"/>
      <c r="D120" s="48"/>
      <c r="E120" s="48"/>
    </row>
  </sheetData>
  <sheetProtection/>
  <printOptions/>
  <pageMargins left="0.7" right="0.7" top="0.75" bottom="0.75" header="0.3" footer="0.3"/>
  <pageSetup fitToHeight="1" fitToWidth="1" horizontalDpi="600" verticalDpi="600" orientation="portrait" scale="60"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X193"/>
  <sheetViews>
    <sheetView zoomScalePageLayoutView="0" workbookViewId="0" topLeftCell="A151">
      <selection activeCell="P187" sqref="P187"/>
    </sheetView>
  </sheetViews>
  <sheetFormatPr defaultColWidth="9.33203125" defaultRowHeight="10.5"/>
  <cols>
    <col min="1" max="1" width="11.66015625" style="85" customWidth="1"/>
    <col min="2" max="2" width="10.5" style="87" customWidth="1"/>
    <col min="3" max="3" width="8.33203125" style="87" customWidth="1"/>
    <col min="4" max="4" width="10.33203125" style="87" customWidth="1"/>
    <col min="5" max="5" width="9.16015625" style="47" customWidth="1"/>
    <col min="6" max="6" width="4" style="48" customWidth="1"/>
    <col min="7" max="7" width="4.83203125" style="48" customWidth="1"/>
    <col min="8" max="8" width="9.33203125" style="48" customWidth="1"/>
    <col min="9" max="9" width="4" style="48" customWidth="1"/>
    <col min="10" max="10" width="1.83203125" style="48" customWidth="1"/>
    <col min="11" max="11" width="1.66796875" style="48" customWidth="1"/>
    <col min="12" max="12" width="4.16015625" style="48" customWidth="1"/>
    <col min="13" max="15" width="9.33203125" style="48" customWidth="1"/>
    <col min="16" max="16" width="11.66015625" style="48" bestFit="1" customWidth="1"/>
    <col min="17" max="17" width="5.66015625" style="48" customWidth="1"/>
    <col min="18" max="16384" width="9.33203125" style="48" customWidth="1"/>
  </cols>
  <sheetData>
    <row r="1" spans="1:5" ht="10.5">
      <c r="A1" s="203" t="s">
        <v>120</v>
      </c>
      <c r="B1" s="94"/>
      <c r="C1" s="94"/>
      <c r="D1" s="94"/>
      <c r="E1" s="94"/>
    </row>
    <row r="2" spans="1:5" ht="10.5">
      <c r="A2" s="229" t="s">
        <v>246</v>
      </c>
      <c r="B2" s="48"/>
      <c r="C2" s="48"/>
      <c r="D2" s="48"/>
      <c r="E2" s="48"/>
    </row>
    <row r="3" spans="1:5" ht="10.5">
      <c r="A3" s="239" t="s">
        <v>193</v>
      </c>
      <c r="B3" s="88"/>
      <c r="C3" s="88"/>
      <c r="D3" s="88"/>
      <c r="E3" s="88"/>
    </row>
    <row r="4" spans="1:24" s="94" customFormat="1" ht="12">
      <c r="A4" s="558" t="s">
        <v>211</v>
      </c>
      <c r="B4" s="558"/>
      <c r="C4" s="590" t="s">
        <v>212</v>
      </c>
      <c r="D4" s="590"/>
      <c r="E4" s="590"/>
      <c r="F4" s="590"/>
      <c r="G4" s="590"/>
      <c r="H4" s="590"/>
      <c r="I4" s="590"/>
      <c r="J4" s="590"/>
      <c r="K4" s="590"/>
      <c r="L4" s="240"/>
      <c r="M4" s="240"/>
      <c r="N4" s="240"/>
      <c r="O4" s="240"/>
      <c r="P4" s="240"/>
      <c r="Q4" s="240"/>
      <c r="R4" s="240"/>
      <c r="S4" s="240"/>
      <c r="T4" s="240"/>
      <c r="U4" s="240"/>
      <c r="V4" s="240"/>
      <c r="W4" s="240"/>
      <c r="X4" s="240"/>
    </row>
    <row r="5" spans="1:24" ht="9.75" customHeight="1">
      <c r="A5" s="558"/>
      <c r="B5" s="558"/>
      <c r="C5" s="240"/>
      <c r="D5" s="240"/>
      <c r="E5" s="240"/>
      <c r="F5" s="240"/>
      <c r="G5" s="240"/>
      <c r="H5" s="240"/>
      <c r="I5" s="240"/>
      <c r="J5" s="240"/>
      <c r="K5" s="240"/>
      <c r="L5" s="240"/>
      <c r="M5" s="240"/>
      <c r="N5" s="240"/>
      <c r="O5" s="240"/>
      <c r="P5" s="240"/>
      <c r="Q5" s="240"/>
      <c r="R5" s="240"/>
      <c r="S5" s="240"/>
      <c r="T5" s="240"/>
      <c r="U5" s="240"/>
      <c r="V5" s="240"/>
      <c r="W5" s="240"/>
      <c r="X5" s="240"/>
    </row>
    <row r="6" spans="1:24" s="88" customFormat="1" ht="12">
      <c r="A6" s="240"/>
      <c r="B6" s="558" t="s">
        <v>213</v>
      </c>
      <c r="C6" s="558"/>
      <c r="D6" s="590" t="s">
        <v>214</v>
      </c>
      <c r="E6" s="590"/>
      <c r="F6" s="590"/>
      <c r="G6" s="590"/>
      <c r="H6" s="590"/>
      <c r="I6" s="590"/>
      <c r="J6" s="590"/>
      <c r="K6" s="590"/>
      <c r="L6" s="590"/>
      <c r="M6" s="590"/>
      <c r="N6" s="240"/>
      <c r="O6" s="240"/>
      <c r="P6" s="240"/>
      <c r="Q6" s="240"/>
      <c r="R6" s="240"/>
      <c r="S6" s="240"/>
      <c r="T6" s="240"/>
      <c r="U6" s="240"/>
      <c r="V6" s="240"/>
      <c r="W6" s="240"/>
      <c r="X6" s="240"/>
    </row>
    <row r="7" spans="1:24" ht="12">
      <c r="A7" s="558" t="s">
        <v>215</v>
      </c>
      <c r="B7" s="558"/>
      <c r="C7" s="240"/>
      <c r="D7" s="240"/>
      <c r="E7" s="591" t="s">
        <v>216</v>
      </c>
      <c r="F7" s="591"/>
      <c r="G7" s="591"/>
      <c r="H7" s="591"/>
      <c r="I7" s="591"/>
      <c r="J7" s="586" t="s">
        <v>5</v>
      </c>
      <c r="K7" s="586"/>
      <c r="L7" s="586"/>
      <c r="M7" s="586"/>
      <c r="N7" s="586" t="s">
        <v>217</v>
      </c>
      <c r="O7" s="586"/>
      <c r="P7" s="561" t="s">
        <v>218</v>
      </c>
      <c r="Q7" s="561"/>
      <c r="R7" s="240"/>
      <c r="S7" s="586" t="s">
        <v>219</v>
      </c>
      <c r="T7" s="586"/>
      <c r="U7" s="240"/>
      <c r="V7" s="241" t="s">
        <v>220</v>
      </c>
      <c r="W7" s="241" t="s">
        <v>221</v>
      </c>
      <c r="X7" s="240"/>
    </row>
    <row r="8" spans="1:24" ht="12">
      <c r="A8" s="558"/>
      <c r="B8" s="558"/>
      <c r="C8" s="240"/>
      <c r="D8" s="240"/>
      <c r="E8" s="558" t="s">
        <v>222</v>
      </c>
      <c r="F8" s="558"/>
      <c r="G8" s="558"/>
      <c r="H8" s="558"/>
      <c r="I8" s="558"/>
      <c r="J8" s="561" t="s">
        <v>223</v>
      </c>
      <c r="K8" s="561"/>
      <c r="L8" s="561"/>
      <c r="M8" s="561"/>
      <c r="N8" s="561" t="s">
        <v>224</v>
      </c>
      <c r="O8" s="561"/>
      <c r="P8" s="561"/>
      <c r="Q8" s="561"/>
      <c r="R8" s="240"/>
      <c r="S8" s="561" t="s">
        <v>224</v>
      </c>
      <c r="T8" s="561"/>
      <c r="U8" s="240"/>
      <c r="V8" s="242" t="s">
        <v>115</v>
      </c>
      <c r="W8" s="242" t="s">
        <v>219</v>
      </c>
      <c r="X8" s="240"/>
    </row>
    <row r="9" spans="1:24" ht="12">
      <c r="A9" s="589" t="s">
        <v>25</v>
      </c>
      <c r="B9" s="589"/>
      <c r="C9" s="589"/>
      <c r="D9" s="589" t="s">
        <v>225</v>
      </c>
      <c r="E9" s="589"/>
      <c r="F9" s="589"/>
      <c r="G9" s="243" t="s">
        <v>226</v>
      </c>
      <c r="H9" s="589" t="s">
        <v>227</v>
      </c>
      <c r="I9" s="589"/>
      <c r="J9" s="587">
        <v>13248</v>
      </c>
      <c r="K9" s="587"/>
      <c r="L9" s="587"/>
      <c r="M9" s="587"/>
      <c r="N9" s="587">
        <v>13248</v>
      </c>
      <c r="O9" s="587"/>
      <c r="P9" s="256">
        <v>0</v>
      </c>
      <c r="Q9" s="256"/>
      <c r="R9" s="256"/>
      <c r="S9" s="587">
        <v>13248</v>
      </c>
      <c r="T9" s="587"/>
      <c r="U9" s="588">
        <v>0</v>
      </c>
      <c r="V9" s="588"/>
      <c r="W9" s="244">
        <v>100</v>
      </c>
      <c r="X9" s="240"/>
    </row>
    <row r="10" spans="1:24" ht="12">
      <c r="A10" s="589" t="s">
        <v>26</v>
      </c>
      <c r="B10" s="589"/>
      <c r="C10" s="589"/>
      <c r="D10" s="589" t="s">
        <v>225</v>
      </c>
      <c r="E10" s="589"/>
      <c r="F10" s="589"/>
      <c r="G10" s="243" t="s">
        <v>226</v>
      </c>
      <c r="H10" s="589" t="s">
        <v>227</v>
      </c>
      <c r="I10" s="589"/>
      <c r="J10" s="587">
        <v>2698.85</v>
      </c>
      <c r="K10" s="587"/>
      <c r="L10" s="587"/>
      <c r="M10" s="587"/>
      <c r="N10" s="587">
        <v>886.74</v>
      </c>
      <c r="O10" s="587"/>
      <c r="P10" s="256">
        <v>1812.11</v>
      </c>
      <c r="Q10" s="256"/>
      <c r="R10" s="256"/>
      <c r="S10" s="587">
        <v>826.74</v>
      </c>
      <c r="T10" s="587"/>
      <c r="U10" s="588">
        <v>60</v>
      </c>
      <c r="V10" s="588"/>
      <c r="W10" s="244">
        <v>30.63</v>
      </c>
      <c r="X10" s="240"/>
    </row>
    <row r="11" spans="1:24" s="94" customFormat="1" ht="12">
      <c r="A11" s="589" t="s">
        <v>27</v>
      </c>
      <c r="B11" s="589"/>
      <c r="C11" s="589"/>
      <c r="D11" s="589" t="s">
        <v>225</v>
      </c>
      <c r="E11" s="589"/>
      <c r="F11" s="589"/>
      <c r="G11" s="243" t="s">
        <v>226</v>
      </c>
      <c r="H11" s="589" t="s">
        <v>227</v>
      </c>
      <c r="I11" s="589"/>
      <c r="J11" s="587">
        <v>5934</v>
      </c>
      <c r="K11" s="587"/>
      <c r="L11" s="587"/>
      <c r="M11" s="587"/>
      <c r="N11" s="587">
        <v>2780</v>
      </c>
      <c r="O11" s="587"/>
      <c r="P11" s="256">
        <v>3154</v>
      </c>
      <c r="Q11" s="256"/>
      <c r="R11" s="256"/>
      <c r="S11" s="587">
        <v>2780</v>
      </c>
      <c r="T11" s="587"/>
      <c r="U11" s="588">
        <v>0</v>
      </c>
      <c r="V11" s="588"/>
      <c r="W11" s="244">
        <v>46.85</v>
      </c>
      <c r="X11" s="240"/>
    </row>
    <row r="12" spans="1:24" ht="12" customHeight="1">
      <c r="A12" s="589" t="s">
        <v>28</v>
      </c>
      <c r="B12" s="589"/>
      <c r="C12" s="589"/>
      <c r="D12" s="589" t="s">
        <v>225</v>
      </c>
      <c r="E12" s="589"/>
      <c r="F12" s="589"/>
      <c r="G12" s="243" t="s">
        <v>226</v>
      </c>
      <c r="H12" s="589" t="s">
        <v>227</v>
      </c>
      <c r="I12" s="589"/>
      <c r="J12" s="587">
        <v>4628</v>
      </c>
      <c r="K12" s="587"/>
      <c r="L12" s="587"/>
      <c r="M12" s="587"/>
      <c r="N12" s="587">
        <v>2962</v>
      </c>
      <c r="O12" s="587"/>
      <c r="P12" s="256">
        <v>1666</v>
      </c>
      <c r="Q12" s="256"/>
      <c r="R12" s="256"/>
      <c r="S12" s="587">
        <v>2962</v>
      </c>
      <c r="T12" s="587"/>
      <c r="U12" s="588">
        <v>0</v>
      </c>
      <c r="V12" s="588"/>
      <c r="W12" s="244">
        <v>64</v>
      </c>
      <c r="X12" s="240"/>
    </row>
    <row r="13" spans="1:24" s="88" customFormat="1" ht="12">
      <c r="A13" s="589" t="s">
        <v>29</v>
      </c>
      <c r="B13" s="589"/>
      <c r="C13" s="589"/>
      <c r="D13" s="589" t="s">
        <v>225</v>
      </c>
      <c r="E13" s="589"/>
      <c r="F13" s="589"/>
      <c r="G13" s="243" t="s">
        <v>226</v>
      </c>
      <c r="H13" s="589" t="s">
        <v>227</v>
      </c>
      <c r="I13" s="589"/>
      <c r="J13" s="587">
        <v>8644</v>
      </c>
      <c r="K13" s="587"/>
      <c r="L13" s="587"/>
      <c r="M13" s="587"/>
      <c r="N13" s="587">
        <v>8644</v>
      </c>
      <c r="O13" s="587"/>
      <c r="P13" s="256">
        <v>0</v>
      </c>
      <c r="Q13" s="256"/>
      <c r="R13" s="256"/>
      <c r="S13" s="587">
        <v>8644</v>
      </c>
      <c r="T13" s="587"/>
      <c r="U13" s="588">
        <v>0</v>
      </c>
      <c r="V13" s="588"/>
      <c r="W13" s="244">
        <v>100</v>
      </c>
      <c r="X13" s="240"/>
    </row>
    <row r="14" spans="1:24" ht="12">
      <c r="A14" s="589" t="s">
        <v>30</v>
      </c>
      <c r="B14" s="589"/>
      <c r="C14" s="589"/>
      <c r="D14" s="589" t="s">
        <v>225</v>
      </c>
      <c r="E14" s="589"/>
      <c r="F14" s="589"/>
      <c r="G14" s="243" t="s">
        <v>226</v>
      </c>
      <c r="H14" s="589" t="s">
        <v>227</v>
      </c>
      <c r="I14" s="589"/>
      <c r="J14" s="587">
        <v>88</v>
      </c>
      <c r="K14" s="587"/>
      <c r="L14" s="587"/>
      <c r="M14" s="587"/>
      <c r="N14" s="587">
        <v>88</v>
      </c>
      <c r="O14" s="587"/>
      <c r="P14" s="256">
        <v>0</v>
      </c>
      <c r="Q14" s="256"/>
      <c r="R14" s="256"/>
      <c r="S14" s="587">
        <v>88</v>
      </c>
      <c r="T14" s="587"/>
      <c r="U14" s="588">
        <v>0</v>
      </c>
      <c r="V14" s="588"/>
      <c r="W14" s="244">
        <v>100</v>
      </c>
      <c r="X14" s="240"/>
    </row>
    <row r="15" spans="1:24" ht="12">
      <c r="A15" s="589" t="s">
        <v>31</v>
      </c>
      <c r="B15" s="589"/>
      <c r="C15" s="589"/>
      <c r="D15" s="589" t="s">
        <v>225</v>
      </c>
      <c r="E15" s="589"/>
      <c r="F15" s="589"/>
      <c r="G15" s="243" t="s">
        <v>226</v>
      </c>
      <c r="H15" s="589" t="s">
        <v>227</v>
      </c>
      <c r="I15" s="589"/>
      <c r="J15" s="587">
        <v>3771</v>
      </c>
      <c r="K15" s="587"/>
      <c r="L15" s="587"/>
      <c r="M15" s="587"/>
      <c r="N15" s="587">
        <v>3100.46</v>
      </c>
      <c r="O15" s="587"/>
      <c r="P15" s="256">
        <v>670.54</v>
      </c>
      <c r="Q15" s="256"/>
      <c r="R15" s="256"/>
      <c r="S15" s="587">
        <v>3100.46</v>
      </c>
      <c r="T15" s="587"/>
      <c r="U15" s="588">
        <v>0</v>
      </c>
      <c r="V15" s="588"/>
      <c r="W15" s="244">
        <v>82.22</v>
      </c>
      <c r="X15" s="240"/>
    </row>
    <row r="16" spans="1:24" ht="12">
      <c r="A16" s="589" t="s">
        <v>32</v>
      </c>
      <c r="B16" s="589"/>
      <c r="C16" s="589"/>
      <c r="D16" s="589" t="s">
        <v>225</v>
      </c>
      <c r="E16" s="589"/>
      <c r="F16" s="589"/>
      <c r="G16" s="243" t="s">
        <v>226</v>
      </c>
      <c r="H16" s="589" t="s">
        <v>227</v>
      </c>
      <c r="I16" s="589"/>
      <c r="J16" s="587">
        <v>4198</v>
      </c>
      <c r="K16" s="587"/>
      <c r="L16" s="587"/>
      <c r="M16" s="587"/>
      <c r="N16" s="587">
        <v>2308</v>
      </c>
      <c r="O16" s="587"/>
      <c r="P16" s="256">
        <v>1890</v>
      </c>
      <c r="Q16" s="256"/>
      <c r="R16" s="256"/>
      <c r="S16" s="587">
        <v>2126</v>
      </c>
      <c r="T16" s="587"/>
      <c r="U16" s="588">
        <v>182</v>
      </c>
      <c r="V16" s="588"/>
      <c r="W16" s="244">
        <v>50.64</v>
      </c>
      <c r="X16" s="240"/>
    </row>
    <row r="17" spans="1:24" ht="12">
      <c r="A17" s="589" t="s">
        <v>33</v>
      </c>
      <c r="B17" s="589"/>
      <c r="C17" s="589"/>
      <c r="D17" s="589" t="s">
        <v>225</v>
      </c>
      <c r="E17" s="589"/>
      <c r="F17" s="589"/>
      <c r="G17" s="243" t="s">
        <v>226</v>
      </c>
      <c r="H17" s="589" t="s">
        <v>227</v>
      </c>
      <c r="I17" s="589"/>
      <c r="J17" s="587">
        <v>6683</v>
      </c>
      <c r="K17" s="587"/>
      <c r="L17" s="587"/>
      <c r="M17" s="587"/>
      <c r="N17" s="587">
        <v>4929</v>
      </c>
      <c r="O17" s="587"/>
      <c r="P17" s="256">
        <v>1754</v>
      </c>
      <c r="Q17" s="256"/>
      <c r="R17" s="256"/>
      <c r="S17" s="587">
        <v>6298</v>
      </c>
      <c r="T17" s="587"/>
      <c r="U17" s="588">
        <v>-1369</v>
      </c>
      <c r="V17" s="588"/>
      <c r="W17" s="244">
        <v>94.24</v>
      </c>
      <c r="X17" s="240"/>
    </row>
    <row r="18" spans="1:24" ht="12">
      <c r="A18" s="589" t="s">
        <v>34</v>
      </c>
      <c r="B18" s="589"/>
      <c r="C18" s="589"/>
      <c r="D18" s="589" t="s">
        <v>225</v>
      </c>
      <c r="E18" s="589"/>
      <c r="F18" s="589"/>
      <c r="G18" s="243" t="s">
        <v>226</v>
      </c>
      <c r="H18" s="589" t="s">
        <v>227</v>
      </c>
      <c r="I18" s="589"/>
      <c r="J18" s="587">
        <v>6554.25</v>
      </c>
      <c r="K18" s="587"/>
      <c r="L18" s="587"/>
      <c r="M18" s="587"/>
      <c r="N18" s="587">
        <v>6554.25</v>
      </c>
      <c r="O18" s="587"/>
      <c r="P18" s="256">
        <v>0</v>
      </c>
      <c r="Q18" s="256"/>
      <c r="R18" s="256"/>
      <c r="S18" s="587">
        <v>6554.25</v>
      </c>
      <c r="T18" s="587"/>
      <c r="U18" s="588">
        <v>0</v>
      </c>
      <c r="V18" s="588"/>
      <c r="W18" s="244">
        <v>100</v>
      </c>
      <c r="X18" s="240"/>
    </row>
    <row r="19" spans="1:24" ht="12">
      <c r="A19" s="589" t="s">
        <v>35</v>
      </c>
      <c r="B19" s="589"/>
      <c r="C19" s="589"/>
      <c r="D19" s="589" t="s">
        <v>225</v>
      </c>
      <c r="E19" s="589"/>
      <c r="F19" s="589"/>
      <c r="G19" s="243" t="s">
        <v>226</v>
      </c>
      <c r="H19" s="589" t="s">
        <v>227</v>
      </c>
      <c r="I19" s="589"/>
      <c r="J19" s="587">
        <v>2896</v>
      </c>
      <c r="K19" s="587"/>
      <c r="L19" s="587"/>
      <c r="M19" s="587"/>
      <c r="N19" s="587">
        <v>2631</v>
      </c>
      <c r="O19" s="587"/>
      <c r="P19" s="257">
        <v>265</v>
      </c>
      <c r="Q19" s="257"/>
      <c r="R19" s="257"/>
      <c r="S19" s="587">
        <v>2752</v>
      </c>
      <c r="T19" s="587"/>
      <c r="U19" s="588">
        <v>-121</v>
      </c>
      <c r="V19" s="588"/>
      <c r="W19" s="244">
        <v>95.03</v>
      </c>
      <c r="X19" s="240"/>
    </row>
    <row r="20" spans="1:24" ht="10.5">
      <c r="A20" s="245"/>
      <c r="B20" s="245"/>
      <c r="C20" s="245"/>
      <c r="D20" s="245"/>
      <c r="E20" s="245"/>
      <c r="F20" s="245"/>
      <c r="G20" s="245"/>
      <c r="H20" s="245"/>
      <c r="I20" s="245"/>
      <c r="J20" s="245"/>
      <c r="K20" s="245"/>
      <c r="L20" s="245"/>
      <c r="M20" s="245"/>
      <c r="N20" s="245"/>
      <c r="O20" s="245"/>
      <c r="P20" s="245"/>
      <c r="Q20" s="245"/>
      <c r="R20" s="245"/>
      <c r="S20" s="245"/>
      <c r="T20" s="245"/>
      <c r="U20" s="245"/>
      <c r="V20" s="245"/>
      <c r="W20" s="245"/>
      <c r="X20" s="240"/>
    </row>
    <row r="21" spans="1:24" ht="11.25">
      <c r="A21" s="240"/>
      <c r="B21" s="240"/>
      <c r="C21" s="240"/>
      <c r="D21" s="240"/>
      <c r="E21" s="240"/>
      <c r="F21" s="240"/>
      <c r="G21" s="240"/>
      <c r="H21" s="240"/>
      <c r="I21" s="240"/>
      <c r="J21" s="585">
        <v>59343.1</v>
      </c>
      <c r="K21" s="585"/>
      <c r="L21" s="585"/>
      <c r="M21" s="585"/>
      <c r="N21" s="585">
        <v>48131.45</v>
      </c>
      <c r="O21" s="585"/>
      <c r="P21" s="258">
        <v>11211.65</v>
      </c>
      <c r="Q21" s="258"/>
      <c r="R21" s="258"/>
      <c r="S21" s="585">
        <v>49379.45</v>
      </c>
      <c r="T21" s="585"/>
      <c r="U21" s="585">
        <v>-1248</v>
      </c>
      <c r="V21" s="585"/>
      <c r="W21" s="240"/>
      <c r="X21" s="240"/>
    </row>
    <row r="22" spans="1:24" ht="12">
      <c r="A22" s="240"/>
      <c r="B22" s="558" t="s">
        <v>213</v>
      </c>
      <c r="C22" s="558"/>
      <c r="D22" s="590" t="s">
        <v>228</v>
      </c>
      <c r="E22" s="590"/>
      <c r="F22" s="590"/>
      <c r="G22" s="590"/>
      <c r="H22" s="590"/>
      <c r="I22" s="590"/>
      <c r="J22" s="590"/>
      <c r="K22" s="590"/>
      <c r="L22" s="590"/>
      <c r="M22" s="590"/>
      <c r="N22" s="240"/>
      <c r="O22" s="240"/>
      <c r="P22" s="240"/>
      <c r="Q22" s="240"/>
      <c r="R22" s="240"/>
      <c r="S22" s="240"/>
      <c r="T22" s="240"/>
      <c r="U22" s="240"/>
      <c r="V22" s="240"/>
      <c r="W22" s="240"/>
      <c r="X22" s="240"/>
    </row>
    <row r="23" spans="1:24" ht="12">
      <c r="A23" s="558" t="s">
        <v>215</v>
      </c>
      <c r="B23" s="558"/>
      <c r="C23" s="240"/>
      <c r="D23" s="240"/>
      <c r="E23" s="591" t="s">
        <v>216</v>
      </c>
      <c r="F23" s="591"/>
      <c r="G23" s="591"/>
      <c r="H23" s="591"/>
      <c r="I23" s="591"/>
      <c r="J23" s="586" t="s">
        <v>5</v>
      </c>
      <c r="K23" s="586"/>
      <c r="L23" s="586"/>
      <c r="M23" s="586"/>
      <c r="N23" s="586" t="s">
        <v>217</v>
      </c>
      <c r="O23" s="586"/>
      <c r="P23" s="561" t="s">
        <v>218</v>
      </c>
      <c r="Q23" s="561"/>
      <c r="R23" s="240"/>
      <c r="S23" s="586" t="s">
        <v>219</v>
      </c>
      <c r="T23" s="586"/>
      <c r="U23" s="240"/>
      <c r="V23" s="241" t="s">
        <v>220</v>
      </c>
      <c r="W23" s="241" t="s">
        <v>221</v>
      </c>
      <c r="X23" s="240"/>
    </row>
    <row r="24" spans="1:24" ht="12">
      <c r="A24" s="558"/>
      <c r="B24" s="558"/>
      <c r="C24" s="240"/>
      <c r="D24" s="240"/>
      <c r="E24" s="558" t="s">
        <v>222</v>
      </c>
      <c r="F24" s="558"/>
      <c r="G24" s="558"/>
      <c r="H24" s="558"/>
      <c r="I24" s="558"/>
      <c r="J24" s="561" t="s">
        <v>223</v>
      </c>
      <c r="K24" s="561"/>
      <c r="L24" s="561"/>
      <c r="M24" s="561"/>
      <c r="N24" s="561" t="s">
        <v>224</v>
      </c>
      <c r="O24" s="561"/>
      <c r="P24" s="561"/>
      <c r="Q24" s="561"/>
      <c r="R24" s="240"/>
      <c r="S24" s="561" t="s">
        <v>224</v>
      </c>
      <c r="T24" s="561"/>
      <c r="U24" s="240"/>
      <c r="V24" s="242" t="s">
        <v>115</v>
      </c>
      <c r="W24" s="242" t="s">
        <v>219</v>
      </c>
      <c r="X24" s="240"/>
    </row>
    <row r="25" spans="1:24" ht="12">
      <c r="A25" s="589" t="s">
        <v>25</v>
      </c>
      <c r="B25" s="589"/>
      <c r="C25" s="589"/>
      <c r="D25" s="589" t="s">
        <v>225</v>
      </c>
      <c r="E25" s="589"/>
      <c r="F25" s="589"/>
      <c r="G25" s="243" t="s">
        <v>226</v>
      </c>
      <c r="H25" s="589" t="s">
        <v>227</v>
      </c>
      <c r="I25" s="589"/>
      <c r="J25" s="587">
        <v>159058.87</v>
      </c>
      <c r="K25" s="587"/>
      <c r="L25" s="587"/>
      <c r="M25" s="587"/>
      <c r="N25" s="587">
        <v>159058.87</v>
      </c>
      <c r="O25" s="587"/>
      <c r="P25" s="256">
        <v>0</v>
      </c>
      <c r="Q25" s="256"/>
      <c r="R25" s="256"/>
      <c r="S25" s="587">
        <v>159058.87</v>
      </c>
      <c r="T25" s="587"/>
      <c r="U25" s="588">
        <v>0</v>
      </c>
      <c r="V25" s="588"/>
      <c r="W25" s="244">
        <v>100</v>
      </c>
      <c r="X25" s="240"/>
    </row>
    <row r="26" spans="1:24" ht="12">
      <c r="A26" s="589" t="s">
        <v>26</v>
      </c>
      <c r="B26" s="589"/>
      <c r="C26" s="589"/>
      <c r="D26" s="589" t="s">
        <v>225</v>
      </c>
      <c r="E26" s="589"/>
      <c r="F26" s="589"/>
      <c r="G26" s="243" t="s">
        <v>226</v>
      </c>
      <c r="H26" s="589" t="s">
        <v>227</v>
      </c>
      <c r="I26" s="589"/>
      <c r="J26" s="587">
        <v>29558.86</v>
      </c>
      <c r="K26" s="587"/>
      <c r="L26" s="587"/>
      <c r="M26" s="587"/>
      <c r="N26" s="587">
        <v>8877.5</v>
      </c>
      <c r="O26" s="587"/>
      <c r="P26" s="256">
        <v>20681.36</v>
      </c>
      <c r="Q26" s="256"/>
      <c r="R26" s="256"/>
      <c r="S26" s="587">
        <v>8377.5</v>
      </c>
      <c r="T26" s="587"/>
      <c r="U26" s="588">
        <v>500</v>
      </c>
      <c r="V26" s="588"/>
      <c r="W26" s="244">
        <v>28.34</v>
      </c>
      <c r="X26" s="240"/>
    </row>
    <row r="27" spans="1:24" ht="12">
      <c r="A27" s="589" t="s">
        <v>27</v>
      </c>
      <c r="B27" s="589"/>
      <c r="C27" s="589"/>
      <c r="D27" s="589" t="s">
        <v>225</v>
      </c>
      <c r="E27" s="589"/>
      <c r="F27" s="589"/>
      <c r="G27" s="243" t="s">
        <v>226</v>
      </c>
      <c r="H27" s="589" t="s">
        <v>227</v>
      </c>
      <c r="I27" s="589"/>
      <c r="J27" s="587">
        <v>68212</v>
      </c>
      <c r="K27" s="587"/>
      <c r="L27" s="587"/>
      <c r="M27" s="587"/>
      <c r="N27" s="587">
        <v>44100</v>
      </c>
      <c r="O27" s="587"/>
      <c r="P27" s="256">
        <v>24112</v>
      </c>
      <c r="Q27" s="256"/>
      <c r="R27" s="256"/>
      <c r="S27" s="587">
        <v>44100</v>
      </c>
      <c r="T27" s="587"/>
      <c r="U27" s="588">
        <v>0</v>
      </c>
      <c r="V27" s="588"/>
      <c r="W27" s="244">
        <v>64.65</v>
      </c>
      <c r="X27" s="240"/>
    </row>
    <row r="28" spans="1:24" ht="12">
      <c r="A28" s="589" t="s">
        <v>28</v>
      </c>
      <c r="B28" s="589"/>
      <c r="C28" s="589"/>
      <c r="D28" s="589" t="s">
        <v>225</v>
      </c>
      <c r="E28" s="589"/>
      <c r="F28" s="589"/>
      <c r="G28" s="243" t="s">
        <v>226</v>
      </c>
      <c r="H28" s="589" t="s">
        <v>227</v>
      </c>
      <c r="I28" s="589"/>
      <c r="J28" s="587">
        <v>53204</v>
      </c>
      <c r="K28" s="587"/>
      <c r="L28" s="587"/>
      <c r="M28" s="587"/>
      <c r="N28" s="587">
        <v>34352</v>
      </c>
      <c r="O28" s="587"/>
      <c r="P28" s="256">
        <v>18852</v>
      </c>
      <c r="Q28" s="256"/>
      <c r="R28" s="256"/>
      <c r="S28" s="587">
        <v>34352</v>
      </c>
      <c r="T28" s="587"/>
      <c r="U28" s="588">
        <v>0</v>
      </c>
      <c r="V28" s="588"/>
      <c r="W28" s="244">
        <v>64.57</v>
      </c>
      <c r="X28" s="240"/>
    </row>
    <row r="29" spans="1:24" ht="12">
      <c r="A29" s="589" t="s">
        <v>29</v>
      </c>
      <c r="B29" s="589"/>
      <c r="C29" s="589"/>
      <c r="D29" s="589" t="s">
        <v>225</v>
      </c>
      <c r="E29" s="589"/>
      <c r="F29" s="589"/>
      <c r="G29" s="243" t="s">
        <v>226</v>
      </c>
      <c r="H29" s="589" t="s">
        <v>227</v>
      </c>
      <c r="I29" s="589"/>
      <c r="J29" s="587">
        <v>99360</v>
      </c>
      <c r="K29" s="587"/>
      <c r="L29" s="587"/>
      <c r="M29" s="587"/>
      <c r="N29" s="587">
        <v>99360</v>
      </c>
      <c r="O29" s="587"/>
      <c r="P29" s="256">
        <v>0</v>
      </c>
      <c r="Q29" s="256"/>
      <c r="R29" s="256"/>
      <c r="S29" s="587">
        <v>99360</v>
      </c>
      <c r="T29" s="587"/>
      <c r="U29" s="588">
        <v>0</v>
      </c>
      <c r="V29" s="588"/>
      <c r="W29" s="244">
        <v>100</v>
      </c>
      <c r="X29" s="240"/>
    </row>
    <row r="30" spans="1:24" s="94" customFormat="1" ht="12">
      <c r="A30" s="589" t="s">
        <v>30</v>
      </c>
      <c r="B30" s="589"/>
      <c r="C30" s="589"/>
      <c r="D30" s="589" t="s">
        <v>225</v>
      </c>
      <c r="E30" s="589"/>
      <c r="F30" s="589"/>
      <c r="G30" s="243" t="s">
        <v>226</v>
      </c>
      <c r="H30" s="589" t="s">
        <v>227</v>
      </c>
      <c r="I30" s="589"/>
      <c r="J30" s="587">
        <v>1010</v>
      </c>
      <c r="K30" s="587"/>
      <c r="L30" s="587"/>
      <c r="M30" s="587"/>
      <c r="N30" s="587">
        <v>919.31</v>
      </c>
      <c r="O30" s="587"/>
      <c r="P30" s="256">
        <v>90.69</v>
      </c>
      <c r="Q30" s="256"/>
      <c r="R30" s="256"/>
      <c r="S30" s="587">
        <v>919.31</v>
      </c>
      <c r="T30" s="587"/>
      <c r="U30" s="588">
        <v>0</v>
      </c>
      <c r="V30" s="588"/>
      <c r="W30" s="244">
        <v>91.02</v>
      </c>
      <c r="X30" s="240"/>
    </row>
    <row r="31" spans="1:24" ht="10.5" customHeight="1">
      <c r="A31" s="589" t="s">
        <v>31</v>
      </c>
      <c r="B31" s="589"/>
      <c r="C31" s="589"/>
      <c r="D31" s="589" t="s">
        <v>225</v>
      </c>
      <c r="E31" s="589"/>
      <c r="F31" s="589"/>
      <c r="G31" s="243" t="s">
        <v>226</v>
      </c>
      <c r="H31" s="589" t="s">
        <v>227</v>
      </c>
      <c r="I31" s="589"/>
      <c r="J31" s="587">
        <v>59330</v>
      </c>
      <c r="K31" s="587"/>
      <c r="L31" s="587"/>
      <c r="M31" s="587"/>
      <c r="N31" s="587">
        <v>59330</v>
      </c>
      <c r="O31" s="587"/>
      <c r="P31" s="256">
        <v>0</v>
      </c>
      <c r="Q31" s="256"/>
      <c r="R31" s="256"/>
      <c r="S31" s="587">
        <v>59330</v>
      </c>
      <c r="T31" s="587"/>
      <c r="U31" s="588">
        <v>0</v>
      </c>
      <c r="V31" s="588"/>
      <c r="W31" s="244">
        <v>100</v>
      </c>
      <c r="X31" s="240"/>
    </row>
    <row r="32" spans="1:24" s="88" customFormat="1" ht="12">
      <c r="A32" s="589" t="s">
        <v>32</v>
      </c>
      <c r="B32" s="589"/>
      <c r="C32" s="589"/>
      <c r="D32" s="589" t="s">
        <v>225</v>
      </c>
      <c r="E32" s="589"/>
      <c r="F32" s="589"/>
      <c r="G32" s="243" t="s">
        <v>226</v>
      </c>
      <c r="H32" s="589" t="s">
        <v>227</v>
      </c>
      <c r="I32" s="589"/>
      <c r="J32" s="587">
        <v>49333.75</v>
      </c>
      <c r="K32" s="587"/>
      <c r="L32" s="587"/>
      <c r="M32" s="587"/>
      <c r="N32" s="587">
        <v>31855.75</v>
      </c>
      <c r="O32" s="587"/>
      <c r="P32" s="256">
        <v>17478</v>
      </c>
      <c r="Q32" s="256"/>
      <c r="R32" s="256"/>
      <c r="S32" s="587">
        <v>30576</v>
      </c>
      <c r="T32" s="587"/>
      <c r="U32" s="588">
        <v>1279.75</v>
      </c>
      <c r="V32" s="588"/>
      <c r="W32" s="244">
        <v>61.98</v>
      </c>
      <c r="X32" s="240"/>
    </row>
    <row r="33" spans="1:24" ht="12">
      <c r="A33" s="589" t="s">
        <v>33</v>
      </c>
      <c r="B33" s="589"/>
      <c r="C33" s="589"/>
      <c r="D33" s="589" t="s">
        <v>225</v>
      </c>
      <c r="E33" s="589"/>
      <c r="F33" s="589"/>
      <c r="G33" s="243" t="s">
        <v>226</v>
      </c>
      <c r="H33" s="589" t="s">
        <v>227</v>
      </c>
      <c r="I33" s="589"/>
      <c r="J33" s="587">
        <v>22123</v>
      </c>
      <c r="K33" s="587"/>
      <c r="L33" s="587"/>
      <c r="M33" s="587"/>
      <c r="N33" s="587">
        <v>20793</v>
      </c>
      <c r="O33" s="587"/>
      <c r="P33" s="256">
        <v>1330</v>
      </c>
      <c r="Q33" s="256"/>
      <c r="R33" s="256"/>
      <c r="S33" s="587">
        <v>20849</v>
      </c>
      <c r="T33" s="587"/>
      <c r="U33" s="588">
        <v>-56</v>
      </c>
      <c r="V33" s="588"/>
      <c r="W33" s="244">
        <v>94.24</v>
      </c>
      <c r="X33" s="240"/>
    </row>
    <row r="34" spans="1:24" ht="12">
      <c r="A34" s="589" t="s">
        <v>34</v>
      </c>
      <c r="B34" s="589"/>
      <c r="C34" s="589"/>
      <c r="D34" s="589" t="s">
        <v>225</v>
      </c>
      <c r="E34" s="589"/>
      <c r="F34" s="589"/>
      <c r="G34" s="243" t="s">
        <v>226</v>
      </c>
      <c r="H34" s="589" t="s">
        <v>227</v>
      </c>
      <c r="I34" s="589"/>
      <c r="J34" s="587">
        <v>74973</v>
      </c>
      <c r="K34" s="587"/>
      <c r="L34" s="587"/>
      <c r="M34" s="587"/>
      <c r="N34" s="587">
        <v>74973</v>
      </c>
      <c r="O34" s="587"/>
      <c r="P34" s="256">
        <v>0</v>
      </c>
      <c r="Q34" s="256"/>
      <c r="R34" s="256"/>
      <c r="S34" s="587">
        <v>74973</v>
      </c>
      <c r="T34" s="587"/>
      <c r="U34" s="588">
        <v>0</v>
      </c>
      <c r="V34" s="588"/>
      <c r="W34" s="244">
        <v>100</v>
      </c>
      <c r="X34" s="240"/>
    </row>
    <row r="35" spans="1:24" ht="12">
      <c r="A35" s="589" t="s">
        <v>35</v>
      </c>
      <c r="B35" s="589"/>
      <c r="C35" s="589"/>
      <c r="D35" s="589" t="s">
        <v>225</v>
      </c>
      <c r="E35" s="589"/>
      <c r="F35" s="589"/>
      <c r="G35" s="243" t="s">
        <v>226</v>
      </c>
      <c r="H35" s="589" t="s">
        <v>227</v>
      </c>
      <c r="I35" s="589"/>
      <c r="J35" s="587">
        <v>33296</v>
      </c>
      <c r="K35" s="587"/>
      <c r="L35" s="587"/>
      <c r="M35" s="587"/>
      <c r="N35" s="587">
        <v>25269</v>
      </c>
      <c r="O35" s="587"/>
      <c r="P35" s="257">
        <v>8027</v>
      </c>
      <c r="Q35" s="257"/>
      <c r="R35" s="257"/>
      <c r="S35" s="587">
        <v>30473</v>
      </c>
      <c r="T35" s="587"/>
      <c r="U35" s="588">
        <v>-5204</v>
      </c>
      <c r="V35" s="588"/>
      <c r="W35" s="244">
        <v>91.52</v>
      </c>
      <c r="X35" s="240"/>
    </row>
    <row r="36" spans="1:24" ht="10.5">
      <c r="A36" s="245"/>
      <c r="B36" s="245"/>
      <c r="C36" s="245"/>
      <c r="D36" s="245"/>
      <c r="E36" s="245"/>
      <c r="F36" s="245"/>
      <c r="G36" s="245"/>
      <c r="H36" s="245"/>
      <c r="I36" s="245"/>
      <c r="J36" s="245"/>
      <c r="K36" s="245"/>
      <c r="L36" s="245"/>
      <c r="M36" s="245"/>
      <c r="N36" s="245"/>
      <c r="O36" s="245"/>
      <c r="P36" s="245"/>
      <c r="Q36" s="245"/>
      <c r="R36" s="245"/>
      <c r="S36" s="245"/>
      <c r="T36" s="245"/>
      <c r="U36" s="245"/>
      <c r="V36" s="245"/>
      <c r="W36" s="245"/>
      <c r="X36" s="240"/>
    </row>
    <row r="37" spans="1:24" ht="12" thickBot="1">
      <c r="A37" s="240"/>
      <c r="B37" s="240"/>
      <c r="C37" s="240"/>
      <c r="D37" s="240"/>
      <c r="E37" s="240"/>
      <c r="F37" s="240"/>
      <c r="G37" s="240"/>
      <c r="H37" s="240"/>
      <c r="I37" s="240"/>
      <c r="J37" s="585">
        <v>649459.48</v>
      </c>
      <c r="K37" s="585"/>
      <c r="L37" s="585"/>
      <c r="M37" s="585"/>
      <c r="N37" s="585">
        <v>558888.43</v>
      </c>
      <c r="O37" s="585"/>
      <c r="P37" s="259">
        <v>90571.05</v>
      </c>
      <c r="Q37" s="259"/>
      <c r="R37" s="259"/>
      <c r="S37" s="585">
        <v>562368.68</v>
      </c>
      <c r="T37" s="585"/>
      <c r="U37" s="585">
        <v>-3480.25</v>
      </c>
      <c r="V37" s="585"/>
      <c r="W37" s="240"/>
      <c r="X37" s="240"/>
    </row>
    <row r="38" spans="1:24" ht="11.25" thickTop="1">
      <c r="A38" s="246"/>
      <c r="B38" s="246"/>
      <c r="C38" s="246"/>
      <c r="D38" s="246"/>
      <c r="E38" s="246"/>
      <c r="F38" s="246"/>
      <c r="G38" s="246"/>
      <c r="H38" s="246"/>
      <c r="I38" s="246"/>
      <c r="J38" s="246"/>
      <c r="K38" s="246"/>
      <c r="L38" s="246"/>
      <c r="M38" s="246"/>
      <c r="N38" s="246"/>
      <c r="O38" s="246"/>
      <c r="P38" s="246"/>
      <c r="Q38" s="246"/>
      <c r="R38" s="246"/>
      <c r="S38" s="246"/>
      <c r="T38" s="246"/>
      <c r="U38" s="246"/>
      <c r="V38" s="246"/>
      <c r="W38" s="246"/>
      <c r="X38" s="240"/>
    </row>
    <row r="39" spans="1:24" ht="12">
      <c r="A39" s="586" t="s">
        <v>229</v>
      </c>
      <c r="B39" s="586"/>
      <c r="C39" s="586"/>
      <c r="D39" s="586"/>
      <c r="E39" s="586"/>
      <c r="F39" s="586"/>
      <c r="G39" s="586"/>
      <c r="H39" s="586"/>
      <c r="I39" s="240"/>
      <c r="J39" s="584">
        <v>708802.58</v>
      </c>
      <c r="K39" s="584"/>
      <c r="L39" s="584"/>
      <c r="M39" s="584"/>
      <c r="N39" s="584">
        <v>607019.88</v>
      </c>
      <c r="O39" s="584"/>
      <c r="P39" s="258">
        <v>101782.7</v>
      </c>
      <c r="Q39" s="258"/>
      <c r="R39" s="258"/>
      <c r="S39" s="584">
        <v>611748.13</v>
      </c>
      <c r="T39" s="584"/>
      <c r="U39" s="584">
        <v>-4728.25</v>
      </c>
      <c r="V39" s="584"/>
      <c r="W39" s="240"/>
      <c r="X39" s="240"/>
    </row>
    <row r="40" spans="1:24" ht="12">
      <c r="A40" s="558" t="s">
        <v>211</v>
      </c>
      <c r="B40" s="558"/>
      <c r="C40" s="590" t="s">
        <v>230</v>
      </c>
      <c r="D40" s="590"/>
      <c r="E40" s="590"/>
      <c r="F40" s="590"/>
      <c r="G40" s="590"/>
      <c r="H40" s="590"/>
      <c r="I40" s="590"/>
      <c r="J40" s="590"/>
      <c r="K40" s="590"/>
      <c r="L40" s="240"/>
      <c r="M40" s="240"/>
      <c r="N40" s="240"/>
      <c r="O40" s="240"/>
      <c r="P40" s="240"/>
      <c r="Q40" s="240"/>
      <c r="R40" s="240"/>
      <c r="S40" s="240"/>
      <c r="T40" s="240"/>
      <c r="U40" s="240"/>
      <c r="V40" s="240"/>
      <c r="W40" s="240"/>
      <c r="X40" s="240"/>
    </row>
    <row r="41" spans="1:24" ht="10.5">
      <c r="A41" s="558"/>
      <c r="B41" s="558"/>
      <c r="C41" s="240"/>
      <c r="D41" s="240"/>
      <c r="E41" s="240"/>
      <c r="F41" s="240"/>
      <c r="G41" s="240"/>
      <c r="H41" s="240"/>
      <c r="I41" s="240"/>
      <c r="J41" s="240"/>
      <c r="K41" s="240"/>
      <c r="L41" s="240"/>
      <c r="M41" s="240"/>
      <c r="N41" s="240"/>
      <c r="O41" s="240"/>
      <c r="P41" s="240"/>
      <c r="Q41" s="240"/>
      <c r="R41" s="240"/>
      <c r="S41" s="240"/>
      <c r="T41" s="240"/>
      <c r="U41" s="240"/>
      <c r="V41" s="240"/>
      <c r="W41" s="240"/>
      <c r="X41" s="240"/>
    </row>
    <row r="42" spans="1:24" ht="12">
      <c r="A42" s="240"/>
      <c r="B42" s="558" t="s">
        <v>213</v>
      </c>
      <c r="C42" s="558"/>
      <c r="D42" s="590" t="s">
        <v>214</v>
      </c>
      <c r="E42" s="590"/>
      <c r="F42" s="590"/>
      <c r="G42" s="590"/>
      <c r="H42" s="590"/>
      <c r="I42" s="590"/>
      <c r="J42" s="590"/>
      <c r="K42" s="590"/>
      <c r="L42" s="590"/>
      <c r="M42" s="590"/>
      <c r="N42" s="240"/>
      <c r="O42" s="240"/>
      <c r="P42" s="240"/>
      <c r="Q42" s="240"/>
      <c r="R42" s="240"/>
      <c r="S42" s="240"/>
      <c r="T42" s="240"/>
      <c r="U42" s="240"/>
      <c r="V42" s="240"/>
      <c r="W42" s="240"/>
      <c r="X42" s="240"/>
    </row>
    <row r="43" spans="1:24" ht="12">
      <c r="A43" s="558" t="s">
        <v>215</v>
      </c>
      <c r="B43" s="558"/>
      <c r="C43" s="240"/>
      <c r="D43" s="240"/>
      <c r="E43" s="591" t="s">
        <v>216</v>
      </c>
      <c r="F43" s="591"/>
      <c r="G43" s="591"/>
      <c r="H43" s="591"/>
      <c r="I43" s="591"/>
      <c r="J43" s="586" t="s">
        <v>5</v>
      </c>
      <c r="K43" s="586"/>
      <c r="L43" s="586"/>
      <c r="M43" s="586"/>
      <c r="N43" s="586" t="s">
        <v>217</v>
      </c>
      <c r="O43" s="586"/>
      <c r="P43" s="561" t="s">
        <v>218</v>
      </c>
      <c r="Q43" s="561"/>
      <c r="R43" s="240"/>
      <c r="S43" s="586" t="s">
        <v>219</v>
      </c>
      <c r="T43" s="586"/>
      <c r="U43" s="240"/>
      <c r="V43" s="241" t="s">
        <v>220</v>
      </c>
      <c r="W43" s="241" t="s">
        <v>221</v>
      </c>
      <c r="X43" s="240"/>
    </row>
    <row r="44" spans="1:24" ht="12">
      <c r="A44" s="558"/>
      <c r="B44" s="558"/>
      <c r="C44" s="240"/>
      <c r="D44" s="240"/>
      <c r="E44" s="558" t="s">
        <v>222</v>
      </c>
      <c r="F44" s="558"/>
      <c r="G44" s="558"/>
      <c r="H44" s="558"/>
      <c r="I44" s="558"/>
      <c r="J44" s="561" t="s">
        <v>223</v>
      </c>
      <c r="K44" s="561"/>
      <c r="L44" s="561"/>
      <c r="M44" s="561"/>
      <c r="N44" s="561" t="s">
        <v>224</v>
      </c>
      <c r="O44" s="561"/>
      <c r="P44" s="561"/>
      <c r="Q44" s="561"/>
      <c r="R44" s="240"/>
      <c r="S44" s="561" t="s">
        <v>224</v>
      </c>
      <c r="T44" s="561"/>
      <c r="U44" s="240"/>
      <c r="V44" s="242" t="s">
        <v>115</v>
      </c>
      <c r="W44" s="242" t="s">
        <v>219</v>
      </c>
      <c r="X44" s="240"/>
    </row>
    <row r="45" spans="1:24" ht="12">
      <c r="A45" s="589" t="s">
        <v>36</v>
      </c>
      <c r="B45" s="589"/>
      <c r="C45" s="589"/>
      <c r="D45" s="589" t="s">
        <v>225</v>
      </c>
      <c r="E45" s="589"/>
      <c r="F45" s="589"/>
      <c r="G45" s="243" t="s">
        <v>226</v>
      </c>
      <c r="H45" s="589" t="s">
        <v>227</v>
      </c>
      <c r="I45" s="589"/>
      <c r="J45" s="587">
        <v>33490</v>
      </c>
      <c r="K45" s="587"/>
      <c r="L45" s="587"/>
      <c r="M45" s="587"/>
      <c r="N45" s="587">
        <v>25273</v>
      </c>
      <c r="O45" s="587"/>
      <c r="P45" s="256">
        <v>8217</v>
      </c>
      <c r="Q45" s="256"/>
      <c r="R45" s="256"/>
      <c r="S45" s="587">
        <v>25273</v>
      </c>
      <c r="T45" s="587"/>
      <c r="U45" s="588">
        <v>0</v>
      </c>
      <c r="V45" s="588"/>
      <c r="W45" s="244">
        <v>75.46</v>
      </c>
      <c r="X45" s="240"/>
    </row>
    <row r="46" spans="1:24" ht="12">
      <c r="A46" s="589" t="s">
        <v>37</v>
      </c>
      <c r="B46" s="589"/>
      <c r="C46" s="589"/>
      <c r="D46" s="589" t="s">
        <v>225</v>
      </c>
      <c r="E46" s="589"/>
      <c r="F46" s="589"/>
      <c r="G46" s="243" t="s">
        <v>226</v>
      </c>
      <c r="H46" s="589" t="s">
        <v>227</v>
      </c>
      <c r="I46" s="589"/>
      <c r="J46" s="587">
        <v>12911</v>
      </c>
      <c r="K46" s="587"/>
      <c r="L46" s="587"/>
      <c r="M46" s="587"/>
      <c r="N46" s="587">
        <v>7882.48</v>
      </c>
      <c r="O46" s="587"/>
      <c r="P46" s="256">
        <v>5028.52</v>
      </c>
      <c r="Q46" s="256"/>
      <c r="R46" s="256"/>
      <c r="S46" s="587">
        <v>8882.48</v>
      </c>
      <c r="T46" s="587"/>
      <c r="U46" s="588">
        <v>-1000</v>
      </c>
      <c r="V46" s="588"/>
      <c r="W46" s="244">
        <v>68.8</v>
      </c>
      <c r="X46" s="240"/>
    </row>
    <row r="47" spans="1:24" ht="12">
      <c r="A47" s="589" t="s">
        <v>31</v>
      </c>
      <c r="B47" s="589"/>
      <c r="C47" s="589"/>
      <c r="D47" s="589" t="s">
        <v>225</v>
      </c>
      <c r="E47" s="589"/>
      <c r="F47" s="589"/>
      <c r="G47" s="243" t="s">
        <v>226</v>
      </c>
      <c r="H47" s="589" t="s">
        <v>227</v>
      </c>
      <c r="I47" s="589"/>
      <c r="J47" s="587">
        <v>6509.25</v>
      </c>
      <c r="K47" s="587"/>
      <c r="L47" s="587"/>
      <c r="M47" s="587"/>
      <c r="N47" s="587">
        <v>5313.16</v>
      </c>
      <c r="O47" s="587"/>
      <c r="P47" s="256">
        <v>1196.09</v>
      </c>
      <c r="Q47" s="256"/>
      <c r="R47" s="256"/>
      <c r="S47" s="587">
        <v>5313.16</v>
      </c>
      <c r="T47" s="587"/>
      <c r="U47" s="588">
        <v>0</v>
      </c>
      <c r="V47" s="588"/>
      <c r="W47" s="244">
        <v>81.62</v>
      </c>
      <c r="X47" s="240"/>
    </row>
    <row r="48" spans="1:24" ht="12">
      <c r="A48" s="589" t="s">
        <v>32</v>
      </c>
      <c r="B48" s="589"/>
      <c r="C48" s="589"/>
      <c r="D48" s="589" t="s">
        <v>225</v>
      </c>
      <c r="E48" s="589"/>
      <c r="F48" s="589"/>
      <c r="G48" s="243" t="s">
        <v>226</v>
      </c>
      <c r="H48" s="589" t="s">
        <v>227</v>
      </c>
      <c r="I48" s="589"/>
      <c r="J48" s="587">
        <v>9364</v>
      </c>
      <c r="K48" s="587"/>
      <c r="L48" s="587"/>
      <c r="M48" s="587"/>
      <c r="N48" s="587">
        <v>5790</v>
      </c>
      <c r="O48" s="587"/>
      <c r="P48" s="256">
        <v>3574</v>
      </c>
      <c r="Q48" s="256"/>
      <c r="R48" s="256"/>
      <c r="S48" s="587">
        <v>5153</v>
      </c>
      <c r="T48" s="587"/>
      <c r="U48" s="588">
        <v>637</v>
      </c>
      <c r="V48" s="588"/>
      <c r="W48" s="244">
        <v>55.03</v>
      </c>
      <c r="X48" s="240"/>
    </row>
    <row r="49" spans="1:24" s="94" customFormat="1" ht="12">
      <c r="A49" s="589" t="s">
        <v>38</v>
      </c>
      <c r="B49" s="589"/>
      <c r="C49" s="589"/>
      <c r="D49" s="589" t="s">
        <v>225</v>
      </c>
      <c r="E49" s="589"/>
      <c r="F49" s="589"/>
      <c r="G49" s="243" t="s">
        <v>226</v>
      </c>
      <c r="H49" s="589" t="s">
        <v>227</v>
      </c>
      <c r="I49" s="589"/>
      <c r="J49" s="587">
        <v>6414</v>
      </c>
      <c r="K49" s="587"/>
      <c r="L49" s="587"/>
      <c r="M49" s="587"/>
      <c r="N49" s="587">
        <v>5986</v>
      </c>
      <c r="O49" s="587"/>
      <c r="P49" s="257">
        <v>428</v>
      </c>
      <c r="Q49" s="257"/>
      <c r="R49" s="257"/>
      <c r="S49" s="587">
        <v>5986</v>
      </c>
      <c r="T49" s="587"/>
      <c r="U49" s="588">
        <v>0</v>
      </c>
      <c r="V49" s="588"/>
      <c r="W49" s="244">
        <v>93.33</v>
      </c>
      <c r="X49" s="240"/>
    </row>
    <row r="50" spans="1:24" ht="9.75" customHeight="1">
      <c r="A50" s="245"/>
      <c r="B50" s="245"/>
      <c r="C50" s="245"/>
      <c r="D50" s="245"/>
      <c r="E50" s="245"/>
      <c r="F50" s="245"/>
      <c r="G50" s="245"/>
      <c r="H50" s="245"/>
      <c r="I50" s="245"/>
      <c r="J50" s="245"/>
      <c r="K50" s="245"/>
      <c r="L50" s="245"/>
      <c r="M50" s="245"/>
      <c r="N50" s="245"/>
      <c r="O50" s="245"/>
      <c r="P50" s="245"/>
      <c r="Q50" s="245"/>
      <c r="R50" s="245"/>
      <c r="S50" s="245"/>
      <c r="T50" s="245"/>
      <c r="U50" s="245"/>
      <c r="V50" s="245"/>
      <c r="W50" s="245"/>
      <c r="X50" s="240"/>
    </row>
    <row r="51" spans="1:24" s="88" customFormat="1" ht="11.25">
      <c r="A51" s="240"/>
      <c r="B51" s="240"/>
      <c r="C51" s="240"/>
      <c r="D51" s="240"/>
      <c r="E51" s="240"/>
      <c r="F51" s="240"/>
      <c r="G51" s="240"/>
      <c r="H51" s="240"/>
      <c r="I51" s="240"/>
      <c r="J51" s="585">
        <v>68688.25</v>
      </c>
      <c r="K51" s="585"/>
      <c r="L51" s="585"/>
      <c r="M51" s="585"/>
      <c r="N51" s="585">
        <v>50244.64</v>
      </c>
      <c r="O51" s="585"/>
      <c r="P51" s="258">
        <v>18443.61</v>
      </c>
      <c r="Q51" s="258"/>
      <c r="R51" s="258"/>
      <c r="S51" s="585">
        <v>50607.64</v>
      </c>
      <c r="T51" s="585"/>
      <c r="U51" s="585">
        <v>-363</v>
      </c>
      <c r="V51" s="585"/>
      <c r="W51" s="240"/>
      <c r="X51" s="240"/>
    </row>
    <row r="52" spans="1:24" ht="12">
      <c r="A52" s="240"/>
      <c r="B52" s="558" t="s">
        <v>213</v>
      </c>
      <c r="C52" s="558"/>
      <c r="D52" s="590" t="s">
        <v>228</v>
      </c>
      <c r="E52" s="590"/>
      <c r="F52" s="590"/>
      <c r="G52" s="590"/>
      <c r="H52" s="590"/>
      <c r="I52" s="590"/>
      <c r="J52" s="590"/>
      <c r="K52" s="590"/>
      <c r="L52" s="590"/>
      <c r="M52" s="590"/>
      <c r="N52" s="240"/>
      <c r="O52" s="240"/>
      <c r="P52" s="240"/>
      <c r="Q52" s="240"/>
      <c r="R52" s="240"/>
      <c r="S52" s="240"/>
      <c r="T52" s="240"/>
      <c r="U52" s="240"/>
      <c r="V52" s="240"/>
      <c r="W52" s="240"/>
      <c r="X52" s="240"/>
    </row>
    <row r="53" spans="1:24" ht="12">
      <c r="A53" s="558" t="s">
        <v>215</v>
      </c>
      <c r="B53" s="558"/>
      <c r="C53" s="240"/>
      <c r="D53" s="240"/>
      <c r="E53" s="591" t="s">
        <v>216</v>
      </c>
      <c r="F53" s="591"/>
      <c r="G53" s="591"/>
      <c r="H53" s="591"/>
      <c r="I53" s="591"/>
      <c r="J53" s="586" t="s">
        <v>5</v>
      </c>
      <c r="K53" s="586"/>
      <c r="L53" s="586"/>
      <c r="M53" s="586"/>
      <c r="N53" s="586" t="s">
        <v>217</v>
      </c>
      <c r="O53" s="586"/>
      <c r="P53" s="561" t="s">
        <v>218</v>
      </c>
      <c r="Q53" s="561"/>
      <c r="R53" s="240"/>
      <c r="S53" s="586" t="s">
        <v>219</v>
      </c>
      <c r="T53" s="586"/>
      <c r="U53" s="240"/>
      <c r="V53" s="241" t="s">
        <v>220</v>
      </c>
      <c r="W53" s="241" t="s">
        <v>221</v>
      </c>
      <c r="X53" s="240"/>
    </row>
    <row r="54" spans="1:24" ht="12">
      <c r="A54" s="558"/>
      <c r="B54" s="558"/>
      <c r="C54" s="240"/>
      <c r="D54" s="240"/>
      <c r="E54" s="558" t="s">
        <v>222</v>
      </c>
      <c r="F54" s="558"/>
      <c r="G54" s="558"/>
      <c r="H54" s="558"/>
      <c r="I54" s="558"/>
      <c r="J54" s="561" t="s">
        <v>223</v>
      </c>
      <c r="K54" s="561"/>
      <c r="L54" s="561"/>
      <c r="M54" s="561"/>
      <c r="N54" s="561" t="s">
        <v>224</v>
      </c>
      <c r="O54" s="561"/>
      <c r="P54" s="561"/>
      <c r="Q54" s="561"/>
      <c r="R54" s="240"/>
      <c r="S54" s="561" t="s">
        <v>224</v>
      </c>
      <c r="T54" s="561"/>
      <c r="U54" s="240"/>
      <c r="V54" s="242" t="s">
        <v>115</v>
      </c>
      <c r="W54" s="242" t="s">
        <v>219</v>
      </c>
      <c r="X54" s="240"/>
    </row>
    <row r="55" spans="1:24" ht="12">
      <c r="A55" s="589" t="s">
        <v>36</v>
      </c>
      <c r="B55" s="589"/>
      <c r="C55" s="589"/>
      <c r="D55" s="589" t="s">
        <v>225</v>
      </c>
      <c r="E55" s="589"/>
      <c r="F55" s="589"/>
      <c r="G55" s="243" t="s">
        <v>226</v>
      </c>
      <c r="H55" s="589" t="s">
        <v>227</v>
      </c>
      <c r="I55" s="589"/>
      <c r="J55" s="587">
        <v>396083</v>
      </c>
      <c r="K55" s="587"/>
      <c r="L55" s="587"/>
      <c r="M55" s="587"/>
      <c r="N55" s="587">
        <v>274981</v>
      </c>
      <c r="O55" s="587"/>
      <c r="P55" s="256">
        <v>121102</v>
      </c>
      <c r="Q55" s="256"/>
      <c r="R55" s="256"/>
      <c r="S55" s="587">
        <v>274981</v>
      </c>
      <c r="T55" s="587"/>
      <c r="U55" s="588">
        <v>0</v>
      </c>
      <c r="V55" s="588"/>
      <c r="W55" s="244">
        <v>69.43</v>
      </c>
      <c r="X55" s="240"/>
    </row>
    <row r="56" spans="1:24" ht="12">
      <c r="A56" s="589" t="s">
        <v>37</v>
      </c>
      <c r="B56" s="589"/>
      <c r="C56" s="589"/>
      <c r="D56" s="589" t="s">
        <v>225</v>
      </c>
      <c r="E56" s="589"/>
      <c r="F56" s="589"/>
      <c r="G56" s="243" t="s">
        <v>226</v>
      </c>
      <c r="H56" s="589" t="s">
        <v>227</v>
      </c>
      <c r="I56" s="589"/>
      <c r="J56" s="587">
        <v>148400</v>
      </c>
      <c r="K56" s="587"/>
      <c r="L56" s="587"/>
      <c r="M56" s="587"/>
      <c r="N56" s="587">
        <v>112579.02</v>
      </c>
      <c r="O56" s="587"/>
      <c r="P56" s="256">
        <v>35820.98</v>
      </c>
      <c r="Q56" s="256"/>
      <c r="R56" s="256"/>
      <c r="S56" s="587">
        <v>121441.01</v>
      </c>
      <c r="T56" s="587"/>
      <c r="U56" s="588">
        <v>-8861.99</v>
      </c>
      <c r="V56" s="588"/>
      <c r="W56" s="244">
        <v>81.83</v>
      </c>
      <c r="X56" s="240"/>
    </row>
    <row r="57" spans="1:24" ht="12">
      <c r="A57" s="589" t="s">
        <v>31</v>
      </c>
      <c r="B57" s="589"/>
      <c r="C57" s="589"/>
      <c r="D57" s="589" t="s">
        <v>225</v>
      </c>
      <c r="E57" s="589"/>
      <c r="F57" s="589"/>
      <c r="G57" s="243" t="s">
        <v>226</v>
      </c>
      <c r="H57" s="589" t="s">
        <v>227</v>
      </c>
      <c r="I57" s="589"/>
      <c r="J57" s="587">
        <v>102302.5</v>
      </c>
      <c r="K57" s="587"/>
      <c r="L57" s="587"/>
      <c r="M57" s="587"/>
      <c r="N57" s="587">
        <v>102302.5</v>
      </c>
      <c r="O57" s="587"/>
      <c r="P57" s="256">
        <v>0</v>
      </c>
      <c r="Q57" s="256"/>
      <c r="R57" s="256"/>
      <c r="S57" s="587">
        <v>102302.5</v>
      </c>
      <c r="T57" s="587"/>
      <c r="U57" s="588">
        <v>0</v>
      </c>
      <c r="V57" s="588"/>
      <c r="W57" s="244">
        <v>100</v>
      </c>
      <c r="X57" s="240"/>
    </row>
    <row r="58" spans="1:24" ht="12">
      <c r="A58" s="589" t="s">
        <v>32</v>
      </c>
      <c r="B58" s="589"/>
      <c r="C58" s="589"/>
      <c r="D58" s="589" t="s">
        <v>225</v>
      </c>
      <c r="E58" s="589"/>
      <c r="F58" s="589"/>
      <c r="G58" s="243" t="s">
        <v>226</v>
      </c>
      <c r="H58" s="589" t="s">
        <v>227</v>
      </c>
      <c r="I58" s="589"/>
      <c r="J58" s="587">
        <v>107640</v>
      </c>
      <c r="K58" s="587"/>
      <c r="L58" s="587"/>
      <c r="M58" s="587"/>
      <c r="N58" s="587">
        <v>80960</v>
      </c>
      <c r="O58" s="587"/>
      <c r="P58" s="256">
        <v>26680</v>
      </c>
      <c r="Q58" s="256"/>
      <c r="R58" s="256"/>
      <c r="S58" s="587">
        <v>77257</v>
      </c>
      <c r="T58" s="587"/>
      <c r="U58" s="588">
        <v>3703</v>
      </c>
      <c r="V58" s="588"/>
      <c r="W58" s="244">
        <v>71.77</v>
      </c>
      <c r="X58" s="240"/>
    </row>
    <row r="59" spans="1:24" ht="12">
      <c r="A59" s="589" t="s">
        <v>38</v>
      </c>
      <c r="B59" s="589"/>
      <c r="C59" s="589"/>
      <c r="D59" s="589" t="s">
        <v>225</v>
      </c>
      <c r="E59" s="589"/>
      <c r="F59" s="589"/>
      <c r="G59" s="243" t="s">
        <v>226</v>
      </c>
      <c r="H59" s="589" t="s">
        <v>227</v>
      </c>
      <c r="I59" s="589"/>
      <c r="J59" s="587">
        <v>79699</v>
      </c>
      <c r="K59" s="587"/>
      <c r="L59" s="587"/>
      <c r="M59" s="587"/>
      <c r="N59" s="587">
        <v>55351</v>
      </c>
      <c r="O59" s="587"/>
      <c r="P59" s="257">
        <v>24348</v>
      </c>
      <c r="Q59" s="257"/>
      <c r="R59" s="257"/>
      <c r="S59" s="587">
        <v>55351</v>
      </c>
      <c r="T59" s="587"/>
      <c r="U59" s="588">
        <v>0</v>
      </c>
      <c r="V59" s="588"/>
      <c r="W59" s="244">
        <v>69.45</v>
      </c>
      <c r="X59" s="240"/>
    </row>
    <row r="60" spans="1:24" ht="10.5">
      <c r="A60" s="245"/>
      <c r="B60" s="245"/>
      <c r="C60" s="245"/>
      <c r="D60" s="245"/>
      <c r="E60" s="245"/>
      <c r="F60" s="245"/>
      <c r="G60" s="245"/>
      <c r="H60" s="245"/>
      <c r="I60" s="245"/>
      <c r="J60" s="245"/>
      <c r="K60" s="245"/>
      <c r="L60" s="245"/>
      <c r="M60" s="245"/>
      <c r="N60" s="245"/>
      <c r="O60" s="245"/>
      <c r="P60" s="245"/>
      <c r="Q60" s="245"/>
      <c r="R60" s="245"/>
      <c r="S60" s="245"/>
      <c r="T60" s="245"/>
      <c r="U60" s="245"/>
      <c r="V60" s="245"/>
      <c r="W60" s="245"/>
      <c r="X60" s="240"/>
    </row>
    <row r="61" spans="1:24" ht="12" thickBot="1">
      <c r="A61" s="240"/>
      <c r="B61" s="240"/>
      <c r="C61" s="240"/>
      <c r="D61" s="240"/>
      <c r="E61" s="240"/>
      <c r="F61" s="240"/>
      <c r="G61" s="240"/>
      <c r="H61" s="240"/>
      <c r="I61" s="240"/>
      <c r="J61" s="585">
        <v>834124.5</v>
      </c>
      <c r="K61" s="585"/>
      <c r="L61" s="585"/>
      <c r="M61" s="585"/>
      <c r="N61" s="585">
        <v>626173.52</v>
      </c>
      <c r="O61" s="585"/>
      <c r="P61" s="259">
        <v>207950.98</v>
      </c>
      <c r="Q61" s="259"/>
      <c r="R61" s="259"/>
      <c r="S61" s="585">
        <v>631332.51</v>
      </c>
      <c r="T61" s="585"/>
      <c r="U61" s="585">
        <v>-5158.99</v>
      </c>
      <c r="V61" s="585"/>
      <c r="W61" s="240"/>
      <c r="X61" s="240"/>
    </row>
    <row r="62" spans="1:24" ht="11.25" thickTop="1">
      <c r="A62" s="246"/>
      <c r="B62" s="246"/>
      <c r="C62" s="246"/>
      <c r="D62" s="246"/>
      <c r="E62" s="246"/>
      <c r="F62" s="246"/>
      <c r="G62" s="246"/>
      <c r="H62" s="246"/>
      <c r="I62" s="246"/>
      <c r="J62" s="246"/>
      <c r="K62" s="246"/>
      <c r="L62" s="246"/>
      <c r="M62" s="246"/>
      <c r="N62" s="246"/>
      <c r="O62" s="246"/>
      <c r="P62" s="246"/>
      <c r="Q62" s="246"/>
      <c r="R62" s="246"/>
      <c r="S62" s="246"/>
      <c r="T62" s="246"/>
      <c r="U62" s="246"/>
      <c r="V62" s="246"/>
      <c r="W62" s="246"/>
      <c r="X62" s="240"/>
    </row>
    <row r="63" spans="1:24" ht="12">
      <c r="A63" s="586" t="s">
        <v>231</v>
      </c>
      <c r="B63" s="586"/>
      <c r="C63" s="586"/>
      <c r="D63" s="586"/>
      <c r="E63" s="586"/>
      <c r="F63" s="586"/>
      <c r="G63" s="586"/>
      <c r="H63" s="586"/>
      <c r="I63" s="240"/>
      <c r="J63" s="584">
        <v>902812.75</v>
      </c>
      <c r="K63" s="584"/>
      <c r="L63" s="584"/>
      <c r="M63" s="584"/>
      <c r="N63" s="584">
        <v>676418.16</v>
      </c>
      <c r="O63" s="584"/>
      <c r="P63" s="258">
        <v>226394.59</v>
      </c>
      <c r="Q63" s="258"/>
      <c r="R63" s="258"/>
      <c r="S63" s="584">
        <v>681940.15</v>
      </c>
      <c r="T63" s="584"/>
      <c r="U63" s="584">
        <v>-5521.99</v>
      </c>
      <c r="V63" s="584"/>
      <c r="W63" s="240"/>
      <c r="X63" s="240"/>
    </row>
    <row r="64" spans="1:24" ht="12">
      <c r="A64" s="558" t="s">
        <v>211</v>
      </c>
      <c r="B64" s="558"/>
      <c r="C64" s="590" t="s">
        <v>232</v>
      </c>
      <c r="D64" s="590"/>
      <c r="E64" s="590"/>
      <c r="F64" s="590"/>
      <c r="G64" s="590"/>
      <c r="H64" s="590"/>
      <c r="I64" s="590"/>
      <c r="J64" s="590"/>
      <c r="K64" s="590"/>
      <c r="L64" s="240"/>
      <c r="M64" s="240"/>
      <c r="N64" s="240"/>
      <c r="O64" s="240"/>
      <c r="P64" s="240"/>
      <c r="Q64" s="240"/>
      <c r="R64" s="240"/>
      <c r="S64" s="240"/>
      <c r="T64" s="240"/>
      <c r="U64" s="240"/>
      <c r="V64" s="240"/>
      <c r="W64" s="240"/>
      <c r="X64" s="240"/>
    </row>
    <row r="65" spans="1:24" ht="10.5">
      <c r="A65" s="558"/>
      <c r="B65" s="558"/>
      <c r="C65" s="240"/>
      <c r="D65" s="240"/>
      <c r="E65" s="240"/>
      <c r="F65" s="240"/>
      <c r="G65" s="240"/>
      <c r="H65" s="240"/>
      <c r="I65" s="240"/>
      <c r="J65" s="240"/>
      <c r="K65" s="240"/>
      <c r="L65" s="240"/>
      <c r="M65" s="240"/>
      <c r="N65" s="240"/>
      <c r="O65" s="240"/>
      <c r="P65" s="240"/>
      <c r="Q65" s="240"/>
      <c r="R65" s="240"/>
      <c r="S65" s="240"/>
      <c r="T65" s="240"/>
      <c r="U65" s="240"/>
      <c r="V65" s="240"/>
      <c r="W65" s="240"/>
      <c r="X65" s="240"/>
    </row>
    <row r="66" spans="1:24" ht="12">
      <c r="A66" s="240"/>
      <c r="B66" s="558" t="s">
        <v>213</v>
      </c>
      <c r="C66" s="558"/>
      <c r="D66" s="590" t="s">
        <v>75</v>
      </c>
      <c r="E66" s="590"/>
      <c r="F66" s="590"/>
      <c r="G66" s="590"/>
      <c r="H66" s="590"/>
      <c r="I66" s="590"/>
      <c r="J66" s="590"/>
      <c r="K66" s="590"/>
      <c r="L66" s="590"/>
      <c r="M66" s="590"/>
      <c r="N66" s="240"/>
      <c r="O66" s="240"/>
      <c r="P66" s="240"/>
      <c r="Q66" s="240"/>
      <c r="R66" s="240"/>
      <c r="S66" s="240"/>
      <c r="T66" s="240"/>
      <c r="U66" s="240"/>
      <c r="V66" s="240"/>
      <c r="W66" s="240"/>
      <c r="X66" s="240"/>
    </row>
    <row r="67" spans="1:24" ht="12">
      <c r="A67" s="558" t="s">
        <v>215</v>
      </c>
      <c r="B67" s="558"/>
      <c r="C67" s="240"/>
      <c r="D67" s="240"/>
      <c r="E67" s="591" t="s">
        <v>216</v>
      </c>
      <c r="F67" s="591"/>
      <c r="G67" s="591"/>
      <c r="H67" s="591"/>
      <c r="I67" s="591"/>
      <c r="J67" s="586" t="s">
        <v>5</v>
      </c>
      <c r="K67" s="586"/>
      <c r="L67" s="586"/>
      <c r="M67" s="586"/>
      <c r="N67" s="586" t="s">
        <v>217</v>
      </c>
      <c r="O67" s="586"/>
      <c r="P67" s="561" t="s">
        <v>218</v>
      </c>
      <c r="Q67" s="561"/>
      <c r="R67" s="240"/>
      <c r="S67" s="586" t="s">
        <v>219</v>
      </c>
      <c r="T67" s="586"/>
      <c r="U67" s="240"/>
      <c r="V67" s="241" t="s">
        <v>220</v>
      </c>
      <c r="W67" s="241" t="s">
        <v>221</v>
      </c>
      <c r="X67" s="240"/>
    </row>
    <row r="68" spans="1:24" s="94" customFormat="1" ht="12">
      <c r="A68" s="558"/>
      <c r="B68" s="558"/>
      <c r="C68" s="240"/>
      <c r="D68" s="240"/>
      <c r="E68" s="558" t="s">
        <v>222</v>
      </c>
      <c r="F68" s="558"/>
      <c r="G68" s="558"/>
      <c r="H68" s="558"/>
      <c r="I68" s="558"/>
      <c r="J68" s="561" t="s">
        <v>223</v>
      </c>
      <c r="K68" s="561"/>
      <c r="L68" s="561"/>
      <c r="M68" s="561"/>
      <c r="N68" s="561" t="s">
        <v>224</v>
      </c>
      <c r="O68" s="561"/>
      <c r="P68" s="561"/>
      <c r="Q68" s="561"/>
      <c r="R68" s="240"/>
      <c r="S68" s="561" t="s">
        <v>224</v>
      </c>
      <c r="T68" s="561"/>
      <c r="U68" s="240"/>
      <c r="V68" s="242" t="s">
        <v>115</v>
      </c>
      <c r="W68" s="242" t="s">
        <v>219</v>
      </c>
      <c r="X68" s="240"/>
    </row>
    <row r="69" spans="1:24" ht="9" customHeight="1">
      <c r="A69" s="589" t="s">
        <v>39</v>
      </c>
      <c r="B69" s="589"/>
      <c r="C69" s="589"/>
      <c r="D69" s="589" t="s">
        <v>225</v>
      </c>
      <c r="E69" s="589"/>
      <c r="F69" s="589"/>
      <c r="G69" s="243" t="s">
        <v>226</v>
      </c>
      <c r="H69" s="589" t="s">
        <v>227</v>
      </c>
      <c r="I69" s="589"/>
      <c r="J69" s="587">
        <v>53087</v>
      </c>
      <c r="K69" s="587"/>
      <c r="L69" s="587"/>
      <c r="M69" s="587"/>
      <c r="N69" s="587">
        <v>53087</v>
      </c>
      <c r="O69" s="587"/>
      <c r="P69" s="257">
        <v>0</v>
      </c>
      <c r="Q69" s="257"/>
      <c r="R69" s="257"/>
      <c r="S69" s="587">
        <v>53087</v>
      </c>
      <c r="T69" s="587"/>
      <c r="U69" s="588">
        <v>0</v>
      </c>
      <c r="V69" s="588"/>
      <c r="W69" s="244">
        <v>100</v>
      </c>
      <c r="X69" s="240"/>
    </row>
    <row r="70" spans="1:24" s="88" customFormat="1" ht="10.5">
      <c r="A70" s="245"/>
      <c r="B70" s="245"/>
      <c r="C70" s="245"/>
      <c r="D70" s="245"/>
      <c r="E70" s="245"/>
      <c r="F70" s="245"/>
      <c r="G70" s="245"/>
      <c r="H70" s="245"/>
      <c r="I70" s="245"/>
      <c r="J70" s="245"/>
      <c r="K70" s="245"/>
      <c r="L70" s="245"/>
      <c r="M70" s="245"/>
      <c r="N70" s="245"/>
      <c r="O70" s="245"/>
      <c r="P70" s="245"/>
      <c r="Q70" s="245"/>
      <c r="R70" s="245"/>
      <c r="S70" s="245"/>
      <c r="T70" s="245"/>
      <c r="U70" s="245"/>
      <c r="V70" s="245"/>
      <c r="W70" s="245"/>
      <c r="X70" s="240"/>
    </row>
    <row r="71" spans="1:24" ht="12" thickBot="1">
      <c r="A71" s="240"/>
      <c r="B71" s="240"/>
      <c r="C71" s="240"/>
      <c r="D71" s="240"/>
      <c r="E71" s="240"/>
      <c r="F71" s="240"/>
      <c r="G71" s="240"/>
      <c r="H71" s="240"/>
      <c r="I71" s="240"/>
      <c r="J71" s="585">
        <v>53087</v>
      </c>
      <c r="K71" s="585"/>
      <c r="L71" s="585"/>
      <c r="M71" s="585"/>
      <c r="N71" s="585">
        <v>53087</v>
      </c>
      <c r="O71" s="585"/>
      <c r="P71" s="259">
        <v>0</v>
      </c>
      <c r="Q71" s="259"/>
      <c r="R71" s="259"/>
      <c r="S71" s="585">
        <v>53087</v>
      </c>
      <c r="T71" s="585"/>
      <c r="U71" s="585">
        <v>0</v>
      </c>
      <c r="V71" s="585"/>
      <c r="W71" s="240"/>
      <c r="X71" s="240"/>
    </row>
    <row r="72" spans="1:24" ht="11.25" thickTop="1">
      <c r="A72" s="246"/>
      <c r="B72" s="246"/>
      <c r="C72" s="246"/>
      <c r="D72" s="246"/>
      <c r="E72" s="246"/>
      <c r="F72" s="246"/>
      <c r="G72" s="246"/>
      <c r="H72" s="246"/>
      <c r="I72" s="246"/>
      <c r="J72" s="246"/>
      <c r="K72" s="246"/>
      <c r="L72" s="246"/>
      <c r="M72" s="246"/>
      <c r="N72" s="246"/>
      <c r="O72" s="246"/>
      <c r="P72" s="246"/>
      <c r="Q72" s="246"/>
      <c r="R72" s="246"/>
      <c r="S72" s="246"/>
      <c r="T72" s="246"/>
      <c r="U72" s="246"/>
      <c r="V72" s="246"/>
      <c r="W72" s="246"/>
      <c r="X72" s="240"/>
    </row>
    <row r="73" spans="1:24" ht="12">
      <c r="A73" s="586" t="s">
        <v>233</v>
      </c>
      <c r="B73" s="586"/>
      <c r="C73" s="586"/>
      <c r="D73" s="586"/>
      <c r="E73" s="586"/>
      <c r="F73" s="586"/>
      <c r="G73" s="586"/>
      <c r="H73" s="586"/>
      <c r="I73" s="240"/>
      <c r="J73" s="584">
        <v>53087</v>
      </c>
      <c r="K73" s="584"/>
      <c r="L73" s="584"/>
      <c r="M73" s="584"/>
      <c r="N73" s="584">
        <v>53087</v>
      </c>
      <c r="O73" s="584"/>
      <c r="P73" s="258">
        <v>0</v>
      </c>
      <c r="Q73" s="258"/>
      <c r="R73" s="258"/>
      <c r="S73" s="584">
        <v>53087</v>
      </c>
      <c r="T73" s="584"/>
      <c r="U73" s="584">
        <v>0</v>
      </c>
      <c r="V73" s="584"/>
      <c r="W73" s="240"/>
      <c r="X73" s="240"/>
    </row>
    <row r="74" spans="1:24" ht="12">
      <c r="A74" s="558" t="s">
        <v>211</v>
      </c>
      <c r="B74" s="558"/>
      <c r="C74" s="590" t="s">
        <v>234</v>
      </c>
      <c r="D74" s="590"/>
      <c r="E74" s="590"/>
      <c r="F74" s="590"/>
      <c r="G74" s="590"/>
      <c r="H74" s="590"/>
      <c r="I74" s="590"/>
      <c r="J74" s="590"/>
      <c r="K74" s="590"/>
      <c r="L74" s="240"/>
      <c r="M74" s="240"/>
      <c r="N74" s="240"/>
      <c r="O74" s="240"/>
      <c r="P74" s="240"/>
      <c r="Q74" s="240"/>
      <c r="R74" s="240"/>
      <c r="S74" s="240"/>
      <c r="T74" s="240"/>
      <c r="U74" s="240"/>
      <c r="V74" s="240"/>
      <c r="W74" s="240"/>
      <c r="X74" s="240"/>
    </row>
    <row r="75" spans="1:24" ht="10.5">
      <c r="A75" s="558"/>
      <c r="B75" s="558"/>
      <c r="C75" s="240"/>
      <c r="D75" s="240"/>
      <c r="E75" s="240"/>
      <c r="F75" s="240"/>
      <c r="G75" s="240"/>
      <c r="H75" s="240"/>
      <c r="I75" s="240"/>
      <c r="J75" s="240"/>
      <c r="K75" s="240"/>
      <c r="L75" s="240"/>
      <c r="M75" s="240"/>
      <c r="N75" s="240"/>
      <c r="O75" s="240"/>
      <c r="P75" s="240"/>
      <c r="Q75" s="240"/>
      <c r="R75" s="240"/>
      <c r="S75" s="240"/>
      <c r="T75" s="240"/>
      <c r="U75" s="240"/>
      <c r="V75" s="240"/>
      <c r="W75" s="240"/>
      <c r="X75" s="240"/>
    </row>
    <row r="76" spans="1:24" ht="12">
      <c r="A76" s="240"/>
      <c r="B76" s="558" t="s">
        <v>213</v>
      </c>
      <c r="C76" s="558"/>
      <c r="D76" s="590" t="s">
        <v>235</v>
      </c>
      <c r="E76" s="590"/>
      <c r="F76" s="590"/>
      <c r="G76" s="590"/>
      <c r="H76" s="590"/>
      <c r="I76" s="590"/>
      <c r="J76" s="590"/>
      <c r="K76" s="590"/>
      <c r="L76" s="590"/>
      <c r="M76" s="590"/>
      <c r="N76" s="240"/>
      <c r="O76" s="240"/>
      <c r="P76" s="240"/>
      <c r="Q76" s="240"/>
      <c r="R76" s="240"/>
      <c r="S76" s="240"/>
      <c r="T76" s="240"/>
      <c r="U76" s="240"/>
      <c r="V76" s="240"/>
      <c r="W76" s="240"/>
      <c r="X76" s="240"/>
    </row>
    <row r="77" spans="1:24" ht="12">
      <c r="A77" s="558" t="s">
        <v>215</v>
      </c>
      <c r="B77" s="558"/>
      <c r="C77" s="240"/>
      <c r="D77" s="240"/>
      <c r="E77" s="591" t="s">
        <v>216</v>
      </c>
      <c r="F77" s="591"/>
      <c r="G77" s="591"/>
      <c r="H77" s="591"/>
      <c r="I77" s="591"/>
      <c r="J77" s="586" t="s">
        <v>5</v>
      </c>
      <c r="K77" s="586"/>
      <c r="L77" s="586"/>
      <c r="M77" s="586"/>
      <c r="N77" s="586" t="s">
        <v>217</v>
      </c>
      <c r="O77" s="586"/>
      <c r="P77" s="561" t="s">
        <v>218</v>
      </c>
      <c r="Q77" s="561"/>
      <c r="R77" s="240"/>
      <c r="S77" s="586" t="s">
        <v>219</v>
      </c>
      <c r="T77" s="586"/>
      <c r="U77" s="240"/>
      <c r="V77" s="241" t="s">
        <v>220</v>
      </c>
      <c r="W77" s="241" t="s">
        <v>221</v>
      </c>
      <c r="X77" s="240"/>
    </row>
    <row r="78" spans="1:24" ht="12">
      <c r="A78" s="558"/>
      <c r="B78" s="558"/>
      <c r="C78" s="240"/>
      <c r="D78" s="240"/>
      <c r="E78" s="558" t="s">
        <v>222</v>
      </c>
      <c r="F78" s="558"/>
      <c r="G78" s="558"/>
      <c r="H78" s="558"/>
      <c r="I78" s="558"/>
      <c r="J78" s="561" t="s">
        <v>223</v>
      </c>
      <c r="K78" s="561"/>
      <c r="L78" s="561"/>
      <c r="M78" s="561"/>
      <c r="N78" s="561" t="s">
        <v>224</v>
      </c>
      <c r="O78" s="561"/>
      <c r="P78" s="561"/>
      <c r="Q78" s="561"/>
      <c r="R78" s="240"/>
      <c r="S78" s="561" t="s">
        <v>224</v>
      </c>
      <c r="T78" s="561"/>
      <c r="U78" s="240"/>
      <c r="V78" s="242" t="s">
        <v>115</v>
      </c>
      <c r="W78" s="242" t="s">
        <v>219</v>
      </c>
      <c r="X78" s="240"/>
    </row>
    <row r="79" spans="1:24" ht="12">
      <c r="A79" s="589" t="s">
        <v>25</v>
      </c>
      <c r="B79" s="589"/>
      <c r="C79" s="589"/>
      <c r="D79" s="589" t="s">
        <v>225</v>
      </c>
      <c r="E79" s="589"/>
      <c r="F79" s="589"/>
      <c r="G79" s="243" t="s">
        <v>226</v>
      </c>
      <c r="H79" s="589" t="s">
        <v>227</v>
      </c>
      <c r="I79" s="589"/>
      <c r="J79" s="587">
        <v>8397.39</v>
      </c>
      <c r="K79" s="587"/>
      <c r="L79" s="587"/>
      <c r="M79" s="587"/>
      <c r="N79" s="587">
        <v>8397.39</v>
      </c>
      <c r="O79" s="587"/>
      <c r="P79" s="256">
        <v>0</v>
      </c>
      <c r="Q79" s="256"/>
      <c r="R79" s="256"/>
      <c r="S79" s="587">
        <v>8397.39</v>
      </c>
      <c r="T79" s="587"/>
      <c r="U79" s="588">
        <v>0</v>
      </c>
      <c r="V79" s="588"/>
      <c r="W79" s="244">
        <v>100</v>
      </c>
      <c r="X79" s="240"/>
    </row>
    <row r="80" spans="1:24" s="94" customFormat="1" ht="12">
      <c r="A80" s="589" t="s">
        <v>26</v>
      </c>
      <c r="B80" s="589"/>
      <c r="C80" s="589"/>
      <c r="D80" s="589" t="s">
        <v>225</v>
      </c>
      <c r="E80" s="589"/>
      <c r="F80" s="589"/>
      <c r="G80" s="243" t="s">
        <v>226</v>
      </c>
      <c r="H80" s="589" t="s">
        <v>227</v>
      </c>
      <c r="I80" s="589"/>
      <c r="J80" s="587">
        <v>2936.56</v>
      </c>
      <c r="K80" s="587"/>
      <c r="L80" s="587"/>
      <c r="M80" s="587"/>
      <c r="N80" s="587">
        <v>1726.56</v>
      </c>
      <c r="O80" s="587"/>
      <c r="P80" s="256">
        <v>1210</v>
      </c>
      <c r="Q80" s="256"/>
      <c r="R80" s="256"/>
      <c r="S80" s="587">
        <v>1726.56</v>
      </c>
      <c r="T80" s="587"/>
      <c r="U80" s="588">
        <v>0</v>
      </c>
      <c r="V80" s="588"/>
      <c r="W80" s="244">
        <v>58.8</v>
      </c>
      <c r="X80" s="240"/>
    </row>
    <row r="81" spans="1:24" ht="10.5" customHeight="1">
      <c r="A81" s="589" t="s">
        <v>27</v>
      </c>
      <c r="B81" s="589"/>
      <c r="C81" s="589"/>
      <c r="D81" s="589" t="s">
        <v>225</v>
      </c>
      <c r="E81" s="589"/>
      <c r="F81" s="589"/>
      <c r="G81" s="243" t="s">
        <v>226</v>
      </c>
      <c r="H81" s="589" t="s">
        <v>227</v>
      </c>
      <c r="I81" s="589"/>
      <c r="J81" s="587">
        <v>5862</v>
      </c>
      <c r="K81" s="587"/>
      <c r="L81" s="587"/>
      <c r="M81" s="587"/>
      <c r="N81" s="587">
        <v>5862</v>
      </c>
      <c r="O81" s="587"/>
      <c r="P81" s="256">
        <v>0</v>
      </c>
      <c r="Q81" s="256"/>
      <c r="R81" s="256"/>
      <c r="S81" s="587">
        <v>5862</v>
      </c>
      <c r="T81" s="587"/>
      <c r="U81" s="588">
        <v>0</v>
      </c>
      <c r="V81" s="588"/>
      <c r="W81" s="244">
        <v>100</v>
      </c>
      <c r="X81" s="240"/>
    </row>
    <row r="82" spans="1:24" s="88" customFormat="1" ht="12">
      <c r="A82" s="589" t="s">
        <v>28</v>
      </c>
      <c r="B82" s="589"/>
      <c r="C82" s="589"/>
      <c r="D82" s="589" t="s">
        <v>225</v>
      </c>
      <c r="E82" s="589"/>
      <c r="F82" s="589"/>
      <c r="G82" s="243" t="s">
        <v>226</v>
      </c>
      <c r="H82" s="589" t="s">
        <v>227</v>
      </c>
      <c r="I82" s="589"/>
      <c r="J82" s="587">
        <v>214</v>
      </c>
      <c r="K82" s="587"/>
      <c r="L82" s="587"/>
      <c r="M82" s="587"/>
      <c r="N82" s="587">
        <v>214</v>
      </c>
      <c r="O82" s="587"/>
      <c r="P82" s="256">
        <v>0</v>
      </c>
      <c r="Q82" s="256"/>
      <c r="R82" s="256"/>
      <c r="S82" s="587">
        <v>214</v>
      </c>
      <c r="T82" s="587"/>
      <c r="U82" s="588">
        <v>0</v>
      </c>
      <c r="V82" s="588"/>
      <c r="W82" s="244">
        <v>100</v>
      </c>
      <c r="X82" s="240"/>
    </row>
    <row r="83" spans="1:24" ht="12">
      <c r="A83" s="589" t="s">
        <v>29</v>
      </c>
      <c r="B83" s="589"/>
      <c r="C83" s="589"/>
      <c r="D83" s="589" t="s">
        <v>225</v>
      </c>
      <c r="E83" s="589"/>
      <c r="F83" s="589"/>
      <c r="G83" s="243" t="s">
        <v>226</v>
      </c>
      <c r="H83" s="589" t="s">
        <v>227</v>
      </c>
      <c r="I83" s="589"/>
      <c r="J83" s="587">
        <v>3924</v>
      </c>
      <c r="K83" s="587"/>
      <c r="L83" s="587"/>
      <c r="M83" s="587"/>
      <c r="N83" s="587">
        <v>3924</v>
      </c>
      <c r="O83" s="587"/>
      <c r="P83" s="256">
        <v>0</v>
      </c>
      <c r="Q83" s="256"/>
      <c r="R83" s="256"/>
      <c r="S83" s="587">
        <v>3924</v>
      </c>
      <c r="T83" s="587"/>
      <c r="U83" s="588">
        <v>0</v>
      </c>
      <c r="V83" s="588"/>
      <c r="W83" s="244">
        <v>100</v>
      </c>
      <c r="X83" s="240"/>
    </row>
    <row r="84" spans="1:24" ht="12">
      <c r="A84" s="589" t="s">
        <v>40</v>
      </c>
      <c r="B84" s="589"/>
      <c r="C84" s="589"/>
      <c r="D84" s="589" t="s">
        <v>225</v>
      </c>
      <c r="E84" s="589"/>
      <c r="F84" s="589"/>
      <c r="G84" s="243" t="s">
        <v>226</v>
      </c>
      <c r="H84" s="589" t="s">
        <v>227</v>
      </c>
      <c r="I84" s="589"/>
      <c r="J84" s="587">
        <v>231.98</v>
      </c>
      <c r="K84" s="587"/>
      <c r="L84" s="587"/>
      <c r="M84" s="587"/>
      <c r="N84" s="587">
        <v>231.98</v>
      </c>
      <c r="O84" s="587"/>
      <c r="P84" s="256">
        <v>0</v>
      </c>
      <c r="Q84" s="256"/>
      <c r="R84" s="256"/>
      <c r="S84" s="587">
        <v>231.98</v>
      </c>
      <c r="T84" s="587"/>
      <c r="U84" s="588">
        <v>0</v>
      </c>
      <c r="V84" s="588"/>
      <c r="W84" s="244">
        <v>100</v>
      </c>
      <c r="X84" s="240"/>
    </row>
    <row r="85" spans="1:24" ht="12">
      <c r="A85" s="589" t="s">
        <v>30</v>
      </c>
      <c r="B85" s="589"/>
      <c r="C85" s="589"/>
      <c r="D85" s="589" t="s">
        <v>225</v>
      </c>
      <c r="E85" s="589"/>
      <c r="F85" s="589"/>
      <c r="G85" s="243" t="s">
        <v>226</v>
      </c>
      <c r="H85" s="589" t="s">
        <v>227</v>
      </c>
      <c r="I85" s="589"/>
      <c r="J85" s="587">
        <v>657</v>
      </c>
      <c r="K85" s="587"/>
      <c r="L85" s="587"/>
      <c r="M85" s="587"/>
      <c r="N85" s="587">
        <v>438</v>
      </c>
      <c r="O85" s="587"/>
      <c r="P85" s="256">
        <v>219</v>
      </c>
      <c r="Q85" s="256"/>
      <c r="R85" s="256"/>
      <c r="S85" s="587">
        <v>438</v>
      </c>
      <c r="T85" s="587"/>
      <c r="U85" s="588">
        <v>0</v>
      </c>
      <c r="V85" s="588"/>
      <c r="W85" s="244">
        <v>66.67</v>
      </c>
      <c r="X85" s="240"/>
    </row>
    <row r="86" spans="1:24" ht="12">
      <c r="A86" s="589" t="s">
        <v>31</v>
      </c>
      <c r="B86" s="589"/>
      <c r="C86" s="589"/>
      <c r="D86" s="589" t="s">
        <v>225</v>
      </c>
      <c r="E86" s="589"/>
      <c r="F86" s="589"/>
      <c r="G86" s="243" t="s">
        <v>226</v>
      </c>
      <c r="H86" s="589" t="s">
        <v>227</v>
      </c>
      <c r="I86" s="589"/>
      <c r="J86" s="587">
        <v>6902</v>
      </c>
      <c r="K86" s="587"/>
      <c r="L86" s="587"/>
      <c r="M86" s="587"/>
      <c r="N86" s="587">
        <v>6151.96</v>
      </c>
      <c r="O86" s="587"/>
      <c r="P86" s="256">
        <v>750.04</v>
      </c>
      <c r="Q86" s="256"/>
      <c r="R86" s="256"/>
      <c r="S86" s="587">
        <v>6151.96</v>
      </c>
      <c r="T86" s="587"/>
      <c r="U86" s="588">
        <v>0</v>
      </c>
      <c r="V86" s="588"/>
      <c r="W86" s="244">
        <v>89.13</v>
      </c>
      <c r="X86" s="240"/>
    </row>
    <row r="87" spans="1:24" ht="12">
      <c r="A87" s="589" t="s">
        <v>32</v>
      </c>
      <c r="B87" s="589"/>
      <c r="C87" s="589"/>
      <c r="D87" s="589" t="s">
        <v>225</v>
      </c>
      <c r="E87" s="589"/>
      <c r="F87" s="589"/>
      <c r="G87" s="243" t="s">
        <v>226</v>
      </c>
      <c r="H87" s="589" t="s">
        <v>227</v>
      </c>
      <c r="I87" s="589"/>
      <c r="J87" s="587">
        <v>4311</v>
      </c>
      <c r="K87" s="587"/>
      <c r="L87" s="587"/>
      <c r="M87" s="587"/>
      <c r="N87" s="587">
        <v>4311</v>
      </c>
      <c r="O87" s="587"/>
      <c r="P87" s="256">
        <v>0</v>
      </c>
      <c r="Q87" s="256"/>
      <c r="R87" s="256"/>
      <c r="S87" s="587">
        <v>4311</v>
      </c>
      <c r="T87" s="587"/>
      <c r="U87" s="588">
        <v>0</v>
      </c>
      <c r="V87" s="588"/>
      <c r="W87" s="244">
        <v>100</v>
      </c>
      <c r="X87" s="240"/>
    </row>
    <row r="88" spans="1:24" ht="12">
      <c r="A88" s="589" t="s">
        <v>33</v>
      </c>
      <c r="B88" s="589"/>
      <c r="C88" s="589"/>
      <c r="D88" s="589" t="s">
        <v>225</v>
      </c>
      <c r="E88" s="589"/>
      <c r="F88" s="589"/>
      <c r="G88" s="243" t="s">
        <v>226</v>
      </c>
      <c r="H88" s="589" t="s">
        <v>227</v>
      </c>
      <c r="I88" s="589"/>
      <c r="J88" s="587">
        <v>2572</v>
      </c>
      <c r="K88" s="587"/>
      <c r="L88" s="587"/>
      <c r="M88" s="587"/>
      <c r="N88" s="587">
        <v>2014</v>
      </c>
      <c r="O88" s="587"/>
      <c r="P88" s="256">
        <v>558</v>
      </c>
      <c r="Q88" s="256"/>
      <c r="R88" s="256"/>
      <c r="S88" s="587">
        <v>2572</v>
      </c>
      <c r="T88" s="587"/>
      <c r="U88" s="588">
        <v>-558</v>
      </c>
      <c r="V88" s="588"/>
      <c r="W88" s="244">
        <v>100</v>
      </c>
      <c r="X88" s="240"/>
    </row>
    <row r="89" spans="1:24" ht="12">
      <c r="A89" s="589" t="s">
        <v>41</v>
      </c>
      <c r="B89" s="589"/>
      <c r="C89" s="589"/>
      <c r="D89" s="589" t="s">
        <v>225</v>
      </c>
      <c r="E89" s="589"/>
      <c r="F89" s="589"/>
      <c r="G89" s="243" t="s">
        <v>226</v>
      </c>
      <c r="H89" s="589" t="s">
        <v>227</v>
      </c>
      <c r="I89" s="589"/>
      <c r="J89" s="587">
        <v>1790</v>
      </c>
      <c r="K89" s="587"/>
      <c r="L89" s="587"/>
      <c r="M89" s="587"/>
      <c r="N89" s="587">
        <v>1790</v>
      </c>
      <c r="O89" s="587"/>
      <c r="P89" s="256">
        <v>0</v>
      </c>
      <c r="Q89" s="256"/>
      <c r="R89" s="256"/>
      <c r="S89" s="587">
        <v>1790</v>
      </c>
      <c r="T89" s="587"/>
      <c r="U89" s="588">
        <v>0</v>
      </c>
      <c r="V89" s="588"/>
      <c r="W89" s="244">
        <v>100</v>
      </c>
      <c r="X89" s="240"/>
    </row>
    <row r="90" spans="1:24" ht="12">
      <c r="A90" s="589" t="s">
        <v>34</v>
      </c>
      <c r="B90" s="589"/>
      <c r="C90" s="589"/>
      <c r="D90" s="589" t="s">
        <v>225</v>
      </c>
      <c r="E90" s="589"/>
      <c r="F90" s="589"/>
      <c r="G90" s="243" t="s">
        <v>226</v>
      </c>
      <c r="H90" s="589" t="s">
        <v>227</v>
      </c>
      <c r="I90" s="589"/>
      <c r="J90" s="587">
        <v>5450</v>
      </c>
      <c r="K90" s="587"/>
      <c r="L90" s="587"/>
      <c r="M90" s="587"/>
      <c r="N90" s="587">
        <v>5450</v>
      </c>
      <c r="O90" s="587"/>
      <c r="P90" s="256">
        <v>0</v>
      </c>
      <c r="Q90" s="256"/>
      <c r="R90" s="256"/>
      <c r="S90" s="587">
        <v>5450</v>
      </c>
      <c r="T90" s="587"/>
      <c r="U90" s="588">
        <v>0</v>
      </c>
      <c r="V90" s="588"/>
      <c r="W90" s="244">
        <v>100</v>
      </c>
      <c r="X90" s="240"/>
    </row>
    <row r="91" spans="1:24" s="94" customFormat="1" ht="12">
      <c r="A91" s="589" t="s">
        <v>35</v>
      </c>
      <c r="B91" s="589"/>
      <c r="C91" s="589"/>
      <c r="D91" s="589" t="s">
        <v>225</v>
      </c>
      <c r="E91" s="589"/>
      <c r="F91" s="589"/>
      <c r="G91" s="243" t="s">
        <v>226</v>
      </c>
      <c r="H91" s="589" t="s">
        <v>227</v>
      </c>
      <c r="I91" s="589"/>
      <c r="J91" s="587">
        <v>5128</v>
      </c>
      <c r="K91" s="587"/>
      <c r="L91" s="587"/>
      <c r="M91" s="587"/>
      <c r="N91" s="587">
        <v>5128</v>
      </c>
      <c r="O91" s="587"/>
      <c r="P91" s="257">
        <v>0</v>
      </c>
      <c r="Q91" s="257"/>
      <c r="R91" s="257"/>
      <c r="S91" s="587">
        <v>5128</v>
      </c>
      <c r="T91" s="587"/>
      <c r="U91" s="588">
        <v>0</v>
      </c>
      <c r="V91" s="588"/>
      <c r="W91" s="244">
        <v>100</v>
      </c>
      <c r="X91" s="240"/>
    </row>
    <row r="92" spans="1:24" ht="12" customHeight="1">
      <c r="A92" s="245"/>
      <c r="B92" s="245"/>
      <c r="C92" s="245"/>
      <c r="D92" s="245"/>
      <c r="E92" s="245"/>
      <c r="F92" s="245"/>
      <c r="G92" s="245"/>
      <c r="H92" s="245"/>
      <c r="I92" s="245"/>
      <c r="J92" s="245"/>
      <c r="K92" s="245"/>
      <c r="L92" s="245"/>
      <c r="M92" s="245"/>
      <c r="N92" s="245"/>
      <c r="O92" s="245"/>
      <c r="P92" s="245"/>
      <c r="Q92" s="245"/>
      <c r="R92" s="245"/>
      <c r="S92" s="245"/>
      <c r="T92" s="245"/>
      <c r="U92" s="245"/>
      <c r="V92" s="245"/>
      <c r="W92" s="245"/>
      <c r="X92" s="240"/>
    </row>
    <row r="93" spans="1:24" s="88" customFormat="1" ht="12" thickBot="1">
      <c r="A93" s="240"/>
      <c r="B93" s="240"/>
      <c r="C93" s="240"/>
      <c r="D93" s="240"/>
      <c r="E93" s="240"/>
      <c r="F93" s="240"/>
      <c r="G93" s="240"/>
      <c r="H93" s="240"/>
      <c r="I93" s="240"/>
      <c r="J93" s="585">
        <v>48375.93</v>
      </c>
      <c r="K93" s="585"/>
      <c r="L93" s="585"/>
      <c r="M93" s="585"/>
      <c r="N93" s="585">
        <v>45638.89</v>
      </c>
      <c r="O93" s="585"/>
      <c r="P93" s="259">
        <v>2737.04</v>
      </c>
      <c r="Q93" s="259"/>
      <c r="R93" s="259"/>
      <c r="S93" s="585">
        <v>46196.89</v>
      </c>
      <c r="T93" s="585"/>
      <c r="U93" s="585">
        <v>-558</v>
      </c>
      <c r="V93" s="585"/>
      <c r="W93" s="240"/>
      <c r="X93" s="240"/>
    </row>
    <row r="94" spans="1:24" ht="11.25" thickTop="1">
      <c r="A94" s="246"/>
      <c r="B94" s="246"/>
      <c r="C94" s="246"/>
      <c r="D94" s="246"/>
      <c r="E94" s="246"/>
      <c r="F94" s="246"/>
      <c r="G94" s="246"/>
      <c r="H94" s="246"/>
      <c r="I94" s="246"/>
      <c r="J94" s="246"/>
      <c r="K94" s="246"/>
      <c r="L94" s="246"/>
      <c r="M94" s="246"/>
      <c r="N94" s="246"/>
      <c r="O94" s="246"/>
      <c r="P94" s="246"/>
      <c r="Q94" s="246"/>
      <c r="R94" s="246"/>
      <c r="S94" s="246"/>
      <c r="T94" s="246"/>
      <c r="U94" s="246"/>
      <c r="V94" s="246"/>
      <c r="W94" s="246"/>
      <c r="X94" s="240"/>
    </row>
    <row r="95" spans="1:24" ht="12">
      <c r="A95" s="586" t="s">
        <v>236</v>
      </c>
      <c r="B95" s="586"/>
      <c r="C95" s="586"/>
      <c r="D95" s="586"/>
      <c r="E95" s="586"/>
      <c r="F95" s="586"/>
      <c r="G95" s="586"/>
      <c r="H95" s="586"/>
      <c r="I95" s="240"/>
      <c r="J95" s="584">
        <v>48375.93</v>
      </c>
      <c r="K95" s="584"/>
      <c r="L95" s="584"/>
      <c r="M95" s="584"/>
      <c r="N95" s="584">
        <v>45638.89</v>
      </c>
      <c r="O95" s="584"/>
      <c r="P95" s="258">
        <v>2737.04</v>
      </c>
      <c r="Q95" s="258"/>
      <c r="R95" s="258"/>
      <c r="S95" s="584">
        <v>46196.89</v>
      </c>
      <c r="T95" s="584"/>
      <c r="U95" s="584">
        <v>-558</v>
      </c>
      <c r="V95" s="584"/>
      <c r="W95" s="240"/>
      <c r="X95" s="240"/>
    </row>
    <row r="96" spans="1:24" ht="12">
      <c r="A96" s="558" t="s">
        <v>211</v>
      </c>
      <c r="B96" s="558"/>
      <c r="C96" s="590" t="s">
        <v>237</v>
      </c>
      <c r="D96" s="590"/>
      <c r="E96" s="590"/>
      <c r="F96" s="590"/>
      <c r="G96" s="590"/>
      <c r="H96" s="590"/>
      <c r="I96" s="590"/>
      <c r="J96" s="590"/>
      <c r="K96" s="590"/>
      <c r="L96" s="240"/>
      <c r="M96" s="240"/>
      <c r="N96" s="240"/>
      <c r="O96" s="240"/>
      <c r="P96" s="240"/>
      <c r="Q96" s="240"/>
      <c r="R96" s="240"/>
      <c r="S96" s="240"/>
      <c r="T96" s="240"/>
      <c r="U96" s="240"/>
      <c r="V96" s="240"/>
      <c r="W96" s="240"/>
      <c r="X96" s="240"/>
    </row>
    <row r="97" spans="1:24" ht="10.5">
      <c r="A97" s="558"/>
      <c r="B97" s="558"/>
      <c r="C97" s="240"/>
      <c r="D97" s="240"/>
      <c r="E97" s="240"/>
      <c r="F97" s="240"/>
      <c r="G97" s="240"/>
      <c r="H97" s="240"/>
      <c r="I97" s="240"/>
      <c r="J97" s="240"/>
      <c r="K97" s="240"/>
      <c r="L97" s="240"/>
      <c r="M97" s="240"/>
      <c r="N97" s="240"/>
      <c r="O97" s="240"/>
      <c r="P97" s="240"/>
      <c r="Q97" s="240"/>
      <c r="R97" s="240"/>
      <c r="S97" s="240"/>
      <c r="T97" s="240"/>
      <c r="U97" s="240"/>
      <c r="V97" s="240"/>
      <c r="W97" s="240"/>
      <c r="X97" s="240"/>
    </row>
    <row r="98" spans="1:24" ht="12">
      <c r="A98" s="240"/>
      <c r="B98" s="558" t="s">
        <v>213</v>
      </c>
      <c r="C98" s="558"/>
      <c r="D98" s="590" t="s">
        <v>75</v>
      </c>
      <c r="E98" s="590"/>
      <c r="F98" s="590"/>
      <c r="G98" s="590"/>
      <c r="H98" s="590"/>
      <c r="I98" s="590"/>
      <c r="J98" s="590"/>
      <c r="K98" s="590"/>
      <c r="L98" s="590"/>
      <c r="M98" s="590"/>
      <c r="N98" s="240"/>
      <c r="O98" s="240"/>
      <c r="P98" s="240"/>
      <c r="Q98" s="240"/>
      <c r="R98" s="240"/>
      <c r="S98" s="240"/>
      <c r="T98" s="240"/>
      <c r="U98" s="240"/>
      <c r="V98" s="240"/>
      <c r="W98" s="240"/>
      <c r="X98" s="240"/>
    </row>
    <row r="99" spans="1:24" ht="12">
      <c r="A99" s="558" t="s">
        <v>215</v>
      </c>
      <c r="B99" s="558"/>
      <c r="C99" s="240"/>
      <c r="D99" s="240"/>
      <c r="E99" s="591" t="s">
        <v>216</v>
      </c>
      <c r="F99" s="591"/>
      <c r="G99" s="591"/>
      <c r="H99" s="591"/>
      <c r="I99" s="591"/>
      <c r="J99" s="586" t="s">
        <v>5</v>
      </c>
      <c r="K99" s="586"/>
      <c r="L99" s="586"/>
      <c r="M99" s="586"/>
      <c r="N99" s="586" t="s">
        <v>217</v>
      </c>
      <c r="O99" s="586"/>
      <c r="P99" s="561" t="s">
        <v>218</v>
      </c>
      <c r="Q99" s="561"/>
      <c r="R99" s="240"/>
      <c r="S99" s="586" t="s">
        <v>219</v>
      </c>
      <c r="T99" s="586"/>
      <c r="U99" s="240"/>
      <c r="V99" s="241" t="s">
        <v>220</v>
      </c>
      <c r="W99" s="241" t="s">
        <v>221</v>
      </c>
      <c r="X99" s="240"/>
    </row>
    <row r="100" spans="1:24" ht="12">
      <c r="A100" s="558"/>
      <c r="B100" s="558"/>
      <c r="C100" s="240"/>
      <c r="D100" s="240"/>
      <c r="E100" s="558" t="s">
        <v>222</v>
      </c>
      <c r="F100" s="558"/>
      <c r="G100" s="558"/>
      <c r="H100" s="558"/>
      <c r="I100" s="558"/>
      <c r="J100" s="561" t="s">
        <v>223</v>
      </c>
      <c r="K100" s="561"/>
      <c r="L100" s="561"/>
      <c r="M100" s="561"/>
      <c r="N100" s="561" t="s">
        <v>224</v>
      </c>
      <c r="O100" s="561"/>
      <c r="P100" s="561"/>
      <c r="Q100" s="561"/>
      <c r="R100" s="240"/>
      <c r="S100" s="561" t="s">
        <v>224</v>
      </c>
      <c r="T100" s="561"/>
      <c r="U100" s="240"/>
      <c r="V100" s="242" t="s">
        <v>115</v>
      </c>
      <c r="W100" s="242" t="s">
        <v>219</v>
      </c>
      <c r="X100" s="240"/>
    </row>
    <row r="101" spans="1:24" ht="12">
      <c r="A101" s="589" t="s">
        <v>25</v>
      </c>
      <c r="B101" s="589"/>
      <c r="C101" s="589"/>
      <c r="D101" s="589" t="s">
        <v>225</v>
      </c>
      <c r="E101" s="589"/>
      <c r="F101" s="589"/>
      <c r="G101" s="243" t="s">
        <v>226</v>
      </c>
      <c r="H101" s="589" t="s">
        <v>227</v>
      </c>
      <c r="I101" s="589"/>
      <c r="J101" s="587">
        <v>92597</v>
      </c>
      <c r="K101" s="587"/>
      <c r="L101" s="587"/>
      <c r="M101" s="587"/>
      <c r="N101" s="587">
        <v>65401.64</v>
      </c>
      <c r="O101" s="587"/>
      <c r="P101" s="256">
        <v>27195.36</v>
      </c>
      <c r="Q101" s="256"/>
      <c r="R101" s="256"/>
      <c r="S101" s="587">
        <v>65401.64</v>
      </c>
      <c r="T101" s="587"/>
      <c r="U101" s="588">
        <v>0</v>
      </c>
      <c r="V101" s="588"/>
      <c r="W101" s="244">
        <v>70.63</v>
      </c>
      <c r="X101" s="240"/>
    </row>
    <row r="102" spans="1:24" ht="12">
      <c r="A102" s="589" t="s">
        <v>26</v>
      </c>
      <c r="B102" s="589"/>
      <c r="C102" s="589"/>
      <c r="D102" s="589" t="s">
        <v>225</v>
      </c>
      <c r="E102" s="589"/>
      <c r="F102" s="589"/>
      <c r="G102" s="243" t="s">
        <v>226</v>
      </c>
      <c r="H102" s="589" t="s">
        <v>227</v>
      </c>
      <c r="I102" s="589"/>
      <c r="J102" s="587">
        <v>18119</v>
      </c>
      <c r="K102" s="587"/>
      <c r="L102" s="587"/>
      <c r="M102" s="587"/>
      <c r="N102" s="587">
        <v>11319.95</v>
      </c>
      <c r="O102" s="587"/>
      <c r="P102" s="256">
        <v>6799.05</v>
      </c>
      <c r="Q102" s="256"/>
      <c r="R102" s="256"/>
      <c r="S102" s="587">
        <v>11319.95</v>
      </c>
      <c r="T102" s="587"/>
      <c r="U102" s="588">
        <v>0</v>
      </c>
      <c r="V102" s="588"/>
      <c r="W102" s="244">
        <v>62.48</v>
      </c>
      <c r="X102" s="240"/>
    </row>
    <row r="103" spans="1:24" ht="10.5" customHeight="1">
      <c r="A103" s="589" t="s">
        <v>27</v>
      </c>
      <c r="B103" s="589"/>
      <c r="C103" s="589"/>
      <c r="D103" s="589" t="s">
        <v>225</v>
      </c>
      <c r="E103" s="589"/>
      <c r="F103" s="589"/>
      <c r="G103" s="243" t="s">
        <v>226</v>
      </c>
      <c r="H103" s="589" t="s">
        <v>227</v>
      </c>
      <c r="I103" s="589"/>
      <c r="J103" s="587">
        <v>21168</v>
      </c>
      <c r="K103" s="587"/>
      <c r="L103" s="587"/>
      <c r="M103" s="587"/>
      <c r="N103" s="587">
        <v>10004</v>
      </c>
      <c r="O103" s="587"/>
      <c r="P103" s="256">
        <v>11164</v>
      </c>
      <c r="Q103" s="256"/>
      <c r="R103" s="256"/>
      <c r="S103" s="587">
        <v>10004</v>
      </c>
      <c r="T103" s="587"/>
      <c r="U103" s="588">
        <v>0</v>
      </c>
      <c r="V103" s="588"/>
      <c r="W103" s="244">
        <v>47.26</v>
      </c>
      <c r="X103" s="240"/>
    </row>
    <row r="104" spans="1:24" s="88" customFormat="1" ht="12">
      <c r="A104" s="589" t="s">
        <v>28</v>
      </c>
      <c r="B104" s="589"/>
      <c r="C104" s="589"/>
      <c r="D104" s="589" t="s">
        <v>225</v>
      </c>
      <c r="E104" s="589"/>
      <c r="F104" s="589"/>
      <c r="G104" s="243" t="s">
        <v>226</v>
      </c>
      <c r="H104" s="589" t="s">
        <v>227</v>
      </c>
      <c r="I104" s="589"/>
      <c r="J104" s="587">
        <v>4088</v>
      </c>
      <c r="K104" s="587"/>
      <c r="L104" s="587"/>
      <c r="M104" s="587"/>
      <c r="N104" s="587">
        <v>3230</v>
      </c>
      <c r="O104" s="587"/>
      <c r="P104" s="256">
        <v>858</v>
      </c>
      <c r="Q104" s="256"/>
      <c r="R104" s="256"/>
      <c r="S104" s="587">
        <v>3230</v>
      </c>
      <c r="T104" s="587"/>
      <c r="U104" s="588">
        <v>0</v>
      </c>
      <c r="V104" s="588"/>
      <c r="W104" s="244">
        <v>79.01</v>
      </c>
      <c r="X104" s="240"/>
    </row>
    <row r="105" spans="1:24" ht="12">
      <c r="A105" s="589" t="s">
        <v>29</v>
      </c>
      <c r="B105" s="589"/>
      <c r="C105" s="589"/>
      <c r="D105" s="589" t="s">
        <v>225</v>
      </c>
      <c r="E105" s="589"/>
      <c r="F105" s="589"/>
      <c r="G105" s="243" t="s">
        <v>226</v>
      </c>
      <c r="H105" s="589" t="s">
        <v>227</v>
      </c>
      <c r="I105" s="589"/>
      <c r="J105" s="587">
        <v>84830</v>
      </c>
      <c r="K105" s="587"/>
      <c r="L105" s="587"/>
      <c r="M105" s="587"/>
      <c r="N105" s="587">
        <v>76274</v>
      </c>
      <c r="O105" s="587"/>
      <c r="P105" s="256">
        <v>8556</v>
      </c>
      <c r="Q105" s="256"/>
      <c r="R105" s="256"/>
      <c r="S105" s="587">
        <v>76975</v>
      </c>
      <c r="T105" s="587"/>
      <c r="U105" s="588">
        <v>-701</v>
      </c>
      <c r="V105" s="588"/>
      <c r="W105" s="244">
        <v>90.74</v>
      </c>
      <c r="X105" s="240"/>
    </row>
    <row r="106" spans="1:24" ht="12">
      <c r="A106" s="589" t="s">
        <v>40</v>
      </c>
      <c r="B106" s="589"/>
      <c r="C106" s="589"/>
      <c r="D106" s="589" t="s">
        <v>225</v>
      </c>
      <c r="E106" s="589"/>
      <c r="F106" s="589"/>
      <c r="G106" s="243" t="s">
        <v>226</v>
      </c>
      <c r="H106" s="589" t="s">
        <v>227</v>
      </c>
      <c r="I106" s="589"/>
      <c r="J106" s="587">
        <v>8073</v>
      </c>
      <c r="K106" s="587"/>
      <c r="L106" s="587"/>
      <c r="M106" s="587"/>
      <c r="N106" s="587">
        <v>6539.8</v>
      </c>
      <c r="O106" s="587"/>
      <c r="P106" s="256">
        <v>1533.2</v>
      </c>
      <c r="Q106" s="256"/>
      <c r="R106" s="256"/>
      <c r="S106" s="587">
        <v>6539.8</v>
      </c>
      <c r="T106" s="587"/>
      <c r="U106" s="588">
        <v>0</v>
      </c>
      <c r="V106" s="588"/>
      <c r="W106" s="244">
        <v>81.01</v>
      </c>
      <c r="X106" s="240"/>
    </row>
    <row r="107" spans="1:24" ht="12">
      <c r="A107" s="589" t="s">
        <v>30</v>
      </c>
      <c r="B107" s="589"/>
      <c r="C107" s="589"/>
      <c r="D107" s="589" t="s">
        <v>225</v>
      </c>
      <c r="E107" s="589"/>
      <c r="F107" s="589"/>
      <c r="G107" s="243" t="s">
        <v>226</v>
      </c>
      <c r="H107" s="589" t="s">
        <v>227</v>
      </c>
      <c r="I107" s="589"/>
      <c r="J107" s="587">
        <v>7584</v>
      </c>
      <c r="K107" s="587"/>
      <c r="L107" s="587"/>
      <c r="M107" s="587"/>
      <c r="N107" s="587">
        <v>5936.4</v>
      </c>
      <c r="O107" s="587"/>
      <c r="P107" s="256">
        <v>1647.6</v>
      </c>
      <c r="Q107" s="256"/>
      <c r="R107" s="256"/>
      <c r="S107" s="587">
        <v>5936.4</v>
      </c>
      <c r="T107" s="587"/>
      <c r="U107" s="588">
        <v>0</v>
      </c>
      <c r="V107" s="588"/>
      <c r="W107" s="244">
        <v>78.28</v>
      </c>
      <c r="X107" s="240"/>
    </row>
    <row r="108" spans="1:24" ht="12">
      <c r="A108" s="589" t="s">
        <v>31</v>
      </c>
      <c r="B108" s="589"/>
      <c r="C108" s="589"/>
      <c r="D108" s="589" t="s">
        <v>225</v>
      </c>
      <c r="E108" s="589"/>
      <c r="F108" s="589"/>
      <c r="G108" s="243" t="s">
        <v>226</v>
      </c>
      <c r="H108" s="589" t="s">
        <v>227</v>
      </c>
      <c r="I108" s="589"/>
      <c r="J108" s="587">
        <v>70279</v>
      </c>
      <c r="K108" s="587"/>
      <c r="L108" s="587"/>
      <c r="M108" s="587"/>
      <c r="N108" s="587">
        <v>30072.26</v>
      </c>
      <c r="O108" s="587"/>
      <c r="P108" s="256">
        <v>40206.74</v>
      </c>
      <c r="Q108" s="256"/>
      <c r="R108" s="256"/>
      <c r="S108" s="587">
        <v>40651.03</v>
      </c>
      <c r="T108" s="587"/>
      <c r="U108" s="588">
        <v>-10578.77</v>
      </c>
      <c r="V108" s="588"/>
      <c r="W108" s="244">
        <v>57.84</v>
      </c>
      <c r="X108" s="240"/>
    </row>
    <row r="109" spans="1:24" ht="12">
      <c r="A109" s="589" t="s">
        <v>32</v>
      </c>
      <c r="B109" s="589"/>
      <c r="C109" s="589"/>
      <c r="D109" s="589" t="s">
        <v>225</v>
      </c>
      <c r="E109" s="589"/>
      <c r="F109" s="589"/>
      <c r="G109" s="243" t="s">
        <v>226</v>
      </c>
      <c r="H109" s="589" t="s">
        <v>227</v>
      </c>
      <c r="I109" s="589"/>
      <c r="J109" s="587">
        <v>26514</v>
      </c>
      <c r="K109" s="587"/>
      <c r="L109" s="587"/>
      <c r="M109" s="587"/>
      <c r="N109" s="587">
        <v>26514</v>
      </c>
      <c r="O109" s="587"/>
      <c r="P109" s="256">
        <v>0</v>
      </c>
      <c r="Q109" s="256"/>
      <c r="R109" s="256"/>
      <c r="S109" s="587">
        <v>24437</v>
      </c>
      <c r="T109" s="587"/>
      <c r="U109" s="588">
        <v>2077</v>
      </c>
      <c r="V109" s="588"/>
      <c r="W109" s="244">
        <v>92.17</v>
      </c>
      <c r="X109" s="240"/>
    </row>
    <row r="110" spans="1:24" ht="12">
      <c r="A110" s="589" t="s">
        <v>33</v>
      </c>
      <c r="B110" s="589"/>
      <c r="C110" s="589"/>
      <c r="D110" s="589" t="s">
        <v>225</v>
      </c>
      <c r="E110" s="589"/>
      <c r="F110" s="589"/>
      <c r="G110" s="243" t="s">
        <v>226</v>
      </c>
      <c r="H110" s="589" t="s">
        <v>227</v>
      </c>
      <c r="I110" s="589"/>
      <c r="J110" s="587">
        <v>37695</v>
      </c>
      <c r="K110" s="587"/>
      <c r="L110" s="587"/>
      <c r="M110" s="587"/>
      <c r="N110" s="587">
        <v>30007</v>
      </c>
      <c r="O110" s="587"/>
      <c r="P110" s="256">
        <v>7688</v>
      </c>
      <c r="Q110" s="256"/>
      <c r="R110" s="256"/>
      <c r="S110" s="587">
        <v>31077</v>
      </c>
      <c r="T110" s="587"/>
      <c r="U110" s="588">
        <v>-1070</v>
      </c>
      <c r="V110" s="588"/>
      <c r="W110" s="244">
        <v>82.44</v>
      </c>
      <c r="X110" s="240"/>
    </row>
    <row r="111" spans="1:24" ht="12">
      <c r="A111" s="589" t="s">
        <v>41</v>
      </c>
      <c r="B111" s="589"/>
      <c r="C111" s="589"/>
      <c r="D111" s="589" t="s">
        <v>225</v>
      </c>
      <c r="E111" s="589"/>
      <c r="F111" s="589"/>
      <c r="G111" s="243" t="s">
        <v>226</v>
      </c>
      <c r="H111" s="589" t="s">
        <v>227</v>
      </c>
      <c r="I111" s="589"/>
      <c r="J111" s="587">
        <v>36729</v>
      </c>
      <c r="K111" s="587"/>
      <c r="L111" s="587"/>
      <c r="M111" s="587"/>
      <c r="N111" s="587">
        <v>14472.56</v>
      </c>
      <c r="O111" s="587"/>
      <c r="P111" s="256">
        <v>22256.44</v>
      </c>
      <c r="Q111" s="256"/>
      <c r="R111" s="256"/>
      <c r="S111" s="587">
        <v>14472.56</v>
      </c>
      <c r="T111" s="587"/>
      <c r="U111" s="588">
        <v>0</v>
      </c>
      <c r="V111" s="588"/>
      <c r="W111" s="244">
        <v>39.4</v>
      </c>
      <c r="X111" s="240"/>
    </row>
    <row r="112" spans="1:24" ht="12">
      <c r="A112" s="589" t="s">
        <v>34</v>
      </c>
      <c r="B112" s="589"/>
      <c r="C112" s="589"/>
      <c r="D112" s="589" t="s">
        <v>225</v>
      </c>
      <c r="E112" s="589"/>
      <c r="F112" s="589"/>
      <c r="G112" s="243" t="s">
        <v>226</v>
      </c>
      <c r="H112" s="589" t="s">
        <v>227</v>
      </c>
      <c r="I112" s="589"/>
      <c r="J112" s="587">
        <v>25992</v>
      </c>
      <c r="K112" s="587"/>
      <c r="L112" s="587"/>
      <c r="M112" s="587"/>
      <c r="N112" s="587">
        <v>21823</v>
      </c>
      <c r="O112" s="587"/>
      <c r="P112" s="256">
        <v>4169</v>
      </c>
      <c r="Q112" s="256"/>
      <c r="R112" s="256"/>
      <c r="S112" s="587">
        <v>21823</v>
      </c>
      <c r="T112" s="587"/>
      <c r="U112" s="588">
        <v>0</v>
      </c>
      <c r="V112" s="588"/>
      <c r="W112" s="244">
        <v>83.96</v>
      </c>
      <c r="X112" s="240"/>
    </row>
    <row r="113" spans="1:24" ht="12">
      <c r="A113" s="589" t="s">
        <v>35</v>
      </c>
      <c r="B113" s="589"/>
      <c r="C113" s="589"/>
      <c r="D113" s="589" t="s">
        <v>225</v>
      </c>
      <c r="E113" s="589"/>
      <c r="F113" s="589"/>
      <c r="G113" s="243" t="s">
        <v>226</v>
      </c>
      <c r="H113" s="589" t="s">
        <v>227</v>
      </c>
      <c r="I113" s="589"/>
      <c r="J113" s="587">
        <v>76880</v>
      </c>
      <c r="K113" s="587"/>
      <c r="L113" s="587"/>
      <c r="M113" s="587"/>
      <c r="N113" s="587">
        <v>73456</v>
      </c>
      <c r="O113" s="587"/>
      <c r="P113" s="257">
        <v>3424</v>
      </c>
      <c r="Q113" s="257"/>
      <c r="R113" s="257"/>
      <c r="S113" s="587">
        <v>76603</v>
      </c>
      <c r="T113" s="587"/>
      <c r="U113" s="588">
        <v>-3147</v>
      </c>
      <c r="V113" s="588"/>
      <c r="W113" s="244">
        <v>99.64</v>
      </c>
      <c r="X113" s="240"/>
    </row>
    <row r="114" spans="1:24" ht="10.5">
      <c r="A114" s="245"/>
      <c r="B114" s="245"/>
      <c r="C114" s="245"/>
      <c r="D114" s="245"/>
      <c r="E114" s="245"/>
      <c r="F114" s="245"/>
      <c r="G114" s="245"/>
      <c r="H114" s="245"/>
      <c r="I114" s="245"/>
      <c r="J114" s="245"/>
      <c r="K114" s="245"/>
      <c r="L114" s="245"/>
      <c r="M114" s="245"/>
      <c r="N114" s="245"/>
      <c r="O114" s="245"/>
      <c r="P114" s="245"/>
      <c r="Q114" s="245"/>
      <c r="R114" s="245"/>
      <c r="S114" s="245"/>
      <c r="T114" s="245"/>
      <c r="U114" s="245"/>
      <c r="V114" s="245"/>
      <c r="W114" s="245"/>
      <c r="X114" s="240"/>
    </row>
    <row r="115" spans="1:24" ht="11.25">
      <c r="A115" s="240"/>
      <c r="B115" s="240"/>
      <c r="C115" s="240"/>
      <c r="D115" s="240"/>
      <c r="E115" s="240"/>
      <c r="F115" s="240"/>
      <c r="G115" s="240"/>
      <c r="H115" s="240"/>
      <c r="I115" s="240"/>
      <c r="J115" s="585">
        <v>510548</v>
      </c>
      <c r="K115" s="585"/>
      <c r="L115" s="585"/>
      <c r="M115" s="585"/>
      <c r="N115" s="585">
        <v>375050.61</v>
      </c>
      <c r="O115" s="585"/>
      <c r="P115" s="258">
        <v>135497.39</v>
      </c>
      <c r="Q115" s="258"/>
      <c r="R115" s="258"/>
      <c r="S115" s="585">
        <v>388470.38</v>
      </c>
      <c r="T115" s="585"/>
      <c r="U115" s="585">
        <v>-13419.77</v>
      </c>
      <c r="V115" s="585"/>
      <c r="W115" s="240"/>
      <c r="X115" s="240"/>
    </row>
    <row r="116" spans="1:24" ht="12">
      <c r="A116" s="240"/>
      <c r="B116" s="558" t="s">
        <v>213</v>
      </c>
      <c r="C116" s="558"/>
      <c r="D116" s="590" t="s">
        <v>238</v>
      </c>
      <c r="E116" s="590"/>
      <c r="F116" s="590"/>
      <c r="G116" s="590"/>
      <c r="H116" s="590"/>
      <c r="I116" s="590"/>
      <c r="J116" s="590"/>
      <c r="K116" s="590"/>
      <c r="L116" s="590"/>
      <c r="M116" s="590"/>
      <c r="N116" s="240"/>
      <c r="O116" s="240"/>
      <c r="P116" s="240"/>
      <c r="Q116" s="240"/>
      <c r="R116" s="240"/>
      <c r="S116" s="240"/>
      <c r="T116" s="240"/>
      <c r="U116" s="240"/>
      <c r="V116" s="240"/>
      <c r="W116" s="240"/>
      <c r="X116" s="240"/>
    </row>
    <row r="117" spans="1:24" ht="12">
      <c r="A117" s="558" t="s">
        <v>215</v>
      </c>
      <c r="B117" s="558"/>
      <c r="C117" s="240"/>
      <c r="D117" s="240"/>
      <c r="E117" s="591" t="s">
        <v>216</v>
      </c>
      <c r="F117" s="591"/>
      <c r="G117" s="591"/>
      <c r="H117" s="591"/>
      <c r="I117" s="591"/>
      <c r="J117" s="586" t="s">
        <v>5</v>
      </c>
      <c r="K117" s="586"/>
      <c r="L117" s="586"/>
      <c r="M117" s="586"/>
      <c r="N117" s="586" t="s">
        <v>217</v>
      </c>
      <c r="O117" s="586"/>
      <c r="P117" s="561" t="s">
        <v>218</v>
      </c>
      <c r="Q117" s="561"/>
      <c r="R117" s="240"/>
      <c r="S117" s="586" t="s">
        <v>219</v>
      </c>
      <c r="T117" s="586"/>
      <c r="U117" s="240"/>
      <c r="V117" s="241" t="s">
        <v>220</v>
      </c>
      <c r="W117" s="241" t="s">
        <v>221</v>
      </c>
      <c r="X117" s="240"/>
    </row>
    <row r="118" spans="1:24" ht="12">
      <c r="A118" s="558"/>
      <c r="B118" s="558"/>
      <c r="C118" s="240"/>
      <c r="D118" s="240"/>
      <c r="E118" s="558" t="s">
        <v>222</v>
      </c>
      <c r="F118" s="558"/>
      <c r="G118" s="558"/>
      <c r="H118" s="558"/>
      <c r="I118" s="558"/>
      <c r="J118" s="561" t="s">
        <v>223</v>
      </c>
      <c r="K118" s="561"/>
      <c r="L118" s="561"/>
      <c r="M118" s="561"/>
      <c r="N118" s="561" t="s">
        <v>224</v>
      </c>
      <c r="O118" s="561"/>
      <c r="P118" s="561"/>
      <c r="Q118" s="561"/>
      <c r="R118" s="240"/>
      <c r="S118" s="561" t="s">
        <v>224</v>
      </c>
      <c r="T118" s="561"/>
      <c r="U118" s="240"/>
      <c r="V118" s="242" t="s">
        <v>115</v>
      </c>
      <c r="W118" s="242" t="s">
        <v>219</v>
      </c>
      <c r="X118" s="240"/>
    </row>
    <row r="119" spans="1:24" ht="12">
      <c r="A119" s="589" t="s">
        <v>25</v>
      </c>
      <c r="B119" s="589"/>
      <c r="C119" s="589"/>
      <c r="D119" s="589" t="s">
        <v>225</v>
      </c>
      <c r="E119" s="589"/>
      <c r="F119" s="589"/>
      <c r="G119" s="243" t="s">
        <v>226</v>
      </c>
      <c r="H119" s="589" t="s">
        <v>227</v>
      </c>
      <c r="I119" s="589"/>
      <c r="J119" s="587">
        <v>833255.35</v>
      </c>
      <c r="K119" s="587"/>
      <c r="L119" s="587"/>
      <c r="M119" s="587"/>
      <c r="N119" s="587">
        <v>683959.73</v>
      </c>
      <c r="O119" s="587"/>
      <c r="P119" s="256">
        <v>149295.62</v>
      </c>
      <c r="Q119" s="256"/>
      <c r="R119" s="256"/>
      <c r="S119" s="587">
        <v>683959.73</v>
      </c>
      <c r="T119" s="587"/>
      <c r="U119" s="588">
        <v>0</v>
      </c>
      <c r="V119" s="588"/>
      <c r="W119" s="244">
        <v>82.08</v>
      </c>
      <c r="X119" s="240"/>
    </row>
    <row r="120" spans="1:24" ht="12">
      <c r="A120" s="589" t="s">
        <v>26</v>
      </c>
      <c r="B120" s="589"/>
      <c r="C120" s="589"/>
      <c r="D120" s="589" t="s">
        <v>225</v>
      </c>
      <c r="E120" s="589"/>
      <c r="F120" s="589"/>
      <c r="G120" s="243" t="s">
        <v>226</v>
      </c>
      <c r="H120" s="589" t="s">
        <v>227</v>
      </c>
      <c r="I120" s="589"/>
      <c r="J120" s="587">
        <v>178202.11</v>
      </c>
      <c r="K120" s="587"/>
      <c r="L120" s="587"/>
      <c r="M120" s="587"/>
      <c r="N120" s="587">
        <v>145162.93</v>
      </c>
      <c r="O120" s="587"/>
      <c r="P120" s="256">
        <v>33039.18</v>
      </c>
      <c r="Q120" s="256"/>
      <c r="R120" s="256"/>
      <c r="S120" s="587">
        <v>145162.93</v>
      </c>
      <c r="T120" s="587"/>
      <c r="U120" s="588">
        <v>0</v>
      </c>
      <c r="V120" s="588"/>
      <c r="W120" s="244">
        <v>81.46</v>
      </c>
      <c r="X120" s="240"/>
    </row>
    <row r="121" spans="1:24" ht="12">
      <c r="A121" s="589" t="s">
        <v>27</v>
      </c>
      <c r="B121" s="589"/>
      <c r="C121" s="589"/>
      <c r="D121" s="589" t="s">
        <v>225</v>
      </c>
      <c r="E121" s="589"/>
      <c r="F121" s="589"/>
      <c r="G121" s="243" t="s">
        <v>226</v>
      </c>
      <c r="H121" s="589" t="s">
        <v>227</v>
      </c>
      <c r="I121" s="589"/>
      <c r="J121" s="587">
        <v>190496</v>
      </c>
      <c r="K121" s="587"/>
      <c r="L121" s="587"/>
      <c r="M121" s="587"/>
      <c r="N121" s="587">
        <v>136024</v>
      </c>
      <c r="O121" s="587"/>
      <c r="P121" s="256">
        <v>54472</v>
      </c>
      <c r="Q121" s="256"/>
      <c r="R121" s="256"/>
      <c r="S121" s="587">
        <v>136024</v>
      </c>
      <c r="T121" s="587"/>
      <c r="U121" s="588">
        <v>0</v>
      </c>
      <c r="V121" s="588"/>
      <c r="W121" s="244">
        <v>71.41</v>
      </c>
      <c r="X121" s="240"/>
    </row>
    <row r="122" spans="1:24" ht="12">
      <c r="A122" s="589" t="s">
        <v>28</v>
      </c>
      <c r="B122" s="589"/>
      <c r="C122" s="589"/>
      <c r="D122" s="589" t="s">
        <v>225</v>
      </c>
      <c r="E122" s="589"/>
      <c r="F122" s="589"/>
      <c r="G122" s="243" t="s">
        <v>226</v>
      </c>
      <c r="H122" s="589" t="s">
        <v>227</v>
      </c>
      <c r="I122" s="589"/>
      <c r="J122" s="587">
        <v>36824</v>
      </c>
      <c r="K122" s="587"/>
      <c r="L122" s="587"/>
      <c r="M122" s="587"/>
      <c r="N122" s="587">
        <v>29283</v>
      </c>
      <c r="O122" s="587"/>
      <c r="P122" s="256">
        <v>7541</v>
      </c>
      <c r="Q122" s="256"/>
      <c r="R122" s="256"/>
      <c r="S122" s="587">
        <v>29283</v>
      </c>
      <c r="T122" s="587"/>
      <c r="U122" s="588">
        <v>0</v>
      </c>
      <c r="V122" s="588"/>
      <c r="W122" s="244">
        <v>79.52</v>
      </c>
      <c r="X122" s="240"/>
    </row>
    <row r="123" spans="1:24" ht="12">
      <c r="A123" s="589" t="s">
        <v>29</v>
      </c>
      <c r="B123" s="589"/>
      <c r="C123" s="589"/>
      <c r="D123" s="589" t="s">
        <v>225</v>
      </c>
      <c r="E123" s="589"/>
      <c r="F123" s="589"/>
      <c r="G123" s="243" t="s">
        <v>226</v>
      </c>
      <c r="H123" s="589" t="s">
        <v>227</v>
      </c>
      <c r="I123" s="589"/>
      <c r="J123" s="587">
        <v>896577</v>
      </c>
      <c r="K123" s="587"/>
      <c r="L123" s="587"/>
      <c r="M123" s="587"/>
      <c r="N123" s="587">
        <v>873839</v>
      </c>
      <c r="O123" s="587"/>
      <c r="P123" s="256">
        <v>22738</v>
      </c>
      <c r="Q123" s="256"/>
      <c r="R123" s="256"/>
      <c r="S123" s="587">
        <v>879193</v>
      </c>
      <c r="T123" s="587"/>
      <c r="U123" s="588">
        <v>-5354</v>
      </c>
      <c r="V123" s="588"/>
      <c r="W123" s="244">
        <v>98.06</v>
      </c>
      <c r="X123" s="240"/>
    </row>
    <row r="124" spans="1:24" ht="12">
      <c r="A124" s="589" t="s">
        <v>40</v>
      </c>
      <c r="B124" s="589"/>
      <c r="C124" s="589"/>
      <c r="D124" s="589" t="s">
        <v>225</v>
      </c>
      <c r="E124" s="589"/>
      <c r="F124" s="589"/>
      <c r="G124" s="243" t="s">
        <v>226</v>
      </c>
      <c r="H124" s="589" t="s">
        <v>227</v>
      </c>
      <c r="I124" s="589"/>
      <c r="J124" s="587">
        <v>90729.02</v>
      </c>
      <c r="K124" s="587"/>
      <c r="L124" s="587"/>
      <c r="M124" s="587"/>
      <c r="N124" s="587">
        <v>73546.89</v>
      </c>
      <c r="O124" s="587"/>
      <c r="P124" s="256">
        <v>17182.13</v>
      </c>
      <c r="Q124" s="256"/>
      <c r="R124" s="256"/>
      <c r="S124" s="587">
        <v>73546.89</v>
      </c>
      <c r="T124" s="587"/>
      <c r="U124" s="588">
        <v>0</v>
      </c>
      <c r="V124" s="588"/>
      <c r="W124" s="244">
        <v>81.06</v>
      </c>
      <c r="X124" s="240"/>
    </row>
    <row r="125" spans="1:24" ht="12">
      <c r="A125" s="589" t="s">
        <v>30</v>
      </c>
      <c r="B125" s="589"/>
      <c r="C125" s="589"/>
      <c r="D125" s="589" t="s">
        <v>225</v>
      </c>
      <c r="E125" s="589"/>
      <c r="F125" s="589"/>
      <c r="G125" s="243" t="s">
        <v>226</v>
      </c>
      <c r="H125" s="589" t="s">
        <v>227</v>
      </c>
      <c r="I125" s="589"/>
      <c r="J125" s="587">
        <v>73634.47</v>
      </c>
      <c r="K125" s="587"/>
      <c r="L125" s="587"/>
      <c r="M125" s="587"/>
      <c r="N125" s="587">
        <v>19085.78</v>
      </c>
      <c r="O125" s="587"/>
      <c r="P125" s="256">
        <v>54548.69</v>
      </c>
      <c r="Q125" s="256"/>
      <c r="R125" s="256"/>
      <c r="S125" s="587">
        <v>19085.78</v>
      </c>
      <c r="T125" s="587"/>
      <c r="U125" s="588">
        <v>0</v>
      </c>
      <c r="V125" s="588"/>
      <c r="W125" s="244">
        <v>25.92</v>
      </c>
      <c r="X125" s="240"/>
    </row>
    <row r="126" spans="1:24" ht="12">
      <c r="A126" s="589" t="s">
        <v>31</v>
      </c>
      <c r="B126" s="589"/>
      <c r="C126" s="589"/>
      <c r="D126" s="589" t="s">
        <v>225</v>
      </c>
      <c r="E126" s="589"/>
      <c r="F126" s="589"/>
      <c r="G126" s="243" t="s">
        <v>226</v>
      </c>
      <c r="H126" s="589" t="s">
        <v>227</v>
      </c>
      <c r="I126" s="589"/>
      <c r="J126" s="587">
        <v>1089464.6</v>
      </c>
      <c r="K126" s="587"/>
      <c r="L126" s="587"/>
      <c r="M126" s="587"/>
      <c r="N126" s="587">
        <v>638793.06</v>
      </c>
      <c r="O126" s="587"/>
      <c r="P126" s="256">
        <v>450671.54</v>
      </c>
      <c r="Q126" s="256"/>
      <c r="R126" s="256"/>
      <c r="S126" s="587">
        <v>646905.56</v>
      </c>
      <c r="T126" s="587"/>
      <c r="U126" s="588">
        <v>-8112.5</v>
      </c>
      <c r="V126" s="588"/>
      <c r="W126" s="244">
        <v>59.38</v>
      </c>
      <c r="X126" s="240"/>
    </row>
    <row r="127" spans="1:24" ht="12">
      <c r="A127" s="589" t="s">
        <v>32</v>
      </c>
      <c r="B127" s="589"/>
      <c r="C127" s="589"/>
      <c r="D127" s="589" t="s">
        <v>225</v>
      </c>
      <c r="E127" s="589"/>
      <c r="F127" s="589"/>
      <c r="G127" s="243" t="s">
        <v>226</v>
      </c>
      <c r="H127" s="589" t="s">
        <v>227</v>
      </c>
      <c r="I127" s="589"/>
      <c r="J127" s="587">
        <v>238635</v>
      </c>
      <c r="K127" s="587"/>
      <c r="L127" s="587"/>
      <c r="M127" s="587"/>
      <c r="N127" s="587">
        <v>209500</v>
      </c>
      <c r="O127" s="587"/>
      <c r="P127" s="256">
        <v>29135</v>
      </c>
      <c r="Q127" s="256"/>
      <c r="R127" s="256"/>
      <c r="S127" s="587">
        <v>198479</v>
      </c>
      <c r="T127" s="587"/>
      <c r="U127" s="588">
        <v>11021</v>
      </c>
      <c r="V127" s="588"/>
      <c r="W127" s="244">
        <v>83.17</v>
      </c>
      <c r="X127" s="240"/>
    </row>
    <row r="128" spans="1:24" ht="12">
      <c r="A128" s="589" t="s">
        <v>33</v>
      </c>
      <c r="B128" s="589"/>
      <c r="C128" s="589"/>
      <c r="D128" s="589" t="s">
        <v>225</v>
      </c>
      <c r="E128" s="589"/>
      <c r="F128" s="589"/>
      <c r="G128" s="243" t="s">
        <v>226</v>
      </c>
      <c r="H128" s="589" t="s">
        <v>227</v>
      </c>
      <c r="I128" s="589"/>
      <c r="J128" s="587">
        <v>795218</v>
      </c>
      <c r="K128" s="587"/>
      <c r="L128" s="587"/>
      <c r="M128" s="587"/>
      <c r="N128" s="587">
        <v>687118</v>
      </c>
      <c r="O128" s="587"/>
      <c r="P128" s="256">
        <v>108100</v>
      </c>
      <c r="Q128" s="256"/>
      <c r="R128" s="256"/>
      <c r="S128" s="587">
        <v>723917</v>
      </c>
      <c r="T128" s="587"/>
      <c r="U128" s="588">
        <v>-36799</v>
      </c>
      <c r="V128" s="588"/>
      <c r="W128" s="244">
        <v>91.03</v>
      </c>
      <c r="X128" s="240"/>
    </row>
    <row r="129" spans="1:24" ht="12">
      <c r="A129" s="589" t="s">
        <v>41</v>
      </c>
      <c r="B129" s="589"/>
      <c r="C129" s="589"/>
      <c r="D129" s="589" t="s">
        <v>225</v>
      </c>
      <c r="E129" s="589"/>
      <c r="F129" s="589"/>
      <c r="G129" s="243" t="s">
        <v>226</v>
      </c>
      <c r="H129" s="589" t="s">
        <v>227</v>
      </c>
      <c r="I129" s="589"/>
      <c r="J129" s="587">
        <v>384461.74</v>
      </c>
      <c r="K129" s="587"/>
      <c r="L129" s="587"/>
      <c r="M129" s="587"/>
      <c r="N129" s="587">
        <v>151545.08</v>
      </c>
      <c r="O129" s="587"/>
      <c r="P129" s="256">
        <v>232916.66</v>
      </c>
      <c r="Q129" s="256"/>
      <c r="R129" s="256"/>
      <c r="S129" s="587">
        <v>151545.08</v>
      </c>
      <c r="T129" s="587"/>
      <c r="U129" s="588">
        <v>0</v>
      </c>
      <c r="V129" s="588"/>
      <c r="W129" s="244">
        <v>39.42</v>
      </c>
      <c r="X129" s="240"/>
    </row>
    <row r="130" spans="1:24" ht="12">
      <c r="A130" s="589" t="s">
        <v>34</v>
      </c>
      <c r="B130" s="589"/>
      <c r="C130" s="589"/>
      <c r="D130" s="589" t="s">
        <v>225</v>
      </c>
      <c r="E130" s="589"/>
      <c r="F130" s="589"/>
      <c r="G130" s="243" t="s">
        <v>226</v>
      </c>
      <c r="H130" s="589" t="s">
        <v>227</v>
      </c>
      <c r="I130" s="589"/>
      <c r="J130" s="587">
        <v>234128</v>
      </c>
      <c r="K130" s="587"/>
      <c r="L130" s="587"/>
      <c r="M130" s="587"/>
      <c r="N130" s="587">
        <v>169560.25</v>
      </c>
      <c r="O130" s="587"/>
      <c r="P130" s="256">
        <v>64567.75</v>
      </c>
      <c r="Q130" s="256"/>
      <c r="R130" s="256"/>
      <c r="S130" s="587">
        <v>169560.25</v>
      </c>
      <c r="T130" s="587"/>
      <c r="U130" s="588">
        <v>0</v>
      </c>
      <c r="V130" s="588"/>
      <c r="W130" s="244">
        <v>72.42</v>
      </c>
      <c r="X130" s="240"/>
    </row>
    <row r="131" spans="1:24" ht="12">
      <c r="A131" s="589" t="s">
        <v>35</v>
      </c>
      <c r="B131" s="589"/>
      <c r="C131" s="589"/>
      <c r="D131" s="589" t="s">
        <v>225</v>
      </c>
      <c r="E131" s="589"/>
      <c r="F131" s="589"/>
      <c r="G131" s="243" t="s">
        <v>226</v>
      </c>
      <c r="H131" s="589" t="s">
        <v>227</v>
      </c>
      <c r="I131" s="589"/>
      <c r="J131" s="587">
        <v>691892</v>
      </c>
      <c r="K131" s="587"/>
      <c r="L131" s="587"/>
      <c r="M131" s="587"/>
      <c r="N131" s="587">
        <v>650130</v>
      </c>
      <c r="O131" s="587"/>
      <c r="P131" s="257">
        <v>41762</v>
      </c>
      <c r="Q131" s="257"/>
      <c r="R131" s="257"/>
      <c r="S131" s="587">
        <v>677569</v>
      </c>
      <c r="T131" s="587"/>
      <c r="U131" s="588">
        <v>-27439</v>
      </c>
      <c r="V131" s="588"/>
      <c r="W131" s="244">
        <v>97.93</v>
      </c>
      <c r="X131" s="240"/>
    </row>
    <row r="132" spans="1:24" ht="10.5">
      <c r="A132" s="245"/>
      <c r="B132" s="245"/>
      <c r="C132" s="245"/>
      <c r="D132" s="245"/>
      <c r="E132" s="245"/>
      <c r="F132" s="245"/>
      <c r="G132" s="245"/>
      <c r="H132" s="245"/>
      <c r="I132" s="245"/>
      <c r="J132" s="245"/>
      <c r="K132" s="245"/>
      <c r="L132" s="245"/>
      <c r="M132" s="245"/>
      <c r="N132" s="245"/>
      <c r="O132" s="245"/>
      <c r="P132" s="245"/>
      <c r="Q132" s="245"/>
      <c r="R132" s="245"/>
      <c r="S132" s="245"/>
      <c r="T132" s="245"/>
      <c r="U132" s="245"/>
      <c r="V132" s="245"/>
      <c r="W132" s="245"/>
      <c r="X132" s="240"/>
    </row>
    <row r="133" spans="1:24" ht="12" thickBot="1">
      <c r="A133" s="240"/>
      <c r="B133" s="240"/>
      <c r="C133" s="240"/>
      <c r="D133" s="240"/>
      <c r="E133" s="240"/>
      <c r="F133" s="240"/>
      <c r="G133" s="240"/>
      <c r="H133" s="240"/>
      <c r="I133" s="240"/>
      <c r="J133" s="585">
        <v>5733517.29</v>
      </c>
      <c r="K133" s="585"/>
      <c r="L133" s="585"/>
      <c r="M133" s="585"/>
      <c r="N133" s="585">
        <v>4467547.72</v>
      </c>
      <c r="O133" s="585"/>
      <c r="P133" s="259">
        <v>1265969.57</v>
      </c>
      <c r="Q133" s="259"/>
      <c r="R133" s="259"/>
      <c r="S133" s="585">
        <v>4534231.22</v>
      </c>
      <c r="T133" s="585"/>
      <c r="U133" s="585">
        <v>-66683.5</v>
      </c>
      <c r="V133" s="585"/>
      <c r="W133" s="240"/>
      <c r="X133" s="240"/>
    </row>
    <row r="134" spans="1:24" ht="11.25" thickTop="1">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0"/>
    </row>
    <row r="135" spans="1:24" ht="12">
      <c r="A135" s="586" t="s">
        <v>239</v>
      </c>
      <c r="B135" s="586"/>
      <c r="C135" s="586"/>
      <c r="D135" s="586"/>
      <c r="E135" s="586"/>
      <c r="F135" s="586"/>
      <c r="G135" s="586"/>
      <c r="H135" s="586"/>
      <c r="I135" s="240"/>
      <c r="J135" s="584">
        <v>6244065.29</v>
      </c>
      <c r="K135" s="584"/>
      <c r="L135" s="584"/>
      <c r="M135" s="584"/>
      <c r="N135" s="584">
        <v>4842598.33</v>
      </c>
      <c r="O135" s="584"/>
      <c r="P135" s="258">
        <v>1401466.96</v>
      </c>
      <c r="Q135" s="258"/>
      <c r="R135" s="258"/>
      <c r="S135" s="584">
        <v>4922701.6</v>
      </c>
      <c r="T135" s="584"/>
      <c r="U135" s="584">
        <v>-80103.27</v>
      </c>
      <c r="V135" s="584"/>
      <c r="W135" s="240"/>
      <c r="X135" s="240"/>
    </row>
    <row r="136" spans="1:24" ht="12">
      <c r="A136" s="558" t="s">
        <v>211</v>
      </c>
      <c r="B136" s="558"/>
      <c r="C136" s="590" t="s">
        <v>240</v>
      </c>
      <c r="D136" s="590"/>
      <c r="E136" s="590"/>
      <c r="F136" s="590"/>
      <c r="G136" s="590"/>
      <c r="H136" s="590"/>
      <c r="I136" s="590"/>
      <c r="J136" s="590"/>
      <c r="K136" s="590"/>
      <c r="L136" s="240"/>
      <c r="M136" s="240"/>
      <c r="N136" s="240"/>
      <c r="O136" s="240"/>
      <c r="P136" s="240"/>
      <c r="Q136" s="240"/>
      <c r="R136" s="240"/>
      <c r="S136" s="240"/>
      <c r="T136" s="240"/>
      <c r="U136" s="240"/>
      <c r="V136" s="240"/>
      <c r="W136" s="240"/>
      <c r="X136" s="240"/>
    </row>
    <row r="137" spans="1:24" ht="10.5">
      <c r="A137" s="558"/>
      <c r="B137" s="558"/>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row>
    <row r="138" spans="1:24" ht="12">
      <c r="A138" s="240"/>
      <c r="B138" s="558" t="s">
        <v>213</v>
      </c>
      <c r="C138" s="558"/>
      <c r="D138" s="590" t="s">
        <v>75</v>
      </c>
      <c r="E138" s="590"/>
      <c r="F138" s="590"/>
      <c r="G138" s="590"/>
      <c r="H138" s="590"/>
      <c r="I138" s="590"/>
      <c r="J138" s="590"/>
      <c r="K138" s="590"/>
      <c r="L138" s="590"/>
      <c r="M138" s="590"/>
      <c r="N138" s="240"/>
      <c r="O138" s="240"/>
      <c r="P138" s="240"/>
      <c r="Q138" s="240"/>
      <c r="R138" s="240"/>
      <c r="S138" s="240"/>
      <c r="T138" s="240"/>
      <c r="U138" s="240"/>
      <c r="V138" s="240"/>
      <c r="W138" s="240"/>
      <c r="X138" s="240"/>
    </row>
    <row r="139" spans="1:24" ht="12">
      <c r="A139" s="558" t="s">
        <v>215</v>
      </c>
      <c r="B139" s="558"/>
      <c r="C139" s="240"/>
      <c r="D139" s="240"/>
      <c r="E139" s="591" t="s">
        <v>216</v>
      </c>
      <c r="F139" s="591"/>
      <c r="G139" s="591"/>
      <c r="H139" s="591"/>
      <c r="I139" s="591"/>
      <c r="J139" s="586" t="s">
        <v>5</v>
      </c>
      <c r="K139" s="586"/>
      <c r="L139" s="586"/>
      <c r="M139" s="586"/>
      <c r="N139" s="586" t="s">
        <v>217</v>
      </c>
      <c r="O139" s="586"/>
      <c r="P139" s="561" t="s">
        <v>218</v>
      </c>
      <c r="Q139" s="561"/>
      <c r="R139" s="240"/>
      <c r="S139" s="586" t="s">
        <v>219</v>
      </c>
      <c r="T139" s="586"/>
      <c r="U139" s="240"/>
      <c r="V139" s="241" t="s">
        <v>220</v>
      </c>
      <c r="W139" s="241" t="s">
        <v>221</v>
      </c>
      <c r="X139" s="240"/>
    </row>
    <row r="140" spans="1:24" ht="12">
      <c r="A140" s="558"/>
      <c r="B140" s="558"/>
      <c r="C140" s="240"/>
      <c r="D140" s="240"/>
      <c r="E140" s="558" t="s">
        <v>222</v>
      </c>
      <c r="F140" s="558"/>
      <c r="G140" s="558"/>
      <c r="H140" s="558"/>
      <c r="I140" s="558"/>
      <c r="J140" s="561" t="s">
        <v>223</v>
      </c>
      <c r="K140" s="561"/>
      <c r="L140" s="561"/>
      <c r="M140" s="561"/>
      <c r="N140" s="561" t="s">
        <v>224</v>
      </c>
      <c r="O140" s="561"/>
      <c r="P140" s="561"/>
      <c r="Q140" s="561"/>
      <c r="R140" s="240"/>
      <c r="S140" s="561" t="s">
        <v>224</v>
      </c>
      <c r="T140" s="561"/>
      <c r="U140" s="240"/>
      <c r="V140" s="242" t="s">
        <v>115</v>
      </c>
      <c r="W140" s="242" t="s">
        <v>219</v>
      </c>
      <c r="X140" s="240"/>
    </row>
    <row r="141" spans="1:24" ht="12">
      <c r="A141" s="589" t="s">
        <v>36</v>
      </c>
      <c r="B141" s="589"/>
      <c r="C141" s="589"/>
      <c r="D141" s="589" t="s">
        <v>225</v>
      </c>
      <c r="E141" s="589"/>
      <c r="F141" s="589"/>
      <c r="G141" s="243" t="s">
        <v>226</v>
      </c>
      <c r="H141" s="589" t="s">
        <v>227</v>
      </c>
      <c r="I141" s="589"/>
      <c r="J141" s="587">
        <v>277416</v>
      </c>
      <c r="K141" s="587"/>
      <c r="L141" s="587"/>
      <c r="M141" s="587"/>
      <c r="N141" s="587">
        <v>217819</v>
      </c>
      <c r="O141" s="587"/>
      <c r="P141" s="256">
        <v>59597</v>
      </c>
      <c r="Q141" s="256"/>
      <c r="R141" s="256"/>
      <c r="S141" s="587">
        <v>217819</v>
      </c>
      <c r="T141" s="587"/>
      <c r="U141" s="588">
        <v>0</v>
      </c>
      <c r="V141" s="588"/>
      <c r="W141" s="244">
        <v>78.52</v>
      </c>
      <c r="X141" s="240"/>
    </row>
    <row r="142" spans="1:24" ht="12">
      <c r="A142" s="589" t="s">
        <v>37</v>
      </c>
      <c r="B142" s="589"/>
      <c r="C142" s="589"/>
      <c r="D142" s="589" t="s">
        <v>225</v>
      </c>
      <c r="E142" s="589"/>
      <c r="F142" s="589"/>
      <c r="G142" s="243" t="s">
        <v>226</v>
      </c>
      <c r="H142" s="589" t="s">
        <v>227</v>
      </c>
      <c r="I142" s="589"/>
      <c r="J142" s="587">
        <v>167984.83</v>
      </c>
      <c r="K142" s="587"/>
      <c r="L142" s="587"/>
      <c r="M142" s="587"/>
      <c r="N142" s="587">
        <v>84051.09</v>
      </c>
      <c r="O142" s="587"/>
      <c r="P142" s="256">
        <v>83933.74</v>
      </c>
      <c r="Q142" s="256"/>
      <c r="R142" s="256"/>
      <c r="S142" s="587">
        <v>94051.09</v>
      </c>
      <c r="T142" s="587"/>
      <c r="U142" s="588">
        <v>-10000</v>
      </c>
      <c r="V142" s="588"/>
      <c r="W142" s="244">
        <v>55.99</v>
      </c>
      <c r="X142" s="240"/>
    </row>
    <row r="143" spans="1:24" ht="12">
      <c r="A143" s="589" t="s">
        <v>31</v>
      </c>
      <c r="B143" s="589"/>
      <c r="C143" s="589"/>
      <c r="D143" s="589" t="s">
        <v>225</v>
      </c>
      <c r="E143" s="589"/>
      <c r="F143" s="589"/>
      <c r="G143" s="243" t="s">
        <v>226</v>
      </c>
      <c r="H143" s="589" t="s">
        <v>227</v>
      </c>
      <c r="I143" s="589"/>
      <c r="J143" s="587">
        <v>199082</v>
      </c>
      <c r="K143" s="587"/>
      <c r="L143" s="587"/>
      <c r="M143" s="587"/>
      <c r="N143" s="587">
        <v>132233.4</v>
      </c>
      <c r="O143" s="587"/>
      <c r="P143" s="256">
        <v>66848.6</v>
      </c>
      <c r="Q143" s="256"/>
      <c r="R143" s="256"/>
      <c r="S143" s="587">
        <v>161229.47</v>
      </c>
      <c r="T143" s="587"/>
      <c r="U143" s="588">
        <v>-28996.07</v>
      </c>
      <c r="V143" s="588"/>
      <c r="W143" s="244">
        <v>80.99</v>
      </c>
      <c r="X143" s="240"/>
    </row>
    <row r="144" spans="1:24" ht="12">
      <c r="A144" s="589" t="s">
        <v>32</v>
      </c>
      <c r="B144" s="589"/>
      <c r="C144" s="589"/>
      <c r="D144" s="589" t="s">
        <v>225</v>
      </c>
      <c r="E144" s="589"/>
      <c r="F144" s="589"/>
      <c r="G144" s="243" t="s">
        <v>226</v>
      </c>
      <c r="H144" s="589" t="s">
        <v>227</v>
      </c>
      <c r="I144" s="589"/>
      <c r="J144" s="587">
        <v>132851</v>
      </c>
      <c r="K144" s="587"/>
      <c r="L144" s="587"/>
      <c r="M144" s="587"/>
      <c r="N144" s="587">
        <v>132851</v>
      </c>
      <c r="O144" s="587"/>
      <c r="P144" s="256">
        <v>0</v>
      </c>
      <c r="Q144" s="256"/>
      <c r="R144" s="256"/>
      <c r="S144" s="587">
        <v>132851</v>
      </c>
      <c r="T144" s="587"/>
      <c r="U144" s="588">
        <v>0</v>
      </c>
      <c r="V144" s="588"/>
      <c r="W144" s="244">
        <v>100</v>
      </c>
      <c r="X144" s="240"/>
    </row>
    <row r="145" spans="1:24" ht="12">
      <c r="A145" s="589" t="s">
        <v>38</v>
      </c>
      <c r="B145" s="589"/>
      <c r="C145" s="589"/>
      <c r="D145" s="589" t="s">
        <v>225</v>
      </c>
      <c r="E145" s="589"/>
      <c r="F145" s="589"/>
      <c r="G145" s="243" t="s">
        <v>226</v>
      </c>
      <c r="H145" s="589" t="s">
        <v>227</v>
      </c>
      <c r="I145" s="589"/>
      <c r="J145" s="587">
        <v>31934</v>
      </c>
      <c r="K145" s="587"/>
      <c r="L145" s="587"/>
      <c r="M145" s="587"/>
      <c r="N145" s="587">
        <v>22789</v>
      </c>
      <c r="O145" s="587"/>
      <c r="P145" s="257">
        <v>9145</v>
      </c>
      <c r="Q145" s="257"/>
      <c r="R145" s="257"/>
      <c r="S145" s="587">
        <v>22789</v>
      </c>
      <c r="T145" s="587"/>
      <c r="U145" s="588">
        <v>0</v>
      </c>
      <c r="V145" s="588"/>
      <c r="W145" s="244">
        <v>71.36</v>
      </c>
      <c r="X145" s="240"/>
    </row>
    <row r="146" spans="1:24" ht="10.5">
      <c r="A146" s="245"/>
      <c r="B146" s="245"/>
      <c r="C146" s="245"/>
      <c r="D146" s="245"/>
      <c r="E146" s="245"/>
      <c r="F146" s="245"/>
      <c r="G146" s="245"/>
      <c r="H146" s="245"/>
      <c r="I146" s="245"/>
      <c r="J146" s="245"/>
      <c r="K146" s="245"/>
      <c r="L146" s="245"/>
      <c r="M146" s="245"/>
      <c r="N146" s="245"/>
      <c r="O146" s="245"/>
      <c r="P146" s="245"/>
      <c r="Q146" s="245"/>
      <c r="R146" s="245"/>
      <c r="S146" s="245"/>
      <c r="T146" s="245"/>
      <c r="U146" s="245"/>
      <c r="V146" s="245"/>
      <c r="W146" s="245"/>
      <c r="X146" s="240"/>
    </row>
    <row r="147" spans="1:24" ht="11.25">
      <c r="A147" s="240"/>
      <c r="B147" s="240"/>
      <c r="C147" s="240"/>
      <c r="D147" s="240"/>
      <c r="E147" s="240"/>
      <c r="F147" s="240"/>
      <c r="G147" s="240"/>
      <c r="H147" s="240"/>
      <c r="I147" s="240"/>
      <c r="J147" s="585">
        <v>809267.83</v>
      </c>
      <c r="K147" s="585"/>
      <c r="L147" s="585"/>
      <c r="M147" s="585"/>
      <c r="N147" s="585">
        <v>589743.49</v>
      </c>
      <c r="O147" s="585"/>
      <c r="P147" s="258">
        <v>219524.34</v>
      </c>
      <c r="Q147" s="258"/>
      <c r="R147" s="258"/>
      <c r="S147" s="585">
        <v>628739.56</v>
      </c>
      <c r="T147" s="585"/>
      <c r="U147" s="585">
        <v>-38996.07</v>
      </c>
      <c r="V147" s="585"/>
      <c r="W147" s="240"/>
      <c r="X147" s="240"/>
    </row>
    <row r="148" spans="1:24" ht="12">
      <c r="A148" s="240"/>
      <c r="B148" s="558" t="s">
        <v>213</v>
      </c>
      <c r="C148" s="558"/>
      <c r="D148" s="590" t="s">
        <v>238</v>
      </c>
      <c r="E148" s="590"/>
      <c r="F148" s="590"/>
      <c r="G148" s="590"/>
      <c r="H148" s="590"/>
      <c r="I148" s="590"/>
      <c r="J148" s="590"/>
      <c r="K148" s="590"/>
      <c r="L148" s="590"/>
      <c r="M148" s="590"/>
      <c r="N148" s="240"/>
      <c r="O148" s="240"/>
      <c r="P148" s="240"/>
      <c r="Q148" s="240"/>
      <c r="R148" s="240"/>
      <c r="S148" s="240"/>
      <c r="T148" s="240"/>
      <c r="U148" s="240"/>
      <c r="V148" s="240"/>
      <c r="W148" s="240"/>
      <c r="X148" s="240"/>
    </row>
    <row r="149" spans="1:24" ht="12">
      <c r="A149" s="558" t="s">
        <v>215</v>
      </c>
      <c r="B149" s="558"/>
      <c r="C149" s="240"/>
      <c r="D149" s="240"/>
      <c r="E149" s="591" t="s">
        <v>216</v>
      </c>
      <c r="F149" s="591"/>
      <c r="G149" s="591"/>
      <c r="H149" s="591"/>
      <c r="I149" s="591"/>
      <c r="J149" s="586" t="s">
        <v>5</v>
      </c>
      <c r="K149" s="586"/>
      <c r="L149" s="586"/>
      <c r="M149" s="586"/>
      <c r="N149" s="586" t="s">
        <v>217</v>
      </c>
      <c r="O149" s="586"/>
      <c r="P149" s="561" t="s">
        <v>218</v>
      </c>
      <c r="Q149" s="561"/>
      <c r="R149" s="240"/>
      <c r="S149" s="586" t="s">
        <v>219</v>
      </c>
      <c r="T149" s="586"/>
      <c r="U149" s="240"/>
      <c r="V149" s="241" t="s">
        <v>220</v>
      </c>
      <c r="W149" s="241" t="s">
        <v>221</v>
      </c>
      <c r="X149" s="240"/>
    </row>
    <row r="150" spans="1:24" ht="12">
      <c r="A150" s="558"/>
      <c r="B150" s="558"/>
      <c r="C150" s="240"/>
      <c r="D150" s="240"/>
      <c r="E150" s="558" t="s">
        <v>222</v>
      </c>
      <c r="F150" s="558"/>
      <c r="G150" s="558"/>
      <c r="H150" s="558"/>
      <c r="I150" s="558"/>
      <c r="J150" s="561" t="s">
        <v>223</v>
      </c>
      <c r="K150" s="561"/>
      <c r="L150" s="561"/>
      <c r="M150" s="561"/>
      <c r="N150" s="561" t="s">
        <v>224</v>
      </c>
      <c r="O150" s="561"/>
      <c r="P150" s="561"/>
      <c r="Q150" s="561"/>
      <c r="R150" s="240"/>
      <c r="S150" s="561" t="s">
        <v>224</v>
      </c>
      <c r="T150" s="561"/>
      <c r="U150" s="240"/>
      <c r="V150" s="242" t="s">
        <v>115</v>
      </c>
      <c r="W150" s="242" t="s">
        <v>219</v>
      </c>
      <c r="X150" s="240"/>
    </row>
    <row r="151" spans="1:24" ht="12">
      <c r="A151" s="589" t="s">
        <v>36</v>
      </c>
      <c r="B151" s="589"/>
      <c r="C151" s="589"/>
      <c r="D151" s="589" t="s">
        <v>225</v>
      </c>
      <c r="E151" s="589"/>
      <c r="F151" s="589"/>
      <c r="G151" s="243" t="s">
        <v>226</v>
      </c>
      <c r="H151" s="589" t="s">
        <v>227</v>
      </c>
      <c r="I151" s="589"/>
      <c r="J151" s="587">
        <v>2690300</v>
      </c>
      <c r="K151" s="587"/>
      <c r="L151" s="587"/>
      <c r="M151" s="587"/>
      <c r="N151" s="587">
        <v>2211607</v>
      </c>
      <c r="O151" s="587"/>
      <c r="P151" s="256">
        <v>478693</v>
      </c>
      <c r="Q151" s="256"/>
      <c r="R151" s="256"/>
      <c r="S151" s="587">
        <v>2211607</v>
      </c>
      <c r="T151" s="587"/>
      <c r="U151" s="588">
        <v>0</v>
      </c>
      <c r="V151" s="588"/>
      <c r="W151" s="244">
        <v>82.21</v>
      </c>
      <c r="X151" s="240"/>
    </row>
    <row r="152" spans="1:24" ht="12">
      <c r="A152" s="589" t="s">
        <v>37</v>
      </c>
      <c r="B152" s="589"/>
      <c r="C152" s="589"/>
      <c r="D152" s="589" t="s">
        <v>225</v>
      </c>
      <c r="E152" s="589"/>
      <c r="F152" s="589"/>
      <c r="G152" s="243" t="s">
        <v>226</v>
      </c>
      <c r="H152" s="589" t="s">
        <v>227</v>
      </c>
      <c r="I152" s="589"/>
      <c r="J152" s="587">
        <v>1528359.32</v>
      </c>
      <c r="K152" s="587"/>
      <c r="L152" s="587"/>
      <c r="M152" s="587"/>
      <c r="N152" s="587">
        <v>864818.15</v>
      </c>
      <c r="O152" s="587"/>
      <c r="P152" s="256">
        <v>663541.17</v>
      </c>
      <c r="Q152" s="256"/>
      <c r="R152" s="256"/>
      <c r="S152" s="587">
        <v>929732.83</v>
      </c>
      <c r="T152" s="587"/>
      <c r="U152" s="588">
        <v>-64914.68</v>
      </c>
      <c r="V152" s="588"/>
      <c r="W152" s="244">
        <v>60.83</v>
      </c>
      <c r="X152" s="240"/>
    </row>
    <row r="153" spans="1:24" ht="12">
      <c r="A153" s="589" t="s">
        <v>31</v>
      </c>
      <c r="B153" s="589"/>
      <c r="C153" s="589"/>
      <c r="D153" s="589" t="s">
        <v>225</v>
      </c>
      <c r="E153" s="589"/>
      <c r="F153" s="589"/>
      <c r="G153" s="243" t="s">
        <v>226</v>
      </c>
      <c r="H153" s="589" t="s">
        <v>227</v>
      </c>
      <c r="I153" s="589"/>
      <c r="J153" s="587">
        <v>3190376.5</v>
      </c>
      <c r="K153" s="587"/>
      <c r="L153" s="587"/>
      <c r="M153" s="587"/>
      <c r="N153" s="587">
        <v>2755280.88</v>
      </c>
      <c r="O153" s="587"/>
      <c r="P153" s="256">
        <v>435095.62</v>
      </c>
      <c r="Q153" s="256"/>
      <c r="R153" s="256"/>
      <c r="S153" s="587">
        <v>2915668.8</v>
      </c>
      <c r="T153" s="587"/>
      <c r="U153" s="588">
        <v>-160387.92</v>
      </c>
      <c r="V153" s="588"/>
      <c r="W153" s="244">
        <v>91.39</v>
      </c>
      <c r="X153" s="240"/>
    </row>
    <row r="154" spans="1:24" ht="12">
      <c r="A154" s="589" t="s">
        <v>32</v>
      </c>
      <c r="B154" s="589"/>
      <c r="C154" s="589"/>
      <c r="D154" s="589" t="s">
        <v>225</v>
      </c>
      <c r="E154" s="589"/>
      <c r="F154" s="589"/>
      <c r="G154" s="243" t="s">
        <v>226</v>
      </c>
      <c r="H154" s="589" t="s">
        <v>227</v>
      </c>
      <c r="I154" s="589"/>
      <c r="J154" s="587">
        <v>1465038.52</v>
      </c>
      <c r="K154" s="587"/>
      <c r="L154" s="587"/>
      <c r="M154" s="587"/>
      <c r="N154" s="587">
        <v>1292757</v>
      </c>
      <c r="O154" s="587"/>
      <c r="P154" s="256">
        <v>172281.52</v>
      </c>
      <c r="Q154" s="256"/>
      <c r="R154" s="256"/>
      <c r="S154" s="587">
        <v>1202580</v>
      </c>
      <c r="T154" s="587"/>
      <c r="U154" s="588">
        <v>90177</v>
      </c>
      <c r="V154" s="588"/>
      <c r="W154" s="244">
        <v>82.09</v>
      </c>
      <c r="X154" s="240"/>
    </row>
    <row r="155" spans="1:24" ht="12">
      <c r="A155" s="589" t="s">
        <v>38</v>
      </c>
      <c r="B155" s="589"/>
      <c r="C155" s="589"/>
      <c r="D155" s="589" t="s">
        <v>225</v>
      </c>
      <c r="E155" s="589"/>
      <c r="F155" s="589"/>
      <c r="G155" s="243" t="s">
        <v>226</v>
      </c>
      <c r="H155" s="589" t="s">
        <v>227</v>
      </c>
      <c r="I155" s="589"/>
      <c r="J155" s="587">
        <v>298610</v>
      </c>
      <c r="K155" s="587"/>
      <c r="L155" s="587"/>
      <c r="M155" s="587"/>
      <c r="N155" s="587">
        <v>201315</v>
      </c>
      <c r="O155" s="587"/>
      <c r="P155" s="257">
        <v>97295</v>
      </c>
      <c r="Q155" s="257"/>
      <c r="R155" s="257"/>
      <c r="S155" s="587">
        <v>201315</v>
      </c>
      <c r="T155" s="587"/>
      <c r="U155" s="588">
        <v>0</v>
      </c>
      <c r="V155" s="588"/>
      <c r="W155" s="244">
        <v>67.42</v>
      </c>
      <c r="X155" s="240"/>
    </row>
    <row r="156" spans="1:24" ht="10.5">
      <c r="A156" s="245"/>
      <c r="B156" s="245"/>
      <c r="C156" s="245"/>
      <c r="D156" s="245"/>
      <c r="E156" s="245"/>
      <c r="F156" s="245"/>
      <c r="G156" s="245"/>
      <c r="H156" s="245"/>
      <c r="I156" s="245"/>
      <c r="J156" s="245"/>
      <c r="K156" s="245"/>
      <c r="L156" s="245"/>
      <c r="M156" s="245"/>
      <c r="N156" s="245"/>
      <c r="O156" s="245"/>
      <c r="P156" s="245"/>
      <c r="Q156" s="245"/>
      <c r="R156" s="245"/>
      <c r="S156" s="245"/>
      <c r="T156" s="245"/>
      <c r="U156" s="245"/>
      <c r="V156" s="245"/>
      <c r="W156" s="245"/>
      <c r="X156" s="240"/>
    </row>
    <row r="157" spans="1:24" ht="12" thickBot="1">
      <c r="A157" s="240"/>
      <c r="B157" s="240"/>
      <c r="C157" s="240"/>
      <c r="D157" s="240"/>
      <c r="E157" s="240"/>
      <c r="F157" s="240"/>
      <c r="G157" s="240"/>
      <c r="H157" s="240"/>
      <c r="I157" s="240"/>
      <c r="J157" s="585">
        <v>9172684.34</v>
      </c>
      <c r="K157" s="585"/>
      <c r="L157" s="585"/>
      <c r="M157" s="585"/>
      <c r="N157" s="585">
        <v>7325778.03</v>
      </c>
      <c r="O157" s="585"/>
      <c r="P157" s="259">
        <v>1846906.31</v>
      </c>
      <c r="Q157" s="259"/>
      <c r="R157" s="259"/>
      <c r="S157" s="585">
        <v>7460903.63</v>
      </c>
      <c r="T157" s="585"/>
      <c r="U157" s="585">
        <v>-135125.6</v>
      </c>
      <c r="V157" s="585"/>
      <c r="W157" s="240"/>
      <c r="X157" s="240"/>
    </row>
    <row r="158" spans="1:24" ht="11.25" thickTop="1">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0"/>
    </row>
    <row r="159" spans="1:24" ht="12">
      <c r="A159" s="586" t="s">
        <v>241</v>
      </c>
      <c r="B159" s="586"/>
      <c r="C159" s="586"/>
      <c r="D159" s="586"/>
      <c r="E159" s="586"/>
      <c r="F159" s="586"/>
      <c r="G159" s="586"/>
      <c r="H159" s="586"/>
      <c r="I159" s="240"/>
      <c r="J159" s="584">
        <v>9981952.17</v>
      </c>
      <c r="K159" s="584"/>
      <c r="L159" s="584"/>
      <c r="M159" s="584"/>
      <c r="N159" s="584">
        <v>7915521.52</v>
      </c>
      <c r="O159" s="584"/>
      <c r="P159" s="258">
        <v>2066430.65</v>
      </c>
      <c r="Q159" s="258"/>
      <c r="R159" s="258"/>
      <c r="S159" s="584">
        <v>8089643.19</v>
      </c>
      <c r="T159" s="584"/>
      <c r="U159" s="584">
        <v>-174121.67</v>
      </c>
      <c r="V159" s="584"/>
      <c r="W159" s="240"/>
      <c r="X159" s="240"/>
    </row>
    <row r="160" spans="1:24" ht="12">
      <c r="A160" s="558" t="s">
        <v>211</v>
      </c>
      <c r="B160" s="558"/>
      <c r="C160" s="590" t="s">
        <v>242</v>
      </c>
      <c r="D160" s="590"/>
      <c r="E160" s="590"/>
      <c r="F160" s="590"/>
      <c r="G160" s="590"/>
      <c r="H160" s="590"/>
      <c r="I160" s="590"/>
      <c r="J160" s="590"/>
      <c r="K160" s="590"/>
      <c r="L160" s="240"/>
      <c r="M160" s="240"/>
      <c r="N160" s="240"/>
      <c r="O160" s="240"/>
      <c r="P160" s="240"/>
      <c r="Q160" s="240"/>
      <c r="R160" s="240"/>
      <c r="S160" s="240"/>
      <c r="T160" s="240"/>
      <c r="U160" s="240"/>
      <c r="V160" s="240"/>
      <c r="W160" s="240"/>
      <c r="X160" s="240"/>
    </row>
    <row r="161" spans="1:24" ht="10.5">
      <c r="A161" s="558"/>
      <c r="B161" s="558"/>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row>
    <row r="162" spans="1:24" ht="12">
      <c r="A162" s="240"/>
      <c r="B162" s="558" t="s">
        <v>213</v>
      </c>
      <c r="C162" s="558"/>
      <c r="D162" s="590" t="s">
        <v>235</v>
      </c>
      <c r="E162" s="590"/>
      <c r="F162" s="590"/>
      <c r="G162" s="590"/>
      <c r="H162" s="590"/>
      <c r="I162" s="590"/>
      <c r="J162" s="590"/>
      <c r="K162" s="590"/>
      <c r="L162" s="590"/>
      <c r="M162" s="590"/>
      <c r="N162" s="240"/>
      <c r="O162" s="240"/>
      <c r="P162" s="240"/>
      <c r="Q162" s="240"/>
      <c r="R162" s="240"/>
      <c r="S162" s="240"/>
      <c r="T162" s="240"/>
      <c r="U162" s="240"/>
      <c r="V162" s="240"/>
      <c r="W162" s="240"/>
      <c r="X162" s="240"/>
    </row>
    <row r="163" spans="1:24" ht="12">
      <c r="A163" s="558" t="s">
        <v>215</v>
      </c>
      <c r="B163" s="558"/>
      <c r="C163" s="240"/>
      <c r="D163" s="240"/>
      <c r="E163" s="591" t="s">
        <v>216</v>
      </c>
      <c r="F163" s="591"/>
      <c r="G163" s="591"/>
      <c r="H163" s="591"/>
      <c r="I163" s="591"/>
      <c r="J163" s="586" t="s">
        <v>5</v>
      </c>
      <c r="K163" s="586"/>
      <c r="L163" s="586"/>
      <c r="M163" s="586"/>
      <c r="N163" s="586" t="s">
        <v>217</v>
      </c>
      <c r="O163" s="586"/>
      <c r="P163" s="561" t="s">
        <v>218</v>
      </c>
      <c r="Q163" s="561"/>
      <c r="R163" s="240"/>
      <c r="S163" s="586" t="s">
        <v>219</v>
      </c>
      <c r="T163" s="586"/>
      <c r="U163" s="240"/>
      <c r="V163" s="241" t="s">
        <v>220</v>
      </c>
      <c r="W163" s="241" t="s">
        <v>221</v>
      </c>
      <c r="X163" s="240"/>
    </row>
    <row r="164" spans="1:24" ht="12">
      <c r="A164" s="558"/>
      <c r="B164" s="558"/>
      <c r="C164" s="240"/>
      <c r="D164" s="240"/>
      <c r="E164" s="558" t="s">
        <v>222</v>
      </c>
      <c r="F164" s="558"/>
      <c r="G164" s="558"/>
      <c r="H164" s="558"/>
      <c r="I164" s="558"/>
      <c r="J164" s="561" t="s">
        <v>223</v>
      </c>
      <c r="K164" s="561"/>
      <c r="L164" s="561"/>
      <c r="M164" s="561"/>
      <c r="N164" s="561" t="s">
        <v>224</v>
      </c>
      <c r="O164" s="561"/>
      <c r="P164" s="561"/>
      <c r="Q164" s="561"/>
      <c r="R164" s="240"/>
      <c r="S164" s="561" t="s">
        <v>224</v>
      </c>
      <c r="T164" s="561"/>
      <c r="U164" s="240"/>
      <c r="V164" s="242" t="s">
        <v>115</v>
      </c>
      <c r="W164" s="242" t="s">
        <v>219</v>
      </c>
      <c r="X164" s="240"/>
    </row>
    <row r="165" spans="1:24" ht="12">
      <c r="A165" s="589" t="s">
        <v>36</v>
      </c>
      <c r="B165" s="589"/>
      <c r="C165" s="589"/>
      <c r="D165" s="589" t="s">
        <v>225</v>
      </c>
      <c r="E165" s="589"/>
      <c r="F165" s="589"/>
      <c r="G165" s="243" t="s">
        <v>226</v>
      </c>
      <c r="H165" s="589" t="s">
        <v>227</v>
      </c>
      <c r="I165" s="589"/>
      <c r="J165" s="587">
        <v>25924</v>
      </c>
      <c r="K165" s="587"/>
      <c r="L165" s="587"/>
      <c r="M165" s="587"/>
      <c r="N165" s="587">
        <v>12722</v>
      </c>
      <c r="O165" s="587"/>
      <c r="P165" s="256">
        <v>13202</v>
      </c>
      <c r="Q165" s="256"/>
      <c r="R165" s="256"/>
      <c r="S165" s="587">
        <v>12722</v>
      </c>
      <c r="T165" s="587"/>
      <c r="U165" s="588">
        <v>0</v>
      </c>
      <c r="V165" s="588"/>
      <c r="W165" s="244">
        <v>49.07</v>
      </c>
      <c r="X165" s="240"/>
    </row>
    <row r="166" spans="1:24" ht="12">
      <c r="A166" s="589" t="s">
        <v>37</v>
      </c>
      <c r="B166" s="589"/>
      <c r="C166" s="589"/>
      <c r="D166" s="589" t="s">
        <v>225</v>
      </c>
      <c r="E166" s="589"/>
      <c r="F166" s="589"/>
      <c r="G166" s="243" t="s">
        <v>226</v>
      </c>
      <c r="H166" s="589" t="s">
        <v>227</v>
      </c>
      <c r="I166" s="589"/>
      <c r="J166" s="587">
        <v>35241.02</v>
      </c>
      <c r="K166" s="587"/>
      <c r="L166" s="587"/>
      <c r="M166" s="587"/>
      <c r="N166" s="587">
        <v>14151.18</v>
      </c>
      <c r="O166" s="587"/>
      <c r="P166" s="256">
        <v>21089.84</v>
      </c>
      <c r="Q166" s="256"/>
      <c r="R166" s="256"/>
      <c r="S166" s="587">
        <v>14151.18</v>
      </c>
      <c r="T166" s="587"/>
      <c r="U166" s="588">
        <v>0</v>
      </c>
      <c r="V166" s="588"/>
      <c r="W166" s="244">
        <v>40.16</v>
      </c>
      <c r="X166" s="240"/>
    </row>
    <row r="167" spans="1:24" ht="12">
      <c r="A167" s="589" t="s">
        <v>31</v>
      </c>
      <c r="B167" s="589"/>
      <c r="C167" s="589"/>
      <c r="D167" s="589" t="s">
        <v>225</v>
      </c>
      <c r="E167" s="589"/>
      <c r="F167" s="589"/>
      <c r="G167" s="243" t="s">
        <v>226</v>
      </c>
      <c r="H167" s="589" t="s">
        <v>227</v>
      </c>
      <c r="I167" s="589"/>
      <c r="J167" s="587">
        <v>22720</v>
      </c>
      <c r="K167" s="587"/>
      <c r="L167" s="587"/>
      <c r="M167" s="587"/>
      <c r="N167" s="587">
        <v>22720</v>
      </c>
      <c r="O167" s="587"/>
      <c r="P167" s="256">
        <v>0</v>
      </c>
      <c r="Q167" s="256"/>
      <c r="R167" s="256"/>
      <c r="S167" s="587">
        <v>22720</v>
      </c>
      <c r="T167" s="587"/>
      <c r="U167" s="588">
        <v>0</v>
      </c>
      <c r="V167" s="588"/>
      <c r="W167" s="244">
        <v>100</v>
      </c>
      <c r="X167" s="240"/>
    </row>
    <row r="168" spans="1:24" ht="12">
      <c r="A168" s="589" t="s">
        <v>32</v>
      </c>
      <c r="B168" s="589"/>
      <c r="C168" s="589"/>
      <c r="D168" s="589" t="s">
        <v>225</v>
      </c>
      <c r="E168" s="589"/>
      <c r="F168" s="589"/>
      <c r="G168" s="243" t="s">
        <v>226</v>
      </c>
      <c r="H168" s="589" t="s">
        <v>227</v>
      </c>
      <c r="I168" s="589"/>
      <c r="J168" s="587">
        <v>14923</v>
      </c>
      <c r="K168" s="587"/>
      <c r="L168" s="587"/>
      <c r="M168" s="587"/>
      <c r="N168" s="587">
        <v>6858</v>
      </c>
      <c r="O168" s="587"/>
      <c r="P168" s="256">
        <v>8065</v>
      </c>
      <c r="Q168" s="256"/>
      <c r="R168" s="256"/>
      <c r="S168" s="587">
        <v>6858</v>
      </c>
      <c r="T168" s="587"/>
      <c r="U168" s="588">
        <v>0</v>
      </c>
      <c r="V168" s="588"/>
      <c r="W168" s="244">
        <v>45.96</v>
      </c>
      <c r="X168" s="240"/>
    </row>
    <row r="169" spans="1:24" ht="12">
      <c r="A169" s="589" t="s">
        <v>38</v>
      </c>
      <c r="B169" s="589"/>
      <c r="C169" s="589"/>
      <c r="D169" s="589" t="s">
        <v>225</v>
      </c>
      <c r="E169" s="589"/>
      <c r="F169" s="589"/>
      <c r="G169" s="243" t="s">
        <v>226</v>
      </c>
      <c r="H169" s="589" t="s">
        <v>227</v>
      </c>
      <c r="I169" s="589"/>
      <c r="J169" s="587">
        <v>6133</v>
      </c>
      <c r="K169" s="587"/>
      <c r="L169" s="587"/>
      <c r="M169" s="587"/>
      <c r="N169" s="587">
        <v>4568</v>
      </c>
      <c r="O169" s="587"/>
      <c r="P169" s="257">
        <v>1565</v>
      </c>
      <c r="Q169" s="257"/>
      <c r="R169" s="257"/>
      <c r="S169" s="587">
        <v>4568</v>
      </c>
      <c r="T169" s="587"/>
      <c r="U169" s="588">
        <v>0</v>
      </c>
      <c r="V169" s="588"/>
      <c r="W169" s="244">
        <v>74.48</v>
      </c>
      <c r="X169" s="240"/>
    </row>
    <row r="170" spans="1:24" ht="10.5">
      <c r="A170" s="245"/>
      <c r="B170" s="245"/>
      <c r="C170" s="245"/>
      <c r="D170" s="245"/>
      <c r="E170" s="245"/>
      <c r="F170" s="245"/>
      <c r="G170" s="245"/>
      <c r="H170" s="245"/>
      <c r="I170" s="245"/>
      <c r="J170" s="245"/>
      <c r="K170" s="245"/>
      <c r="L170" s="245"/>
      <c r="M170" s="245"/>
      <c r="N170" s="245"/>
      <c r="O170" s="245"/>
      <c r="P170" s="245"/>
      <c r="Q170" s="245"/>
      <c r="R170" s="245"/>
      <c r="S170" s="245"/>
      <c r="T170" s="245"/>
      <c r="U170" s="245"/>
      <c r="V170" s="245"/>
      <c r="W170" s="245"/>
      <c r="X170" s="240"/>
    </row>
    <row r="171" spans="1:24" ht="12" thickBot="1">
      <c r="A171" s="240"/>
      <c r="B171" s="240"/>
      <c r="C171" s="240"/>
      <c r="D171" s="240"/>
      <c r="E171" s="240"/>
      <c r="F171" s="240"/>
      <c r="G171" s="240"/>
      <c r="H171" s="240"/>
      <c r="I171" s="240"/>
      <c r="J171" s="585">
        <v>104941.02</v>
      </c>
      <c r="K171" s="585"/>
      <c r="L171" s="585"/>
      <c r="M171" s="585"/>
      <c r="N171" s="585">
        <v>61019.18</v>
      </c>
      <c r="O171" s="585"/>
      <c r="P171" s="259">
        <v>43921.84</v>
      </c>
      <c r="Q171" s="259"/>
      <c r="R171" s="259"/>
      <c r="S171" s="585">
        <v>61019.18</v>
      </c>
      <c r="T171" s="585"/>
      <c r="U171" s="585">
        <v>0</v>
      </c>
      <c r="V171" s="585"/>
      <c r="W171" s="240"/>
      <c r="X171" s="240"/>
    </row>
    <row r="172" spans="1:24" ht="11.25" thickTop="1">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0"/>
    </row>
    <row r="173" spans="1:24" ht="12">
      <c r="A173" s="586" t="s">
        <v>243</v>
      </c>
      <c r="B173" s="586"/>
      <c r="C173" s="586"/>
      <c r="D173" s="586"/>
      <c r="E173" s="586"/>
      <c r="F173" s="586"/>
      <c r="G173" s="586"/>
      <c r="H173" s="586"/>
      <c r="I173" s="240"/>
      <c r="J173" s="584">
        <v>104941.02</v>
      </c>
      <c r="K173" s="584"/>
      <c r="L173" s="584"/>
      <c r="M173" s="584"/>
      <c r="N173" s="584">
        <v>61019.18</v>
      </c>
      <c r="O173" s="584"/>
      <c r="P173" s="258">
        <v>43921.84</v>
      </c>
      <c r="Q173" s="258"/>
      <c r="R173" s="258"/>
      <c r="S173" s="584">
        <v>61019.18</v>
      </c>
      <c r="T173" s="584"/>
      <c r="U173" s="584">
        <v>0</v>
      </c>
      <c r="V173" s="584"/>
      <c r="W173" s="240"/>
      <c r="X173" s="240"/>
    </row>
    <row r="174" spans="1:24" ht="12">
      <c r="A174" s="558" t="s">
        <v>211</v>
      </c>
      <c r="B174" s="558"/>
      <c r="C174" s="590" t="s">
        <v>244</v>
      </c>
      <c r="D174" s="590"/>
      <c r="E174" s="590"/>
      <c r="F174" s="590"/>
      <c r="G174" s="590"/>
      <c r="H174" s="590"/>
      <c r="I174" s="590"/>
      <c r="J174" s="590"/>
      <c r="K174" s="590"/>
      <c r="L174" s="240"/>
      <c r="M174" s="240"/>
      <c r="N174" s="240"/>
      <c r="O174" s="240"/>
      <c r="P174" s="240"/>
      <c r="Q174" s="240"/>
      <c r="R174" s="240"/>
      <c r="S174" s="240"/>
      <c r="T174" s="240"/>
      <c r="U174" s="240"/>
      <c r="V174" s="240"/>
      <c r="W174" s="240"/>
      <c r="X174" s="240"/>
    </row>
    <row r="175" spans="1:24" ht="10.5">
      <c r="A175" s="558"/>
      <c r="B175" s="558"/>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row>
    <row r="176" spans="1:24" ht="12">
      <c r="A176" s="240"/>
      <c r="B176" s="558" t="s">
        <v>213</v>
      </c>
      <c r="C176" s="558"/>
      <c r="D176" s="590" t="s">
        <v>235</v>
      </c>
      <c r="E176" s="590"/>
      <c r="F176" s="590"/>
      <c r="G176" s="590"/>
      <c r="H176" s="590"/>
      <c r="I176" s="590"/>
      <c r="J176" s="590"/>
      <c r="K176" s="590"/>
      <c r="L176" s="590"/>
      <c r="M176" s="590"/>
      <c r="N176" s="240"/>
      <c r="O176" s="240"/>
      <c r="P176" s="240"/>
      <c r="Q176" s="240"/>
      <c r="R176" s="240"/>
      <c r="S176" s="240"/>
      <c r="T176" s="240"/>
      <c r="U176" s="240"/>
      <c r="V176" s="240"/>
      <c r="W176" s="240"/>
      <c r="X176" s="240"/>
    </row>
    <row r="177" spans="1:24" ht="12">
      <c r="A177" s="558" t="s">
        <v>215</v>
      </c>
      <c r="B177" s="558"/>
      <c r="C177" s="240"/>
      <c r="D177" s="240"/>
      <c r="E177" s="591" t="s">
        <v>216</v>
      </c>
      <c r="F177" s="591"/>
      <c r="G177" s="591"/>
      <c r="H177" s="591"/>
      <c r="I177" s="591"/>
      <c r="J177" s="586" t="s">
        <v>5</v>
      </c>
      <c r="K177" s="586"/>
      <c r="L177" s="586"/>
      <c r="M177" s="586"/>
      <c r="N177" s="586" t="s">
        <v>217</v>
      </c>
      <c r="O177" s="586"/>
      <c r="P177" s="561" t="s">
        <v>218</v>
      </c>
      <c r="Q177" s="561"/>
      <c r="R177" s="240"/>
      <c r="S177" s="586" t="s">
        <v>219</v>
      </c>
      <c r="T177" s="586"/>
      <c r="U177" s="240"/>
      <c r="V177" s="241" t="s">
        <v>220</v>
      </c>
      <c r="W177" s="241" t="s">
        <v>221</v>
      </c>
      <c r="X177" s="240"/>
    </row>
    <row r="178" spans="1:24" ht="12">
      <c r="A178" s="558"/>
      <c r="B178" s="558"/>
      <c r="C178" s="240"/>
      <c r="D178" s="240"/>
      <c r="E178" s="558" t="s">
        <v>222</v>
      </c>
      <c r="F178" s="558"/>
      <c r="G178" s="558"/>
      <c r="H178" s="558"/>
      <c r="I178" s="558"/>
      <c r="J178" s="561" t="s">
        <v>223</v>
      </c>
      <c r="K178" s="561"/>
      <c r="L178" s="561"/>
      <c r="M178" s="561"/>
      <c r="N178" s="561" t="s">
        <v>224</v>
      </c>
      <c r="O178" s="561"/>
      <c r="P178" s="561"/>
      <c r="Q178" s="561"/>
      <c r="R178" s="240"/>
      <c r="S178" s="561" t="s">
        <v>224</v>
      </c>
      <c r="T178" s="561"/>
      <c r="U178" s="240"/>
      <c r="V178" s="242" t="s">
        <v>115</v>
      </c>
      <c r="W178" s="242" t="s">
        <v>219</v>
      </c>
      <c r="X178" s="240"/>
    </row>
    <row r="179" spans="1:24" ht="12">
      <c r="A179" s="589" t="s">
        <v>39</v>
      </c>
      <c r="B179" s="589"/>
      <c r="C179" s="589"/>
      <c r="D179" s="589" t="s">
        <v>225</v>
      </c>
      <c r="E179" s="589"/>
      <c r="F179" s="589"/>
      <c r="G179" s="243" t="s">
        <v>226</v>
      </c>
      <c r="H179" s="589" t="s">
        <v>227</v>
      </c>
      <c r="I179" s="589"/>
      <c r="J179" s="587">
        <v>3344</v>
      </c>
      <c r="K179" s="587"/>
      <c r="L179" s="587"/>
      <c r="M179" s="587"/>
      <c r="N179" s="587">
        <v>3344</v>
      </c>
      <c r="O179" s="587"/>
      <c r="P179" s="256">
        <v>0</v>
      </c>
      <c r="Q179" s="256"/>
      <c r="R179" s="256"/>
      <c r="S179" s="587">
        <v>3344</v>
      </c>
      <c r="T179" s="587"/>
      <c r="U179" s="588">
        <v>0</v>
      </c>
      <c r="V179" s="588"/>
      <c r="W179" s="244">
        <v>100</v>
      </c>
      <c r="X179" s="240"/>
    </row>
    <row r="180" spans="1:24" ht="12">
      <c r="A180" s="589" t="s">
        <v>35</v>
      </c>
      <c r="B180" s="589"/>
      <c r="C180" s="589"/>
      <c r="D180" s="589" t="s">
        <v>225</v>
      </c>
      <c r="E180" s="589"/>
      <c r="F180" s="589"/>
      <c r="G180" s="243" t="s">
        <v>226</v>
      </c>
      <c r="H180" s="589" t="s">
        <v>227</v>
      </c>
      <c r="I180" s="589"/>
      <c r="J180" s="587">
        <v>750</v>
      </c>
      <c r="K180" s="587"/>
      <c r="L180" s="587"/>
      <c r="M180" s="587"/>
      <c r="N180" s="587">
        <v>750</v>
      </c>
      <c r="O180" s="587"/>
      <c r="P180" s="257">
        <v>0</v>
      </c>
      <c r="Q180" s="257"/>
      <c r="R180" s="257"/>
      <c r="S180" s="587">
        <v>750</v>
      </c>
      <c r="T180" s="587"/>
      <c r="U180" s="588">
        <v>0</v>
      </c>
      <c r="V180" s="588"/>
      <c r="W180" s="244">
        <v>100</v>
      </c>
      <c r="X180" s="240"/>
    </row>
    <row r="181" spans="1:24" ht="10.5">
      <c r="A181" s="245"/>
      <c r="B181" s="245"/>
      <c r="C181" s="245"/>
      <c r="D181" s="245"/>
      <c r="E181" s="245"/>
      <c r="F181" s="245"/>
      <c r="G181" s="245"/>
      <c r="H181" s="245"/>
      <c r="I181" s="245"/>
      <c r="J181" s="245"/>
      <c r="K181" s="245"/>
      <c r="L181" s="245"/>
      <c r="M181" s="245"/>
      <c r="N181" s="245"/>
      <c r="O181" s="245"/>
      <c r="P181" s="245"/>
      <c r="Q181" s="245"/>
      <c r="R181" s="245"/>
      <c r="S181" s="245"/>
      <c r="T181" s="245"/>
      <c r="U181" s="245"/>
      <c r="V181" s="245"/>
      <c r="W181" s="245"/>
      <c r="X181" s="240"/>
    </row>
    <row r="182" spans="1:24" ht="12" thickBot="1">
      <c r="A182" s="240"/>
      <c r="B182" s="240"/>
      <c r="C182" s="240"/>
      <c r="D182" s="240"/>
      <c r="E182" s="240"/>
      <c r="F182" s="240"/>
      <c r="G182" s="240"/>
      <c r="H182" s="240"/>
      <c r="I182" s="240"/>
      <c r="J182" s="585">
        <v>4094</v>
      </c>
      <c r="K182" s="585"/>
      <c r="L182" s="585"/>
      <c r="M182" s="585"/>
      <c r="N182" s="585">
        <v>4094</v>
      </c>
      <c r="O182" s="585"/>
      <c r="P182" s="259">
        <v>0</v>
      </c>
      <c r="Q182" s="259"/>
      <c r="R182" s="259"/>
      <c r="S182" s="585">
        <v>4094</v>
      </c>
      <c r="T182" s="585"/>
      <c r="U182" s="585">
        <v>0</v>
      </c>
      <c r="V182" s="585"/>
      <c r="W182" s="240"/>
      <c r="X182" s="240"/>
    </row>
    <row r="183" spans="1:24" ht="11.25" thickTop="1">
      <c r="A183" s="246"/>
      <c r="B183" s="246"/>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0"/>
    </row>
    <row r="184" spans="1:24" ht="12">
      <c r="A184" s="586" t="s">
        <v>245</v>
      </c>
      <c r="B184" s="586"/>
      <c r="C184" s="586"/>
      <c r="D184" s="586"/>
      <c r="E184" s="586"/>
      <c r="F184" s="586"/>
      <c r="G184" s="586"/>
      <c r="H184" s="586"/>
      <c r="I184" s="240"/>
      <c r="J184" s="584">
        <v>4094</v>
      </c>
      <c r="K184" s="584"/>
      <c r="L184" s="584"/>
      <c r="M184" s="584"/>
      <c r="N184" s="584">
        <v>4094</v>
      </c>
      <c r="O184" s="584"/>
      <c r="P184" s="258">
        <v>0</v>
      </c>
      <c r="Q184" s="258"/>
      <c r="R184" s="258"/>
      <c r="S184" s="584">
        <v>4094</v>
      </c>
      <c r="T184" s="584"/>
      <c r="U184" s="584">
        <v>0</v>
      </c>
      <c r="V184" s="584"/>
      <c r="W184" s="240"/>
      <c r="X184" s="240"/>
    </row>
    <row r="187" spans="14:16" ht="10.5">
      <c r="N187" s="48" t="s">
        <v>286</v>
      </c>
      <c r="P187" s="286">
        <f>P21+P37+P93+P115+P133</f>
        <v>1505986.7000000002</v>
      </c>
    </row>
    <row r="189" spans="14:16" ht="10.5">
      <c r="N189" s="48" t="s">
        <v>267</v>
      </c>
      <c r="P189" s="286">
        <f>P63+P159+P173</f>
        <v>2336747.0799999996</v>
      </c>
    </row>
    <row r="191" ht="10.5">
      <c r="N191" s="48" t="s">
        <v>306</v>
      </c>
    </row>
    <row r="193" spans="14:16" ht="10.5">
      <c r="N193" s="48" t="s">
        <v>5</v>
      </c>
      <c r="P193" s="286">
        <f>SUM(P187:P191)</f>
        <v>3842733.78</v>
      </c>
    </row>
  </sheetData>
  <sheetProtection/>
  <mergeCells count="895">
    <mergeCell ref="A4:B5"/>
    <mergeCell ref="C4:K4"/>
    <mergeCell ref="B6:C6"/>
    <mergeCell ref="D6:M6"/>
    <mergeCell ref="A7:B7"/>
    <mergeCell ref="E7:I7"/>
    <mergeCell ref="J7:M7"/>
    <mergeCell ref="N7:O7"/>
    <mergeCell ref="P7:Q7"/>
    <mergeCell ref="S7:T7"/>
    <mergeCell ref="A8:B8"/>
    <mergeCell ref="E8:I8"/>
    <mergeCell ref="J8:M8"/>
    <mergeCell ref="N8:O8"/>
    <mergeCell ref="P8:Q8"/>
    <mergeCell ref="S8:T8"/>
    <mergeCell ref="S9:T9"/>
    <mergeCell ref="U9:V9"/>
    <mergeCell ref="A10:C10"/>
    <mergeCell ref="D10:F10"/>
    <mergeCell ref="H10:I10"/>
    <mergeCell ref="J10:M10"/>
    <mergeCell ref="N10:O10"/>
    <mergeCell ref="S10:T10"/>
    <mergeCell ref="U10:V10"/>
    <mergeCell ref="A9:C9"/>
    <mergeCell ref="D9:F9"/>
    <mergeCell ref="H9:I9"/>
    <mergeCell ref="J9:M9"/>
    <mergeCell ref="N9:O9"/>
    <mergeCell ref="S11:T11"/>
    <mergeCell ref="U11:V11"/>
    <mergeCell ref="A12:C12"/>
    <mergeCell ref="D12:F12"/>
    <mergeCell ref="H12:I12"/>
    <mergeCell ref="J12:M12"/>
    <mergeCell ref="N12:O12"/>
    <mergeCell ref="S12:T12"/>
    <mergeCell ref="U12:V12"/>
    <mergeCell ref="A11:C11"/>
    <mergeCell ref="D11:F11"/>
    <mergeCell ref="H11:I11"/>
    <mergeCell ref="J11:M11"/>
    <mergeCell ref="N11:O11"/>
    <mergeCell ref="S13:T13"/>
    <mergeCell ref="U13:V13"/>
    <mergeCell ref="A14:C14"/>
    <mergeCell ref="D14:F14"/>
    <mergeCell ref="H14:I14"/>
    <mergeCell ref="J14:M14"/>
    <mergeCell ref="N14:O14"/>
    <mergeCell ref="S14:T14"/>
    <mergeCell ref="U14:V14"/>
    <mergeCell ref="A13:C13"/>
    <mergeCell ref="D13:F13"/>
    <mergeCell ref="H13:I13"/>
    <mergeCell ref="J13:M13"/>
    <mergeCell ref="N13:O13"/>
    <mergeCell ref="S15:T15"/>
    <mergeCell ref="U15:V15"/>
    <mergeCell ref="A16:C16"/>
    <mergeCell ref="D16:F16"/>
    <mergeCell ref="H16:I16"/>
    <mergeCell ref="J16:M16"/>
    <mergeCell ref="N16:O16"/>
    <mergeCell ref="S16:T16"/>
    <mergeCell ref="U16:V16"/>
    <mergeCell ref="A15:C15"/>
    <mergeCell ref="D15:F15"/>
    <mergeCell ref="H15:I15"/>
    <mergeCell ref="J15:M15"/>
    <mergeCell ref="N15:O15"/>
    <mergeCell ref="S17:T17"/>
    <mergeCell ref="U17:V17"/>
    <mergeCell ref="A18:C18"/>
    <mergeCell ref="D18:F18"/>
    <mergeCell ref="H18:I18"/>
    <mergeCell ref="J18:M18"/>
    <mergeCell ref="N18:O18"/>
    <mergeCell ref="S18:T18"/>
    <mergeCell ref="U18:V18"/>
    <mergeCell ref="A17:C17"/>
    <mergeCell ref="D17:F17"/>
    <mergeCell ref="H17:I17"/>
    <mergeCell ref="J17:M17"/>
    <mergeCell ref="N17:O17"/>
    <mergeCell ref="S19:T19"/>
    <mergeCell ref="U19:V19"/>
    <mergeCell ref="J21:M21"/>
    <mergeCell ref="N21:O21"/>
    <mergeCell ref="S21:T21"/>
    <mergeCell ref="U21:V21"/>
    <mergeCell ref="A19:C19"/>
    <mergeCell ref="D19:F19"/>
    <mergeCell ref="H19:I19"/>
    <mergeCell ref="J19:M19"/>
    <mergeCell ref="N19:O19"/>
    <mergeCell ref="P23:Q23"/>
    <mergeCell ref="S23:T23"/>
    <mergeCell ref="A24:B24"/>
    <mergeCell ref="E24:I24"/>
    <mergeCell ref="J24:M24"/>
    <mergeCell ref="N24:O24"/>
    <mergeCell ref="P24:Q24"/>
    <mergeCell ref="S24:T24"/>
    <mergeCell ref="B22:C22"/>
    <mergeCell ref="D22:M22"/>
    <mergeCell ref="A23:B23"/>
    <mergeCell ref="E23:I23"/>
    <mergeCell ref="J23:M23"/>
    <mergeCell ref="N23:O23"/>
    <mergeCell ref="S25:T25"/>
    <mergeCell ref="U25:V25"/>
    <mergeCell ref="A26:C26"/>
    <mergeCell ref="D26:F26"/>
    <mergeCell ref="H26:I26"/>
    <mergeCell ref="J26:M26"/>
    <mergeCell ref="N26:O26"/>
    <mergeCell ref="S26:T26"/>
    <mergeCell ref="U26:V26"/>
    <mergeCell ref="A25:C25"/>
    <mergeCell ref="D25:F25"/>
    <mergeCell ref="H25:I25"/>
    <mergeCell ref="J25:M25"/>
    <mergeCell ref="N25:O25"/>
    <mergeCell ref="S27:T27"/>
    <mergeCell ref="U27:V27"/>
    <mergeCell ref="A28:C28"/>
    <mergeCell ref="D28:F28"/>
    <mergeCell ref="H28:I28"/>
    <mergeCell ref="J28:M28"/>
    <mergeCell ref="N28:O28"/>
    <mergeCell ref="S28:T28"/>
    <mergeCell ref="U28:V28"/>
    <mergeCell ref="A27:C27"/>
    <mergeCell ref="D27:F27"/>
    <mergeCell ref="H27:I27"/>
    <mergeCell ref="J27:M27"/>
    <mergeCell ref="N27:O27"/>
    <mergeCell ref="S29:T29"/>
    <mergeCell ref="U29:V29"/>
    <mergeCell ref="A30:C30"/>
    <mergeCell ref="D30:F30"/>
    <mergeCell ref="H30:I30"/>
    <mergeCell ref="J30:M30"/>
    <mergeCell ref="N30:O30"/>
    <mergeCell ref="S30:T30"/>
    <mergeCell ref="U30:V30"/>
    <mergeCell ref="A29:C29"/>
    <mergeCell ref="D29:F29"/>
    <mergeCell ref="H29:I29"/>
    <mergeCell ref="J29:M29"/>
    <mergeCell ref="N29:O29"/>
    <mergeCell ref="S31:T31"/>
    <mergeCell ref="U31:V31"/>
    <mergeCell ref="A32:C32"/>
    <mergeCell ref="D32:F32"/>
    <mergeCell ref="H32:I32"/>
    <mergeCell ref="J32:M32"/>
    <mergeCell ref="N32:O32"/>
    <mergeCell ref="S32:T32"/>
    <mergeCell ref="U32:V32"/>
    <mergeCell ref="A31:C31"/>
    <mergeCell ref="D31:F31"/>
    <mergeCell ref="H31:I31"/>
    <mergeCell ref="J31:M31"/>
    <mergeCell ref="N31:O31"/>
    <mergeCell ref="A35:C35"/>
    <mergeCell ref="D35:F35"/>
    <mergeCell ref="H35:I35"/>
    <mergeCell ref="J35:M35"/>
    <mergeCell ref="N35:O35"/>
    <mergeCell ref="S33:T33"/>
    <mergeCell ref="U33:V33"/>
    <mergeCell ref="A34:C34"/>
    <mergeCell ref="D34:F34"/>
    <mergeCell ref="H34:I34"/>
    <mergeCell ref="J34:M34"/>
    <mergeCell ref="N34:O34"/>
    <mergeCell ref="S34:T34"/>
    <mergeCell ref="U34:V34"/>
    <mergeCell ref="A33:C33"/>
    <mergeCell ref="D33:F33"/>
    <mergeCell ref="H33:I33"/>
    <mergeCell ref="J33:M33"/>
    <mergeCell ref="N33:O33"/>
    <mergeCell ref="N39:O39"/>
    <mergeCell ref="S39:T39"/>
    <mergeCell ref="U39:V39"/>
    <mergeCell ref="S35:T35"/>
    <mergeCell ref="U35:V35"/>
    <mergeCell ref="J37:M37"/>
    <mergeCell ref="N37:O37"/>
    <mergeCell ref="S37:T37"/>
    <mergeCell ref="U37:V37"/>
    <mergeCell ref="A40:B41"/>
    <mergeCell ref="C40:K40"/>
    <mergeCell ref="B42:C42"/>
    <mergeCell ref="D42:M42"/>
    <mergeCell ref="A43:B43"/>
    <mergeCell ref="E43:I43"/>
    <mergeCell ref="J43:M43"/>
    <mergeCell ref="A39:H39"/>
    <mergeCell ref="J39:M39"/>
    <mergeCell ref="N43:O43"/>
    <mergeCell ref="P43:Q43"/>
    <mergeCell ref="S43:T43"/>
    <mergeCell ref="A44:B44"/>
    <mergeCell ref="E44:I44"/>
    <mergeCell ref="J44:M44"/>
    <mergeCell ref="N44:O44"/>
    <mergeCell ref="P44:Q44"/>
    <mergeCell ref="S44:T44"/>
    <mergeCell ref="S45:T45"/>
    <mergeCell ref="U45:V45"/>
    <mergeCell ref="A46:C46"/>
    <mergeCell ref="D46:F46"/>
    <mergeCell ref="H46:I46"/>
    <mergeCell ref="J46:M46"/>
    <mergeCell ref="N46:O46"/>
    <mergeCell ref="S46:T46"/>
    <mergeCell ref="U46:V46"/>
    <mergeCell ref="A45:C45"/>
    <mergeCell ref="D45:F45"/>
    <mergeCell ref="H45:I45"/>
    <mergeCell ref="J45:M45"/>
    <mergeCell ref="N45:O45"/>
    <mergeCell ref="S47:T47"/>
    <mergeCell ref="U47:V47"/>
    <mergeCell ref="A48:C48"/>
    <mergeCell ref="D48:F48"/>
    <mergeCell ref="H48:I48"/>
    <mergeCell ref="J48:M48"/>
    <mergeCell ref="N48:O48"/>
    <mergeCell ref="S48:T48"/>
    <mergeCell ref="U48:V48"/>
    <mergeCell ref="A47:C47"/>
    <mergeCell ref="D47:F47"/>
    <mergeCell ref="H47:I47"/>
    <mergeCell ref="J47:M47"/>
    <mergeCell ref="N47:O47"/>
    <mergeCell ref="S49:T49"/>
    <mergeCell ref="U49:V49"/>
    <mergeCell ref="J51:M51"/>
    <mergeCell ref="N51:O51"/>
    <mergeCell ref="S51:T51"/>
    <mergeCell ref="U51:V51"/>
    <mergeCell ref="A49:C49"/>
    <mergeCell ref="D49:F49"/>
    <mergeCell ref="H49:I49"/>
    <mergeCell ref="J49:M49"/>
    <mergeCell ref="N49:O49"/>
    <mergeCell ref="P53:Q53"/>
    <mergeCell ref="S53:T53"/>
    <mergeCell ref="A54:B54"/>
    <mergeCell ref="E54:I54"/>
    <mergeCell ref="J54:M54"/>
    <mergeCell ref="N54:O54"/>
    <mergeCell ref="P54:Q54"/>
    <mergeCell ref="S54:T54"/>
    <mergeCell ref="B52:C52"/>
    <mergeCell ref="D52:M52"/>
    <mergeCell ref="A53:B53"/>
    <mergeCell ref="E53:I53"/>
    <mergeCell ref="J53:M53"/>
    <mergeCell ref="N53:O53"/>
    <mergeCell ref="S55:T55"/>
    <mergeCell ref="U55:V55"/>
    <mergeCell ref="A56:C56"/>
    <mergeCell ref="D56:F56"/>
    <mergeCell ref="H56:I56"/>
    <mergeCell ref="J56:M56"/>
    <mergeCell ref="N56:O56"/>
    <mergeCell ref="S56:T56"/>
    <mergeCell ref="U56:V56"/>
    <mergeCell ref="A55:C55"/>
    <mergeCell ref="D55:F55"/>
    <mergeCell ref="H55:I55"/>
    <mergeCell ref="J55:M55"/>
    <mergeCell ref="N55:O55"/>
    <mergeCell ref="A59:C59"/>
    <mergeCell ref="D59:F59"/>
    <mergeCell ref="H59:I59"/>
    <mergeCell ref="J59:M59"/>
    <mergeCell ref="N59:O59"/>
    <mergeCell ref="S57:T57"/>
    <mergeCell ref="U57:V57"/>
    <mergeCell ref="A58:C58"/>
    <mergeCell ref="D58:F58"/>
    <mergeCell ref="H58:I58"/>
    <mergeCell ref="J58:M58"/>
    <mergeCell ref="N58:O58"/>
    <mergeCell ref="S58:T58"/>
    <mergeCell ref="U58:V58"/>
    <mergeCell ref="A57:C57"/>
    <mergeCell ref="D57:F57"/>
    <mergeCell ref="H57:I57"/>
    <mergeCell ref="J57:M57"/>
    <mergeCell ref="N57:O57"/>
    <mergeCell ref="N63:O63"/>
    <mergeCell ref="S63:T63"/>
    <mergeCell ref="U63:V63"/>
    <mergeCell ref="S59:T59"/>
    <mergeCell ref="U59:V59"/>
    <mergeCell ref="J61:M61"/>
    <mergeCell ref="N61:O61"/>
    <mergeCell ref="S61:T61"/>
    <mergeCell ref="U61:V61"/>
    <mergeCell ref="A64:B65"/>
    <mergeCell ref="C64:K64"/>
    <mergeCell ref="B66:C66"/>
    <mergeCell ref="D66:M66"/>
    <mergeCell ref="A67:B67"/>
    <mergeCell ref="E67:I67"/>
    <mergeCell ref="J67:M67"/>
    <mergeCell ref="A63:H63"/>
    <mergeCell ref="J63:M63"/>
    <mergeCell ref="A69:C69"/>
    <mergeCell ref="D69:F69"/>
    <mergeCell ref="H69:I69"/>
    <mergeCell ref="J69:M69"/>
    <mergeCell ref="N69:O69"/>
    <mergeCell ref="N67:O67"/>
    <mergeCell ref="P67:Q67"/>
    <mergeCell ref="S67:T67"/>
    <mergeCell ref="A68:B68"/>
    <mergeCell ref="E68:I68"/>
    <mergeCell ref="J68:M68"/>
    <mergeCell ref="N68:O68"/>
    <mergeCell ref="P68:Q68"/>
    <mergeCell ref="S68:T68"/>
    <mergeCell ref="N73:O73"/>
    <mergeCell ref="S73:T73"/>
    <mergeCell ref="U73:V73"/>
    <mergeCell ref="S69:T69"/>
    <mergeCell ref="U69:V69"/>
    <mergeCell ref="J71:M71"/>
    <mergeCell ref="N71:O71"/>
    <mergeCell ref="S71:T71"/>
    <mergeCell ref="U71:V71"/>
    <mergeCell ref="A74:B75"/>
    <mergeCell ref="C74:K74"/>
    <mergeCell ref="B76:C76"/>
    <mergeCell ref="D76:M76"/>
    <mergeCell ref="A77:B77"/>
    <mergeCell ref="E77:I77"/>
    <mergeCell ref="J77:M77"/>
    <mergeCell ref="A73:H73"/>
    <mergeCell ref="J73:M73"/>
    <mergeCell ref="N77:O77"/>
    <mergeCell ref="P77:Q77"/>
    <mergeCell ref="S77:T77"/>
    <mergeCell ref="A78:B78"/>
    <mergeCell ref="E78:I78"/>
    <mergeCell ref="J78:M78"/>
    <mergeCell ref="N78:O78"/>
    <mergeCell ref="P78:Q78"/>
    <mergeCell ref="S78:T78"/>
    <mergeCell ref="S79:T79"/>
    <mergeCell ref="U79:V79"/>
    <mergeCell ref="A80:C80"/>
    <mergeCell ref="D80:F80"/>
    <mergeCell ref="H80:I80"/>
    <mergeCell ref="J80:M80"/>
    <mergeCell ref="N80:O80"/>
    <mergeCell ref="S80:T80"/>
    <mergeCell ref="U80:V80"/>
    <mergeCell ref="A79:C79"/>
    <mergeCell ref="D79:F79"/>
    <mergeCell ref="H79:I79"/>
    <mergeCell ref="J79:M79"/>
    <mergeCell ref="N79:O79"/>
    <mergeCell ref="S81:T81"/>
    <mergeCell ref="U81:V81"/>
    <mergeCell ref="A82:C82"/>
    <mergeCell ref="D82:F82"/>
    <mergeCell ref="H82:I82"/>
    <mergeCell ref="J82:M82"/>
    <mergeCell ref="N82:O82"/>
    <mergeCell ref="S82:T82"/>
    <mergeCell ref="U82:V82"/>
    <mergeCell ref="A81:C81"/>
    <mergeCell ref="D81:F81"/>
    <mergeCell ref="H81:I81"/>
    <mergeCell ref="J81:M81"/>
    <mergeCell ref="N81:O81"/>
    <mergeCell ref="S83:T83"/>
    <mergeCell ref="U83:V83"/>
    <mergeCell ref="A84:C84"/>
    <mergeCell ref="D84:F84"/>
    <mergeCell ref="H84:I84"/>
    <mergeCell ref="J84:M84"/>
    <mergeCell ref="N84:O84"/>
    <mergeCell ref="S84:T84"/>
    <mergeCell ref="U84:V84"/>
    <mergeCell ref="A83:C83"/>
    <mergeCell ref="D83:F83"/>
    <mergeCell ref="H83:I83"/>
    <mergeCell ref="J83:M83"/>
    <mergeCell ref="N83:O83"/>
    <mergeCell ref="S85:T85"/>
    <mergeCell ref="U85:V85"/>
    <mergeCell ref="A86:C86"/>
    <mergeCell ref="D86:F86"/>
    <mergeCell ref="H86:I86"/>
    <mergeCell ref="J86:M86"/>
    <mergeCell ref="N86:O86"/>
    <mergeCell ref="S86:T86"/>
    <mergeCell ref="U86:V86"/>
    <mergeCell ref="A85:C85"/>
    <mergeCell ref="D85:F85"/>
    <mergeCell ref="H85:I85"/>
    <mergeCell ref="J85:M85"/>
    <mergeCell ref="N85:O85"/>
    <mergeCell ref="S87:T87"/>
    <mergeCell ref="U87:V87"/>
    <mergeCell ref="A88:C88"/>
    <mergeCell ref="D88:F88"/>
    <mergeCell ref="H88:I88"/>
    <mergeCell ref="J88:M88"/>
    <mergeCell ref="N88:O88"/>
    <mergeCell ref="S88:T88"/>
    <mergeCell ref="U88:V88"/>
    <mergeCell ref="A87:C87"/>
    <mergeCell ref="D87:F87"/>
    <mergeCell ref="H87:I87"/>
    <mergeCell ref="J87:M87"/>
    <mergeCell ref="N87:O87"/>
    <mergeCell ref="A91:C91"/>
    <mergeCell ref="D91:F91"/>
    <mergeCell ref="H91:I91"/>
    <mergeCell ref="J91:M91"/>
    <mergeCell ref="N91:O91"/>
    <mergeCell ref="S89:T89"/>
    <mergeCell ref="U89:V89"/>
    <mergeCell ref="A90:C90"/>
    <mergeCell ref="D90:F90"/>
    <mergeCell ref="H90:I90"/>
    <mergeCell ref="J90:M90"/>
    <mergeCell ref="N90:O90"/>
    <mergeCell ref="S90:T90"/>
    <mergeCell ref="U90:V90"/>
    <mergeCell ref="A89:C89"/>
    <mergeCell ref="D89:F89"/>
    <mergeCell ref="H89:I89"/>
    <mergeCell ref="J89:M89"/>
    <mergeCell ref="N89:O89"/>
    <mergeCell ref="N95:O95"/>
    <mergeCell ref="S95:T95"/>
    <mergeCell ref="U95:V95"/>
    <mergeCell ref="S91:T91"/>
    <mergeCell ref="U91:V91"/>
    <mergeCell ref="J93:M93"/>
    <mergeCell ref="N93:O93"/>
    <mergeCell ref="S93:T93"/>
    <mergeCell ref="U93:V93"/>
    <mergeCell ref="A96:B97"/>
    <mergeCell ref="C96:K96"/>
    <mergeCell ref="B98:C98"/>
    <mergeCell ref="D98:M98"/>
    <mergeCell ref="A99:B99"/>
    <mergeCell ref="E99:I99"/>
    <mergeCell ref="J99:M99"/>
    <mergeCell ref="A95:H95"/>
    <mergeCell ref="J95:M95"/>
    <mergeCell ref="N99:O99"/>
    <mergeCell ref="P99:Q99"/>
    <mergeCell ref="S99:T99"/>
    <mergeCell ref="A100:B100"/>
    <mergeCell ref="E100:I100"/>
    <mergeCell ref="J100:M100"/>
    <mergeCell ref="N100:O100"/>
    <mergeCell ref="P100:Q100"/>
    <mergeCell ref="S100:T100"/>
    <mergeCell ref="S101:T101"/>
    <mergeCell ref="U101:V101"/>
    <mergeCell ref="A102:C102"/>
    <mergeCell ref="D102:F102"/>
    <mergeCell ref="H102:I102"/>
    <mergeCell ref="J102:M102"/>
    <mergeCell ref="N102:O102"/>
    <mergeCell ref="S102:T102"/>
    <mergeCell ref="U102:V102"/>
    <mergeCell ref="A101:C101"/>
    <mergeCell ref="D101:F101"/>
    <mergeCell ref="H101:I101"/>
    <mergeCell ref="J101:M101"/>
    <mergeCell ref="N101:O101"/>
    <mergeCell ref="S103:T103"/>
    <mergeCell ref="U103:V103"/>
    <mergeCell ref="A104:C104"/>
    <mergeCell ref="D104:F104"/>
    <mergeCell ref="H104:I104"/>
    <mergeCell ref="J104:M104"/>
    <mergeCell ref="N104:O104"/>
    <mergeCell ref="S104:T104"/>
    <mergeCell ref="U104:V104"/>
    <mergeCell ref="A103:C103"/>
    <mergeCell ref="D103:F103"/>
    <mergeCell ref="H103:I103"/>
    <mergeCell ref="J103:M103"/>
    <mergeCell ref="N103:O103"/>
    <mergeCell ref="S105:T105"/>
    <mergeCell ref="U105:V105"/>
    <mergeCell ref="A106:C106"/>
    <mergeCell ref="D106:F106"/>
    <mergeCell ref="H106:I106"/>
    <mergeCell ref="J106:M106"/>
    <mergeCell ref="N106:O106"/>
    <mergeCell ref="S106:T106"/>
    <mergeCell ref="U106:V106"/>
    <mergeCell ref="A105:C105"/>
    <mergeCell ref="D105:F105"/>
    <mergeCell ref="H105:I105"/>
    <mergeCell ref="J105:M105"/>
    <mergeCell ref="N105:O105"/>
    <mergeCell ref="S107:T107"/>
    <mergeCell ref="U107:V107"/>
    <mergeCell ref="A108:C108"/>
    <mergeCell ref="D108:F108"/>
    <mergeCell ref="H108:I108"/>
    <mergeCell ref="J108:M108"/>
    <mergeCell ref="N108:O108"/>
    <mergeCell ref="S108:T108"/>
    <mergeCell ref="U108:V108"/>
    <mergeCell ref="A107:C107"/>
    <mergeCell ref="D107:F107"/>
    <mergeCell ref="H107:I107"/>
    <mergeCell ref="J107:M107"/>
    <mergeCell ref="N107:O107"/>
    <mergeCell ref="S109:T109"/>
    <mergeCell ref="U109:V109"/>
    <mergeCell ref="A110:C110"/>
    <mergeCell ref="D110:F110"/>
    <mergeCell ref="H110:I110"/>
    <mergeCell ref="J110:M110"/>
    <mergeCell ref="N110:O110"/>
    <mergeCell ref="S110:T110"/>
    <mergeCell ref="U110:V110"/>
    <mergeCell ref="A109:C109"/>
    <mergeCell ref="D109:F109"/>
    <mergeCell ref="H109:I109"/>
    <mergeCell ref="J109:M109"/>
    <mergeCell ref="N109:O109"/>
    <mergeCell ref="S111:T111"/>
    <mergeCell ref="U111:V111"/>
    <mergeCell ref="A112:C112"/>
    <mergeCell ref="D112:F112"/>
    <mergeCell ref="H112:I112"/>
    <mergeCell ref="J112:M112"/>
    <mergeCell ref="N112:O112"/>
    <mergeCell ref="S112:T112"/>
    <mergeCell ref="U112:V112"/>
    <mergeCell ref="A111:C111"/>
    <mergeCell ref="D111:F111"/>
    <mergeCell ref="H111:I111"/>
    <mergeCell ref="J111:M111"/>
    <mergeCell ref="N111:O111"/>
    <mergeCell ref="S113:T113"/>
    <mergeCell ref="U113:V113"/>
    <mergeCell ref="J115:M115"/>
    <mergeCell ref="N115:O115"/>
    <mergeCell ref="S115:T115"/>
    <mergeCell ref="U115:V115"/>
    <mergeCell ref="A113:C113"/>
    <mergeCell ref="D113:F113"/>
    <mergeCell ref="H113:I113"/>
    <mergeCell ref="J113:M113"/>
    <mergeCell ref="N113:O113"/>
    <mergeCell ref="P117:Q117"/>
    <mergeCell ref="S117:T117"/>
    <mergeCell ref="A118:B118"/>
    <mergeCell ref="E118:I118"/>
    <mergeCell ref="J118:M118"/>
    <mergeCell ref="N118:O118"/>
    <mergeCell ref="P118:Q118"/>
    <mergeCell ref="S118:T118"/>
    <mergeCell ref="B116:C116"/>
    <mergeCell ref="D116:M116"/>
    <mergeCell ref="A117:B117"/>
    <mergeCell ref="E117:I117"/>
    <mergeCell ref="J117:M117"/>
    <mergeCell ref="N117:O117"/>
    <mergeCell ref="S119:T119"/>
    <mergeCell ref="U119:V119"/>
    <mergeCell ref="A120:C120"/>
    <mergeCell ref="D120:F120"/>
    <mergeCell ref="H120:I120"/>
    <mergeCell ref="J120:M120"/>
    <mergeCell ref="N120:O120"/>
    <mergeCell ref="S120:T120"/>
    <mergeCell ref="U120:V120"/>
    <mergeCell ref="A119:C119"/>
    <mergeCell ref="D119:F119"/>
    <mergeCell ref="H119:I119"/>
    <mergeCell ref="J119:M119"/>
    <mergeCell ref="N119:O119"/>
    <mergeCell ref="S121:T121"/>
    <mergeCell ref="U121:V121"/>
    <mergeCell ref="A122:C122"/>
    <mergeCell ref="D122:F122"/>
    <mergeCell ref="H122:I122"/>
    <mergeCell ref="J122:M122"/>
    <mergeCell ref="N122:O122"/>
    <mergeCell ref="S122:T122"/>
    <mergeCell ref="U122:V122"/>
    <mergeCell ref="A121:C121"/>
    <mergeCell ref="D121:F121"/>
    <mergeCell ref="H121:I121"/>
    <mergeCell ref="J121:M121"/>
    <mergeCell ref="N121:O121"/>
    <mergeCell ref="S123:T123"/>
    <mergeCell ref="U123:V123"/>
    <mergeCell ref="A124:C124"/>
    <mergeCell ref="D124:F124"/>
    <mergeCell ref="H124:I124"/>
    <mergeCell ref="J124:M124"/>
    <mergeCell ref="N124:O124"/>
    <mergeCell ref="S124:T124"/>
    <mergeCell ref="U124:V124"/>
    <mergeCell ref="A123:C123"/>
    <mergeCell ref="D123:F123"/>
    <mergeCell ref="H123:I123"/>
    <mergeCell ref="J123:M123"/>
    <mergeCell ref="N123:O123"/>
    <mergeCell ref="S125:T125"/>
    <mergeCell ref="U125:V125"/>
    <mergeCell ref="A126:C126"/>
    <mergeCell ref="D126:F126"/>
    <mergeCell ref="H126:I126"/>
    <mergeCell ref="J126:M126"/>
    <mergeCell ref="N126:O126"/>
    <mergeCell ref="S126:T126"/>
    <mergeCell ref="U126:V126"/>
    <mergeCell ref="A125:C125"/>
    <mergeCell ref="D125:F125"/>
    <mergeCell ref="H125:I125"/>
    <mergeCell ref="J125:M125"/>
    <mergeCell ref="N125:O125"/>
    <mergeCell ref="S127:T127"/>
    <mergeCell ref="U127:V127"/>
    <mergeCell ref="A128:C128"/>
    <mergeCell ref="D128:F128"/>
    <mergeCell ref="H128:I128"/>
    <mergeCell ref="J128:M128"/>
    <mergeCell ref="N128:O128"/>
    <mergeCell ref="S128:T128"/>
    <mergeCell ref="U128:V128"/>
    <mergeCell ref="A127:C127"/>
    <mergeCell ref="D127:F127"/>
    <mergeCell ref="H127:I127"/>
    <mergeCell ref="J127:M127"/>
    <mergeCell ref="N127:O127"/>
    <mergeCell ref="A131:C131"/>
    <mergeCell ref="D131:F131"/>
    <mergeCell ref="H131:I131"/>
    <mergeCell ref="J131:M131"/>
    <mergeCell ref="N131:O131"/>
    <mergeCell ref="S129:T129"/>
    <mergeCell ref="U129:V129"/>
    <mergeCell ref="A130:C130"/>
    <mergeCell ref="D130:F130"/>
    <mergeCell ref="H130:I130"/>
    <mergeCell ref="J130:M130"/>
    <mergeCell ref="N130:O130"/>
    <mergeCell ref="S130:T130"/>
    <mergeCell ref="U130:V130"/>
    <mergeCell ref="A129:C129"/>
    <mergeCell ref="D129:F129"/>
    <mergeCell ref="H129:I129"/>
    <mergeCell ref="J129:M129"/>
    <mergeCell ref="N129:O129"/>
    <mergeCell ref="N135:O135"/>
    <mergeCell ref="S135:T135"/>
    <mergeCell ref="U135:V135"/>
    <mergeCell ref="S131:T131"/>
    <mergeCell ref="U131:V131"/>
    <mergeCell ref="J133:M133"/>
    <mergeCell ref="N133:O133"/>
    <mergeCell ref="S133:T133"/>
    <mergeCell ref="U133:V133"/>
    <mergeCell ref="A136:B137"/>
    <mergeCell ref="C136:K136"/>
    <mergeCell ref="B138:C138"/>
    <mergeCell ref="D138:M138"/>
    <mergeCell ref="A139:B139"/>
    <mergeCell ref="E139:I139"/>
    <mergeCell ref="J139:M139"/>
    <mergeCell ref="A135:H135"/>
    <mergeCell ref="J135:M135"/>
    <mergeCell ref="N139:O139"/>
    <mergeCell ref="P139:Q139"/>
    <mergeCell ref="S139:T139"/>
    <mergeCell ref="A140:B140"/>
    <mergeCell ref="E140:I140"/>
    <mergeCell ref="J140:M140"/>
    <mergeCell ref="N140:O140"/>
    <mergeCell ref="P140:Q140"/>
    <mergeCell ref="S140:T140"/>
    <mergeCell ref="S141:T141"/>
    <mergeCell ref="U141:V141"/>
    <mergeCell ref="A142:C142"/>
    <mergeCell ref="D142:F142"/>
    <mergeCell ref="H142:I142"/>
    <mergeCell ref="J142:M142"/>
    <mergeCell ref="N142:O142"/>
    <mergeCell ref="S142:T142"/>
    <mergeCell ref="U142:V142"/>
    <mergeCell ref="A141:C141"/>
    <mergeCell ref="D141:F141"/>
    <mergeCell ref="H141:I141"/>
    <mergeCell ref="J141:M141"/>
    <mergeCell ref="N141:O141"/>
    <mergeCell ref="S143:T143"/>
    <mergeCell ref="U143:V143"/>
    <mergeCell ref="A144:C144"/>
    <mergeCell ref="D144:F144"/>
    <mergeCell ref="H144:I144"/>
    <mergeCell ref="J144:M144"/>
    <mergeCell ref="N144:O144"/>
    <mergeCell ref="S144:T144"/>
    <mergeCell ref="U144:V144"/>
    <mergeCell ref="A143:C143"/>
    <mergeCell ref="D143:F143"/>
    <mergeCell ref="H143:I143"/>
    <mergeCell ref="J143:M143"/>
    <mergeCell ref="N143:O143"/>
    <mergeCell ref="S145:T145"/>
    <mergeCell ref="U145:V145"/>
    <mergeCell ref="J147:M147"/>
    <mergeCell ref="N147:O147"/>
    <mergeCell ref="S147:T147"/>
    <mergeCell ref="U147:V147"/>
    <mergeCell ref="A145:C145"/>
    <mergeCell ref="D145:F145"/>
    <mergeCell ref="H145:I145"/>
    <mergeCell ref="J145:M145"/>
    <mergeCell ref="N145:O145"/>
    <mergeCell ref="P149:Q149"/>
    <mergeCell ref="S149:T149"/>
    <mergeCell ref="A150:B150"/>
    <mergeCell ref="E150:I150"/>
    <mergeCell ref="J150:M150"/>
    <mergeCell ref="N150:O150"/>
    <mergeCell ref="P150:Q150"/>
    <mergeCell ref="S150:T150"/>
    <mergeCell ref="B148:C148"/>
    <mergeCell ref="D148:M148"/>
    <mergeCell ref="A149:B149"/>
    <mergeCell ref="E149:I149"/>
    <mergeCell ref="J149:M149"/>
    <mergeCell ref="N149:O149"/>
    <mergeCell ref="S151:T151"/>
    <mergeCell ref="U151:V151"/>
    <mergeCell ref="A152:C152"/>
    <mergeCell ref="D152:F152"/>
    <mergeCell ref="H152:I152"/>
    <mergeCell ref="J152:M152"/>
    <mergeCell ref="N152:O152"/>
    <mergeCell ref="S152:T152"/>
    <mergeCell ref="U152:V152"/>
    <mergeCell ref="A151:C151"/>
    <mergeCell ref="D151:F151"/>
    <mergeCell ref="H151:I151"/>
    <mergeCell ref="J151:M151"/>
    <mergeCell ref="N151:O151"/>
    <mergeCell ref="A155:C155"/>
    <mergeCell ref="D155:F155"/>
    <mergeCell ref="H155:I155"/>
    <mergeCell ref="J155:M155"/>
    <mergeCell ref="N155:O155"/>
    <mergeCell ref="S153:T153"/>
    <mergeCell ref="U153:V153"/>
    <mergeCell ref="A154:C154"/>
    <mergeCell ref="D154:F154"/>
    <mergeCell ref="H154:I154"/>
    <mergeCell ref="J154:M154"/>
    <mergeCell ref="N154:O154"/>
    <mergeCell ref="S154:T154"/>
    <mergeCell ref="U154:V154"/>
    <mergeCell ref="A153:C153"/>
    <mergeCell ref="D153:F153"/>
    <mergeCell ref="H153:I153"/>
    <mergeCell ref="J153:M153"/>
    <mergeCell ref="N153:O153"/>
    <mergeCell ref="N159:O159"/>
    <mergeCell ref="S159:T159"/>
    <mergeCell ref="U159:V159"/>
    <mergeCell ref="S155:T155"/>
    <mergeCell ref="U155:V155"/>
    <mergeCell ref="J157:M157"/>
    <mergeCell ref="N157:O157"/>
    <mergeCell ref="S157:T157"/>
    <mergeCell ref="U157:V157"/>
    <mergeCell ref="A160:B161"/>
    <mergeCell ref="C160:K160"/>
    <mergeCell ref="B162:C162"/>
    <mergeCell ref="D162:M162"/>
    <mergeCell ref="A163:B163"/>
    <mergeCell ref="E163:I163"/>
    <mergeCell ref="J163:M163"/>
    <mergeCell ref="A159:H159"/>
    <mergeCell ref="J159:M159"/>
    <mergeCell ref="N163:O163"/>
    <mergeCell ref="P163:Q163"/>
    <mergeCell ref="S163:T163"/>
    <mergeCell ref="A164:B164"/>
    <mergeCell ref="E164:I164"/>
    <mergeCell ref="J164:M164"/>
    <mergeCell ref="N164:O164"/>
    <mergeCell ref="P164:Q164"/>
    <mergeCell ref="S164:T164"/>
    <mergeCell ref="S165:T165"/>
    <mergeCell ref="U165:V165"/>
    <mergeCell ref="A166:C166"/>
    <mergeCell ref="D166:F166"/>
    <mergeCell ref="H166:I166"/>
    <mergeCell ref="J166:M166"/>
    <mergeCell ref="N166:O166"/>
    <mergeCell ref="S166:T166"/>
    <mergeCell ref="U166:V166"/>
    <mergeCell ref="A165:C165"/>
    <mergeCell ref="D165:F165"/>
    <mergeCell ref="H165:I165"/>
    <mergeCell ref="J165:M165"/>
    <mergeCell ref="N165:O165"/>
    <mergeCell ref="A169:C169"/>
    <mergeCell ref="D169:F169"/>
    <mergeCell ref="H169:I169"/>
    <mergeCell ref="J169:M169"/>
    <mergeCell ref="N169:O169"/>
    <mergeCell ref="S167:T167"/>
    <mergeCell ref="U167:V167"/>
    <mergeCell ref="A168:C168"/>
    <mergeCell ref="D168:F168"/>
    <mergeCell ref="H168:I168"/>
    <mergeCell ref="J168:M168"/>
    <mergeCell ref="N168:O168"/>
    <mergeCell ref="S168:T168"/>
    <mergeCell ref="U168:V168"/>
    <mergeCell ref="A167:C167"/>
    <mergeCell ref="D167:F167"/>
    <mergeCell ref="H167:I167"/>
    <mergeCell ref="J167:M167"/>
    <mergeCell ref="N167:O167"/>
    <mergeCell ref="N173:O173"/>
    <mergeCell ref="S173:T173"/>
    <mergeCell ref="U173:V173"/>
    <mergeCell ref="S169:T169"/>
    <mergeCell ref="U169:V169"/>
    <mergeCell ref="J171:M171"/>
    <mergeCell ref="N171:O171"/>
    <mergeCell ref="S171:T171"/>
    <mergeCell ref="U171:V171"/>
    <mergeCell ref="A174:B175"/>
    <mergeCell ref="C174:K174"/>
    <mergeCell ref="B176:C176"/>
    <mergeCell ref="D176:M176"/>
    <mergeCell ref="A177:B177"/>
    <mergeCell ref="E177:I177"/>
    <mergeCell ref="J177:M177"/>
    <mergeCell ref="A173:H173"/>
    <mergeCell ref="J173:M173"/>
    <mergeCell ref="N177:O177"/>
    <mergeCell ref="P177:Q177"/>
    <mergeCell ref="S177:T177"/>
    <mergeCell ref="A178:B178"/>
    <mergeCell ref="E178:I178"/>
    <mergeCell ref="J178:M178"/>
    <mergeCell ref="N178:O178"/>
    <mergeCell ref="P178:Q178"/>
    <mergeCell ref="S178:T178"/>
    <mergeCell ref="S179:T179"/>
    <mergeCell ref="U179:V179"/>
    <mergeCell ref="A180:C180"/>
    <mergeCell ref="D180:F180"/>
    <mergeCell ref="H180:I180"/>
    <mergeCell ref="J180:M180"/>
    <mergeCell ref="N180:O180"/>
    <mergeCell ref="S180:T180"/>
    <mergeCell ref="U180:V180"/>
    <mergeCell ref="A179:C179"/>
    <mergeCell ref="D179:F179"/>
    <mergeCell ref="H179:I179"/>
    <mergeCell ref="J179:M179"/>
    <mergeCell ref="N179:O179"/>
    <mergeCell ref="U184:V184"/>
    <mergeCell ref="J182:M182"/>
    <mergeCell ref="N182:O182"/>
    <mergeCell ref="S182:T182"/>
    <mergeCell ref="U182:V182"/>
    <mergeCell ref="A184:H184"/>
    <mergeCell ref="J184:M184"/>
    <mergeCell ref="N184:O184"/>
    <mergeCell ref="S184:T184"/>
  </mergeCells>
  <printOptions/>
  <pageMargins left="0.7" right="0.7" top="0.75" bottom="0.75" header="0.3" footer="0.3"/>
  <pageSetup fitToHeight="0" fitToWidth="1" horizontalDpi="600" verticalDpi="600" orientation="portrait" scale="63" r:id="rId1"/>
</worksheet>
</file>

<file path=xl/worksheets/sheet13.xml><?xml version="1.0" encoding="utf-8"?>
<worksheet xmlns="http://schemas.openxmlformats.org/spreadsheetml/2006/main" xmlns:r="http://schemas.openxmlformats.org/officeDocument/2006/relationships">
  <sheetPr>
    <tabColor rgb="FFFF0000"/>
  </sheetPr>
  <dimension ref="A1:X193"/>
  <sheetViews>
    <sheetView zoomScalePageLayoutView="0" workbookViewId="0" topLeftCell="A148">
      <selection activeCell="P194" sqref="P194"/>
    </sheetView>
  </sheetViews>
  <sheetFormatPr defaultColWidth="9.33203125" defaultRowHeight="10.5"/>
  <cols>
    <col min="1" max="1" width="11.66015625" style="85" customWidth="1"/>
    <col min="2" max="2" width="10.5" style="87" customWidth="1"/>
    <col min="3" max="3" width="3.66015625" style="87" customWidth="1"/>
    <col min="4" max="4" width="10.33203125" style="87" customWidth="1"/>
    <col min="5" max="5" width="6.66015625" style="47" customWidth="1"/>
    <col min="6" max="6" width="4" style="48" customWidth="1"/>
    <col min="7" max="7" width="4.83203125" style="48" customWidth="1"/>
    <col min="8" max="8" width="9.33203125" style="48" customWidth="1"/>
    <col min="9" max="9" width="4" style="48" customWidth="1"/>
    <col min="10" max="10" width="1.83203125" style="48" customWidth="1"/>
    <col min="11" max="11" width="1.66796875" style="48" customWidth="1"/>
    <col min="12" max="12" width="4.16015625" style="48" customWidth="1"/>
    <col min="13" max="15" width="9.33203125" style="48" customWidth="1"/>
    <col min="16" max="16" width="11.66015625" style="48" bestFit="1" customWidth="1"/>
    <col min="17" max="17" width="5.66015625" style="48" customWidth="1"/>
    <col min="18" max="16384" width="9.33203125" style="48" customWidth="1"/>
  </cols>
  <sheetData>
    <row r="1" spans="1:5" ht="10.5">
      <c r="A1" s="203" t="s">
        <v>120</v>
      </c>
      <c r="B1" s="94"/>
      <c r="C1" s="94"/>
      <c r="D1" s="94"/>
      <c r="E1" s="94"/>
    </row>
    <row r="2" spans="1:5" ht="10.5">
      <c r="A2" s="229" t="s">
        <v>266</v>
      </c>
      <c r="B2" s="48"/>
      <c r="C2" s="48"/>
      <c r="D2" s="48"/>
      <c r="E2" s="48"/>
    </row>
    <row r="3" spans="1:5" ht="10.5">
      <c r="A3" s="239" t="s">
        <v>265</v>
      </c>
      <c r="B3" s="88"/>
      <c r="C3" s="88"/>
      <c r="D3" s="88"/>
      <c r="E3" s="88"/>
    </row>
    <row r="4" spans="1:24" s="94" customFormat="1" ht="12">
      <c r="A4" s="558" t="s">
        <v>211</v>
      </c>
      <c r="B4" s="558"/>
      <c r="C4" s="590" t="s">
        <v>247</v>
      </c>
      <c r="D4" s="590"/>
      <c r="E4" s="590"/>
      <c r="F4" s="590"/>
      <c r="G4" s="590"/>
      <c r="H4" s="590"/>
      <c r="I4" s="590"/>
      <c r="J4" s="590"/>
      <c r="K4" s="590"/>
      <c r="L4" s="240"/>
      <c r="M4" s="240"/>
      <c r="N4" s="240"/>
      <c r="O4" s="240"/>
      <c r="P4" s="240"/>
      <c r="Q4" s="240"/>
      <c r="R4" s="240"/>
      <c r="S4" s="240"/>
      <c r="T4" s="240"/>
      <c r="U4" s="240"/>
      <c r="V4" s="240"/>
      <c r="W4" s="240"/>
      <c r="X4" s="240"/>
    </row>
    <row r="5" spans="1:24" ht="9.75" customHeight="1">
      <c r="A5" s="558"/>
      <c r="B5" s="558"/>
      <c r="C5" s="240"/>
      <c r="D5" s="240"/>
      <c r="E5" s="240"/>
      <c r="F5" s="240"/>
      <c r="G5" s="240"/>
      <c r="H5" s="240"/>
      <c r="I5" s="240"/>
      <c r="J5" s="240"/>
      <c r="K5" s="240"/>
      <c r="L5" s="240"/>
      <c r="M5" s="240"/>
      <c r="N5" s="240"/>
      <c r="O5" s="240"/>
      <c r="P5" s="240"/>
      <c r="Q5" s="240"/>
      <c r="R5" s="240"/>
      <c r="S5" s="240"/>
      <c r="T5" s="240"/>
      <c r="U5" s="240"/>
      <c r="V5" s="240"/>
      <c r="W5" s="240"/>
      <c r="X5" s="240"/>
    </row>
    <row r="6" spans="1:24" s="88" customFormat="1" ht="12">
      <c r="A6" s="240"/>
      <c r="B6" s="558" t="s">
        <v>213</v>
      </c>
      <c r="C6" s="558"/>
      <c r="D6" s="590" t="s">
        <v>214</v>
      </c>
      <c r="E6" s="590"/>
      <c r="F6" s="590"/>
      <c r="G6" s="590"/>
      <c r="H6" s="590"/>
      <c r="I6" s="590"/>
      <c r="J6" s="590"/>
      <c r="K6" s="590"/>
      <c r="L6" s="590"/>
      <c r="M6" s="590"/>
      <c r="N6" s="240"/>
      <c r="O6" s="240"/>
      <c r="P6" s="240"/>
      <c r="Q6" s="240"/>
      <c r="R6" s="240"/>
      <c r="S6" s="240"/>
      <c r="T6" s="240"/>
      <c r="U6" s="240"/>
      <c r="V6" s="240"/>
      <c r="W6" s="240"/>
      <c r="X6" s="240"/>
    </row>
    <row r="7" spans="1:24" ht="12">
      <c r="A7" s="558" t="s">
        <v>215</v>
      </c>
      <c r="B7" s="558"/>
      <c r="C7" s="240"/>
      <c r="D7" s="240"/>
      <c r="E7" s="591" t="s">
        <v>216</v>
      </c>
      <c r="F7" s="591"/>
      <c r="G7" s="591"/>
      <c r="H7" s="591"/>
      <c r="I7" s="591"/>
      <c r="J7" s="586" t="s">
        <v>5</v>
      </c>
      <c r="K7" s="586"/>
      <c r="L7" s="586"/>
      <c r="M7" s="586"/>
      <c r="N7" s="586" t="s">
        <v>217</v>
      </c>
      <c r="O7" s="586"/>
      <c r="P7" s="561" t="s">
        <v>218</v>
      </c>
      <c r="Q7" s="561"/>
      <c r="R7" s="240"/>
      <c r="S7" s="586" t="s">
        <v>219</v>
      </c>
      <c r="T7" s="586"/>
      <c r="U7" s="240"/>
      <c r="V7" s="241" t="s">
        <v>220</v>
      </c>
      <c r="W7" s="241" t="s">
        <v>221</v>
      </c>
      <c r="X7" s="240"/>
    </row>
    <row r="8" spans="1:24" ht="12">
      <c r="A8" s="558"/>
      <c r="B8" s="558"/>
      <c r="C8" s="240"/>
      <c r="D8" s="240"/>
      <c r="E8" s="558" t="s">
        <v>222</v>
      </c>
      <c r="F8" s="558"/>
      <c r="G8" s="558"/>
      <c r="H8" s="558"/>
      <c r="I8" s="558"/>
      <c r="J8" s="561" t="s">
        <v>223</v>
      </c>
      <c r="K8" s="561"/>
      <c r="L8" s="561"/>
      <c r="M8" s="561"/>
      <c r="N8" s="561" t="s">
        <v>224</v>
      </c>
      <c r="O8" s="561"/>
      <c r="P8" s="561"/>
      <c r="Q8" s="561"/>
      <c r="R8" s="240"/>
      <c r="S8" s="561" t="s">
        <v>224</v>
      </c>
      <c r="T8" s="561"/>
      <c r="U8" s="240"/>
      <c r="V8" s="242" t="s">
        <v>115</v>
      </c>
      <c r="W8" s="242" t="s">
        <v>219</v>
      </c>
      <c r="X8" s="240"/>
    </row>
    <row r="9" spans="1:24" ht="12">
      <c r="A9" s="589" t="s">
        <v>25</v>
      </c>
      <c r="B9" s="589"/>
      <c r="C9" s="589"/>
      <c r="D9" s="589" t="s">
        <v>248</v>
      </c>
      <c r="E9" s="589"/>
      <c r="F9" s="589"/>
      <c r="G9" s="243" t="s">
        <v>226</v>
      </c>
      <c r="H9" s="589" t="s">
        <v>249</v>
      </c>
      <c r="I9" s="589"/>
      <c r="J9" s="587">
        <v>13242</v>
      </c>
      <c r="K9" s="587"/>
      <c r="L9" s="587"/>
      <c r="M9" s="587"/>
      <c r="N9" s="587">
        <v>12462.8</v>
      </c>
      <c r="O9" s="587"/>
      <c r="P9" s="256">
        <v>779.2</v>
      </c>
      <c r="Q9" s="256"/>
      <c r="R9" s="256"/>
      <c r="S9" s="587">
        <v>12462.8</v>
      </c>
      <c r="T9" s="587"/>
      <c r="U9" s="588">
        <v>0</v>
      </c>
      <c r="V9" s="588"/>
      <c r="W9" s="244">
        <v>94.12</v>
      </c>
      <c r="X9" s="240"/>
    </row>
    <row r="10" spans="1:24" ht="12">
      <c r="A10" s="589" t="s">
        <v>26</v>
      </c>
      <c r="B10" s="589"/>
      <c r="C10" s="589"/>
      <c r="D10" s="589" t="s">
        <v>248</v>
      </c>
      <c r="E10" s="589"/>
      <c r="F10" s="589"/>
      <c r="G10" s="243" t="s">
        <v>226</v>
      </c>
      <c r="H10" s="589" t="s">
        <v>249</v>
      </c>
      <c r="I10" s="589"/>
      <c r="J10" s="587">
        <v>2997.27</v>
      </c>
      <c r="K10" s="587"/>
      <c r="L10" s="587"/>
      <c r="M10" s="587"/>
      <c r="N10" s="587">
        <v>0</v>
      </c>
      <c r="O10" s="587"/>
      <c r="P10" s="256">
        <v>2997.27</v>
      </c>
      <c r="Q10" s="256"/>
      <c r="R10" s="256"/>
      <c r="S10" s="587">
        <v>0</v>
      </c>
      <c r="T10" s="587"/>
      <c r="U10" s="588">
        <v>0</v>
      </c>
      <c r="V10" s="588"/>
      <c r="W10" s="244">
        <v>0</v>
      </c>
      <c r="X10" s="240"/>
    </row>
    <row r="11" spans="1:24" s="94" customFormat="1" ht="12">
      <c r="A11" s="589" t="s">
        <v>27</v>
      </c>
      <c r="B11" s="589"/>
      <c r="C11" s="589"/>
      <c r="D11" s="589" t="s">
        <v>248</v>
      </c>
      <c r="E11" s="589"/>
      <c r="F11" s="589"/>
      <c r="G11" s="243" t="s">
        <v>226</v>
      </c>
      <c r="H11" s="589" t="s">
        <v>249</v>
      </c>
      <c r="I11" s="589"/>
      <c r="J11" s="587">
        <v>5924</v>
      </c>
      <c r="K11" s="587"/>
      <c r="L11" s="587"/>
      <c r="M11" s="587"/>
      <c r="N11" s="587">
        <v>4140</v>
      </c>
      <c r="O11" s="587"/>
      <c r="P11" s="256">
        <v>1784</v>
      </c>
      <c r="Q11" s="256"/>
      <c r="R11" s="256"/>
      <c r="S11" s="587">
        <v>4140</v>
      </c>
      <c r="T11" s="587"/>
      <c r="U11" s="588">
        <v>0</v>
      </c>
      <c r="V11" s="588"/>
      <c r="W11" s="244">
        <v>69.89</v>
      </c>
      <c r="X11" s="240"/>
    </row>
    <row r="12" spans="1:24" ht="12" customHeight="1">
      <c r="A12" s="589" t="s">
        <v>28</v>
      </c>
      <c r="B12" s="589"/>
      <c r="C12" s="589"/>
      <c r="D12" s="589" t="s">
        <v>248</v>
      </c>
      <c r="E12" s="589"/>
      <c r="F12" s="589"/>
      <c r="G12" s="243" t="s">
        <v>226</v>
      </c>
      <c r="H12" s="589" t="s">
        <v>249</v>
      </c>
      <c r="I12" s="589"/>
      <c r="J12" s="587">
        <v>4626</v>
      </c>
      <c r="K12" s="587"/>
      <c r="L12" s="587"/>
      <c r="M12" s="587"/>
      <c r="N12" s="587">
        <v>3470</v>
      </c>
      <c r="O12" s="587"/>
      <c r="P12" s="256">
        <v>1156</v>
      </c>
      <c r="Q12" s="256"/>
      <c r="R12" s="256"/>
      <c r="S12" s="587">
        <v>3470</v>
      </c>
      <c r="T12" s="587"/>
      <c r="U12" s="588">
        <v>0</v>
      </c>
      <c r="V12" s="588"/>
      <c r="W12" s="244">
        <v>75.01</v>
      </c>
      <c r="X12" s="240"/>
    </row>
    <row r="13" spans="1:24" s="88" customFormat="1" ht="12">
      <c r="A13" s="589" t="s">
        <v>29</v>
      </c>
      <c r="B13" s="589"/>
      <c r="C13" s="589"/>
      <c r="D13" s="589" t="s">
        <v>248</v>
      </c>
      <c r="E13" s="589"/>
      <c r="F13" s="589"/>
      <c r="G13" s="243" t="s">
        <v>226</v>
      </c>
      <c r="H13" s="589" t="s">
        <v>249</v>
      </c>
      <c r="I13" s="589"/>
      <c r="J13" s="587">
        <v>8640</v>
      </c>
      <c r="K13" s="587"/>
      <c r="L13" s="587"/>
      <c r="M13" s="587"/>
      <c r="N13" s="587">
        <v>8640</v>
      </c>
      <c r="O13" s="587"/>
      <c r="P13" s="256">
        <v>0</v>
      </c>
      <c r="Q13" s="256"/>
      <c r="R13" s="256"/>
      <c r="S13" s="587">
        <v>8640</v>
      </c>
      <c r="T13" s="587"/>
      <c r="U13" s="588">
        <v>0</v>
      </c>
      <c r="V13" s="588"/>
      <c r="W13" s="244">
        <v>100</v>
      </c>
      <c r="X13" s="240"/>
    </row>
    <row r="14" spans="1:24" ht="12">
      <c r="A14" s="589" t="s">
        <v>30</v>
      </c>
      <c r="B14" s="589"/>
      <c r="C14" s="589"/>
      <c r="D14" s="589" t="s">
        <v>248</v>
      </c>
      <c r="E14" s="589"/>
      <c r="F14" s="589"/>
      <c r="G14" s="243" t="s">
        <v>226</v>
      </c>
      <c r="H14" s="589" t="s">
        <v>249</v>
      </c>
      <c r="I14" s="589"/>
      <c r="J14" s="587">
        <v>232.63</v>
      </c>
      <c r="K14" s="587"/>
      <c r="L14" s="587"/>
      <c r="M14" s="587"/>
      <c r="N14" s="587">
        <v>30</v>
      </c>
      <c r="O14" s="587"/>
      <c r="P14" s="256">
        <v>202.63</v>
      </c>
      <c r="Q14" s="256"/>
      <c r="R14" s="256"/>
      <c r="S14" s="587">
        <v>30</v>
      </c>
      <c r="T14" s="587"/>
      <c r="U14" s="588">
        <v>0</v>
      </c>
      <c r="V14" s="588"/>
      <c r="W14" s="244">
        <v>12.9</v>
      </c>
      <c r="X14" s="240"/>
    </row>
    <row r="15" spans="1:24" ht="12">
      <c r="A15" s="589" t="s">
        <v>31</v>
      </c>
      <c r="B15" s="589"/>
      <c r="C15" s="589"/>
      <c r="D15" s="589" t="s">
        <v>248</v>
      </c>
      <c r="E15" s="589"/>
      <c r="F15" s="589"/>
      <c r="G15" s="243" t="s">
        <v>226</v>
      </c>
      <c r="H15" s="589" t="s">
        <v>249</v>
      </c>
      <c r="I15" s="589"/>
      <c r="J15" s="587">
        <v>4488</v>
      </c>
      <c r="K15" s="587"/>
      <c r="L15" s="587"/>
      <c r="M15" s="587"/>
      <c r="N15" s="587">
        <v>29.91</v>
      </c>
      <c r="O15" s="587"/>
      <c r="P15" s="256">
        <v>4458.09</v>
      </c>
      <c r="Q15" s="256"/>
      <c r="R15" s="256"/>
      <c r="S15" s="587">
        <v>29.91</v>
      </c>
      <c r="T15" s="587"/>
      <c r="U15" s="588">
        <v>0</v>
      </c>
      <c r="V15" s="588"/>
      <c r="W15" s="244">
        <v>0.67</v>
      </c>
      <c r="X15" s="240"/>
    </row>
    <row r="16" spans="1:24" ht="12">
      <c r="A16" s="589" t="s">
        <v>32</v>
      </c>
      <c r="B16" s="589"/>
      <c r="C16" s="589"/>
      <c r="D16" s="589" t="s">
        <v>248</v>
      </c>
      <c r="E16" s="589"/>
      <c r="F16" s="589"/>
      <c r="G16" s="243" t="s">
        <v>226</v>
      </c>
      <c r="H16" s="589" t="s">
        <v>249</v>
      </c>
      <c r="I16" s="589"/>
      <c r="J16" s="587">
        <v>4422</v>
      </c>
      <c r="K16" s="587"/>
      <c r="L16" s="587"/>
      <c r="M16" s="587"/>
      <c r="N16" s="587">
        <v>3936</v>
      </c>
      <c r="O16" s="587"/>
      <c r="P16" s="256">
        <v>486</v>
      </c>
      <c r="Q16" s="256"/>
      <c r="R16" s="256"/>
      <c r="S16" s="587">
        <v>3905</v>
      </c>
      <c r="T16" s="587"/>
      <c r="U16" s="588">
        <v>31</v>
      </c>
      <c r="V16" s="588"/>
      <c r="W16" s="244">
        <v>88.31</v>
      </c>
      <c r="X16" s="240"/>
    </row>
    <row r="17" spans="1:24" ht="12">
      <c r="A17" s="589" t="s">
        <v>33</v>
      </c>
      <c r="B17" s="589"/>
      <c r="C17" s="589"/>
      <c r="D17" s="589" t="s">
        <v>248</v>
      </c>
      <c r="E17" s="589"/>
      <c r="F17" s="589"/>
      <c r="G17" s="243" t="s">
        <v>226</v>
      </c>
      <c r="H17" s="589" t="s">
        <v>249</v>
      </c>
      <c r="I17" s="589"/>
      <c r="J17" s="587">
        <v>8622</v>
      </c>
      <c r="K17" s="587"/>
      <c r="L17" s="587"/>
      <c r="M17" s="587"/>
      <c r="N17" s="587">
        <v>5815</v>
      </c>
      <c r="O17" s="587"/>
      <c r="P17" s="256">
        <v>2807</v>
      </c>
      <c r="Q17" s="256"/>
      <c r="R17" s="256"/>
      <c r="S17" s="587">
        <v>5815</v>
      </c>
      <c r="T17" s="587"/>
      <c r="U17" s="588">
        <v>0</v>
      </c>
      <c r="V17" s="588"/>
      <c r="W17" s="244">
        <v>67.44</v>
      </c>
      <c r="X17" s="240"/>
    </row>
    <row r="18" spans="1:24" ht="12">
      <c r="A18" s="589" t="s">
        <v>34</v>
      </c>
      <c r="B18" s="589"/>
      <c r="C18" s="589"/>
      <c r="D18" s="589" t="s">
        <v>248</v>
      </c>
      <c r="E18" s="589"/>
      <c r="F18" s="589"/>
      <c r="G18" s="243" t="s">
        <v>226</v>
      </c>
      <c r="H18" s="589" t="s">
        <v>249</v>
      </c>
      <c r="I18" s="589"/>
      <c r="J18" s="587">
        <v>5346</v>
      </c>
      <c r="K18" s="587"/>
      <c r="L18" s="587"/>
      <c r="M18" s="587"/>
      <c r="N18" s="587">
        <v>3524</v>
      </c>
      <c r="O18" s="587"/>
      <c r="P18" s="256">
        <v>1822</v>
      </c>
      <c r="Q18" s="256"/>
      <c r="R18" s="256"/>
      <c r="S18" s="587">
        <v>4210</v>
      </c>
      <c r="T18" s="587"/>
      <c r="U18" s="588">
        <v>-686</v>
      </c>
      <c r="V18" s="588"/>
      <c r="W18" s="244">
        <v>78.75</v>
      </c>
      <c r="X18" s="240"/>
    </row>
    <row r="19" spans="1:24" ht="12">
      <c r="A19" s="589" t="s">
        <v>35</v>
      </c>
      <c r="B19" s="589"/>
      <c r="C19" s="589"/>
      <c r="D19" s="589" t="s">
        <v>248</v>
      </c>
      <c r="E19" s="589"/>
      <c r="F19" s="589"/>
      <c r="G19" s="243" t="s">
        <v>226</v>
      </c>
      <c r="H19" s="589" t="s">
        <v>249</v>
      </c>
      <c r="I19" s="589"/>
      <c r="J19" s="587">
        <v>2098</v>
      </c>
      <c r="K19" s="587"/>
      <c r="L19" s="587"/>
      <c r="M19" s="587"/>
      <c r="N19" s="587">
        <v>2098</v>
      </c>
      <c r="O19" s="587"/>
      <c r="P19" s="257">
        <v>0</v>
      </c>
      <c r="Q19" s="257"/>
      <c r="R19" s="257"/>
      <c r="S19" s="587">
        <v>2098</v>
      </c>
      <c r="T19" s="587"/>
      <c r="U19" s="588">
        <v>0</v>
      </c>
      <c r="V19" s="588"/>
      <c r="W19" s="244">
        <v>100</v>
      </c>
      <c r="X19" s="240"/>
    </row>
    <row r="20" spans="1:24" ht="10.5">
      <c r="A20" s="245"/>
      <c r="B20" s="245"/>
      <c r="C20" s="245"/>
      <c r="D20" s="245"/>
      <c r="E20" s="245"/>
      <c r="F20" s="245"/>
      <c r="G20" s="245"/>
      <c r="H20" s="245"/>
      <c r="I20" s="245"/>
      <c r="J20" s="245"/>
      <c r="K20" s="245"/>
      <c r="L20" s="245"/>
      <c r="M20" s="245"/>
      <c r="N20" s="245"/>
      <c r="O20" s="245"/>
      <c r="P20" s="245"/>
      <c r="Q20" s="245"/>
      <c r="R20" s="245"/>
      <c r="S20" s="245"/>
      <c r="T20" s="245"/>
      <c r="U20" s="245"/>
      <c r="V20" s="245"/>
      <c r="W20" s="245"/>
      <c r="X20" s="240"/>
    </row>
    <row r="21" spans="1:24" ht="11.25">
      <c r="A21" s="240"/>
      <c r="B21" s="240"/>
      <c r="C21" s="240"/>
      <c r="D21" s="240"/>
      <c r="E21" s="240"/>
      <c r="F21" s="240"/>
      <c r="G21" s="240"/>
      <c r="H21" s="240"/>
      <c r="I21" s="240"/>
      <c r="J21" s="585">
        <v>60637.9</v>
      </c>
      <c r="K21" s="585"/>
      <c r="L21" s="585"/>
      <c r="M21" s="585"/>
      <c r="N21" s="585">
        <v>44145.71</v>
      </c>
      <c r="O21" s="585"/>
      <c r="P21" s="258">
        <v>16492.19</v>
      </c>
      <c r="Q21" s="258"/>
      <c r="R21" s="258"/>
      <c r="S21" s="585">
        <v>44800.71</v>
      </c>
      <c r="T21" s="585"/>
      <c r="U21" s="585">
        <v>-655</v>
      </c>
      <c r="V21" s="585"/>
      <c r="W21" s="240"/>
      <c r="X21" s="240"/>
    </row>
    <row r="22" spans="1:24" ht="12">
      <c r="A22" s="240"/>
      <c r="B22" s="558" t="s">
        <v>213</v>
      </c>
      <c r="C22" s="558"/>
      <c r="D22" s="590" t="s">
        <v>228</v>
      </c>
      <c r="E22" s="590"/>
      <c r="F22" s="590"/>
      <c r="G22" s="590"/>
      <c r="H22" s="590"/>
      <c r="I22" s="590"/>
      <c r="J22" s="590"/>
      <c r="K22" s="590"/>
      <c r="L22" s="590"/>
      <c r="M22" s="590"/>
      <c r="N22" s="240"/>
      <c r="O22" s="240"/>
      <c r="P22" s="240"/>
      <c r="Q22" s="240"/>
      <c r="R22" s="240"/>
      <c r="S22" s="240"/>
      <c r="T22" s="240"/>
      <c r="U22" s="240"/>
      <c r="V22" s="240"/>
      <c r="W22" s="240"/>
      <c r="X22" s="240"/>
    </row>
    <row r="23" spans="1:24" ht="12">
      <c r="A23" s="558" t="s">
        <v>215</v>
      </c>
      <c r="B23" s="558"/>
      <c r="C23" s="240"/>
      <c r="D23" s="240"/>
      <c r="E23" s="591" t="s">
        <v>216</v>
      </c>
      <c r="F23" s="591"/>
      <c r="G23" s="591"/>
      <c r="H23" s="591"/>
      <c r="I23" s="591"/>
      <c r="J23" s="586" t="s">
        <v>5</v>
      </c>
      <c r="K23" s="586"/>
      <c r="L23" s="586"/>
      <c r="M23" s="586"/>
      <c r="N23" s="586" t="s">
        <v>217</v>
      </c>
      <c r="O23" s="586"/>
      <c r="P23" s="561" t="s">
        <v>218</v>
      </c>
      <c r="Q23" s="561"/>
      <c r="R23" s="240"/>
      <c r="S23" s="586" t="s">
        <v>219</v>
      </c>
      <c r="T23" s="586"/>
      <c r="U23" s="240"/>
      <c r="V23" s="241" t="s">
        <v>220</v>
      </c>
      <c r="W23" s="241" t="s">
        <v>221</v>
      </c>
      <c r="X23" s="240"/>
    </row>
    <row r="24" spans="1:24" ht="12">
      <c r="A24" s="558"/>
      <c r="B24" s="558"/>
      <c r="C24" s="240"/>
      <c r="D24" s="240"/>
      <c r="E24" s="558" t="s">
        <v>222</v>
      </c>
      <c r="F24" s="558"/>
      <c r="G24" s="558"/>
      <c r="H24" s="558"/>
      <c r="I24" s="558"/>
      <c r="J24" s="561" t="s">
        <v>223</v>
      </c>
      <c r="K24" s="561"/>
      <c r="L24" s="561"/>
      <c r="M24" s="561"/>
      <c r="N24" s="561" t="s">
        <v>224</v>
      </c>
      <c r="O24" s="561"/>
      <c r="P24" s="561"/>
      <c r="Q24" s="561"/>
      <c r="R24" s="240"/>
      <c r="S24" s="561" t="s">
        <v>224</v>
      </c>
      <c r="T24" s="561"/>
      <c r="U24" s="240"/>
      <c r="V24" s="242" t="s">
        <v>115</v>
      </c>
      <c r="W24" s="242" t="s">
        <v>219</v>
      </c>
      <c r="X24" s="240"/>
    </row>
    <row r="25" spans="1:24" ht="12">
      <c r="A25" s="589" t="s">
        <v>25</v>
      </c>
      <c r="B25" s="589"/>
      <c r="C25" s="589"/>
      <c r="D25" s="589" t="s">
        <v>248</v>
      </c>
      <c r="E25" s="589"/>
      <c r="F25" s="589"/>
      <c r="G25" s="243" t="s">
        <v>226</v>
      </c>
      <c r="H25" s="589" t="s">
        <v>249</v>
      </c>
      <c r="I25" s="589"/>
      <c r="J25" s="587">
        <v>176751</v>
      </c>
      <c r="K25" s="587"/>
      <c r="L25" s="587"/>
      <c r="M25" s="587"/>
      <c r="N25" s="587">
        <v>169972.13</v>
      </c>
      <c r="O25" s="587"/>
      <c r="P25" s="256">
        <v>6778.87</v>
      </c>
      <c r="Q25" s="256"/>
      <c r="R25" s="256"/>
      <c r="S25" s="587">
        <v>169972.13</v>
      </c>
      <c r="T25" s="587"/>
      <c r="U25" s="588">
        <v>0</v>
      </c>
      <c r="V25" s="588"/>
      <c r="W25" s="244">
        <v>96.16</v>
      </c>
      <c r="X25" s="240"/>
    </row>
    <row r="26" spans="1:24" ht="12">
      <c r="A26" s="589" t="s">
        <v>26</v>
      </c>
      <c r="B26" s="589"/>
      <c r="C26" s="589"/>
      <c r="D26" s="589" t="s">
        <v>248</v>
      </c>
      <c r="E26" s="589"/>
      <c r="F26" s="589"/>
      <c r="G26" s="243" t="s">
        <v>226</v>
      </c>
      <c r="H26" s="589" t="s">
        <v>249</v>
      </c>
      <c r="I26" s="589"/>
      <c r="J26" s="587">
        <v>21698.96</v>
      </c>
      <c r="K26" s="587"/>
      <c r="L26" s="587"/>
      <c r="M26" s="587"/>
      <c r="N26" s="587">
        <v>10263.95</v>
      </c>
      <c r="O26" s="587"/>
      <c r="P26" s="256">
        <v>11435.01</v>
      </c>
      <c r="Q26" s="256"/>
      <c r="R26" s="256"/>
      <c r="S26" s="587">
        <v>9963.95</v>
      </c>
      <c r="T26" s="587"/>
      <c r="U26" s="588">
        <v>300</v>
      </c>
      <c r="V26" s="588"/>
      <c r="W26" s="244">
        <v>45.92</v>
      </c>
      <c r="X26" s="240"/>
    </row>
    <row r="27" spans="1:24" ht="12">
      <c r="A27" s="589" t="s">
        <v>27</v>
      </c>
      <c r="B27" s="589"/>
      <c r="C27" s="589"/>
      <c r="D27" s="589" t="s">
        <v>248</v>
      </c>
      <c r="E27" s="589"/>
      <c r="F27" s="589"/>
      <c r="G27" s="243" t="s">
        <v>226</v>
      </c>
      <c r="H27" s="589" t="s">
        <v>249</v>
      </c>
      <c r="I27" s="589"/>
      <c r="J27" s="587">
        <v>68122</v>
      </c>
      <c r="K27" s="587"/>
      <c r="L27" s="587"/>
      <c r="M27" s="587"/>
      <c r="N27" s="587">
        <v>48058</v>
      </c>
      <c r="O27" s="587"/>
      <c r="P27" s="256">
        <v>20064</v>
      </c>
      <c r="Q27" s="256"/>
      <c r="R27" s="256"/>
      <c r="S27" s="587">
        <v>48058</v>
      </c>
      <c r="T27" s="587"/>
      <c r="U27" s="588">
        <v>0</v>
      </c>
      <c r="V27" s="588"/>
      <c r="W27" s="244">
        <v>70.55</v>
      </c>
      <c r="X27" s="240"/>
    </row>
    <row r="28" spans="1:24" ht="12">
      <c r="A28" s="589" t="s">
        <v>28</v>
      </c>
      <c r="B28" s="589"/>
      <c r="C28" s="589"/>
      <c r="D28" s="589" t="s">
        <v>248</v>
      </c>
      <c r="E28" s="589"/>
      <c r="F28" s="589"/>
      <c r="G28" s="243" t="s">
        <v>226</v>
      </c>
      <c r="H28" s="589" t="s">
        <v>249</v>
      </c>
      <c r="I28" s="589"/>
      <c r="J28" s="587">
        <v>53204</v>
      </c>
      <c r="K28" s="587"/>
      <c r="L28" s="587"/>
      <c r="M28" s="587"/>
      <c r="N28" s="587">
        <v>39776</v>
      </c>
      <c r="O28" s="587"/>
      <c r="P28" s="256">
        <v>13428</v>
      </c>
      <c r="Q28" s="256"/>
      <c r="R28" s="256"/>
      <c r="S28" s="587">
        <v>39776</v>
      </c>
      <c r="T28" s="587"/>
      <c r="U28" s="588">
        <v>0</v>
      </c>
      <c r="V28" s="588"/>
      <c r="W28" s="244">
        <v>74.76</v>
      </c>
      <c r="X28" s="240"/>
    </row>
    <row r="29" spans="1:24" ht="12">
      <c r="A29" s="589" t="s">
        <v>29</v>
      </c>
      <c r="B29" s="589"/>
      <c r="C29" s="589"/>
      <c r="D29" s="589" t="s">
        <v>248</v>
      </c>
      <c r="E29" s="589"/>
      <c r="F29" s="589"/>
      <c r="G29" s="243" t="s">
        <v>226</v>
      </c>
      <c r="H29" s="589" t="s">
        <v>249</v>
      </c>
      <c r="I29" s="589"/>
      <c r="J29" s="587">
        <v>99360</v>
      </c>
      <c r="K29" s="587"/>
      <c r="L29" s="587"/>
      <c r="M29" s="587"/>
      <c r="N29" s="587">
        <v>99360</v>
      </c>
      <c r="O29" s="587"/>
      <c r="P29" s="256">
        <v>0</v>
      </c>
      <c r="Q29" s="256"/>
      <c r="R29" s="256"/>
      <c r="S29" s="587">
        <v>99360</v>
      </c>
      <c r="T29" s="587"/>
      <c r="U29" s="588">
        <v>0</v>
      </c>
      <c r="V29" s="588"/>
      <c r="W29" s="244">
        <v>100</v>
      </c>
      <c r="X29" s="240"/>
    </row>
    <row r="30" spans="1:24" s="94" customFormat="1" ht="12">
      <c r="A30" s="589" t="s">
        <v>30</v>
      </c>
      <c r="B30" s="589"/>
      <c r="C30" s="589"/>
      <c r="D30" s="589" t="s">
        <v>248</v>
      </c>
      <c r="E30" s="589"/>
      <c r="F30" s="589"/>
      <c r="G30" s="243" t="s">
        <v>226</v>
      </c>
      <c r="H30" s="589" t="s">
        <v>249</v>
      </c>
      <c r="I30" s="589"/>
      <c r="J30" s="587">
        <v>505.04</v>
      </c>
      <c r="K30" s="587"/>
      <c r="L30" s="587"/>
      <c r="M30" s="587"/>
      <c r="N30" s="587">
        <v>505.04</v>
      </c>
      <c r="O30" s="587"/>
      <c r="P30" s="256">
        <v>0</v>
      </c>
      <c r="Q30" s="256"/>
      <c r="R30" s="256"/>
      <c r="S30" s="587">
        <v>505.04</v>
      </c>
      <c r="T30" s="587"/>
      <c r="U30" s="588">
        <v>0</v>
      </c>
      <c r="V30" s="588"/>
      <c r="W30" s="244">
        <v>100</v>
      </c>
      <c r="X30" s="240"/>
    </row>
    <row r="31" spans="1:24" ht="10.5" customHeight="1">
      <c r="A31" s="589" t="s">
        <v>31</v>
      </c>
      <c r="B31" s="589"/>
      <c r="C31" s="589"/>
      <c r="D31" s="589" t="s">
        <v>248</v>
      </c>
      <c r="E31" s="589"/>
      <c r="F31" s="589"/>
      <c r="G31" s="243" t="s">
        <v>226</v>
      </c>
      <c r="H31" s="589" t="s">
        <v>249</v>
      </c>
      <c r="I31" s="589"/>
      <c r="J31" s="587">
        <v>51600</v>
      </c>
      <c r="K31" s="587"/>
      <c r="L31" s="587"/>
      <c r="M31" s="587"/>
      <c r="N31" s="587">
        <v>554.09</v>
      </c>
      <c r="O31" s="587"/>
      <c r="P31" s="256">
        <v>51045.91</v>
      </c>
      <c r="Q31" s="256"/>
      <c r="R31" s="256"/>
      <c r="S31" s="587">
        <v>554.09</v>
      </c>
      <c r="T31" s="587"/>
      <c r="U31" s="588">
        <v>0</v>
      </c>
      <c r="V31" s="588"/>
      <c r="W31" s="244">
        <v>1.07</v>
      </c>
      <c r="X31" s="240"/>
    </row>
    <row r="32" spans="1:24" s="88" customFormat="1" ht="12">
      <c r="A32" s="589" t="s">
        <v>32</v>
      </c>
      <c r="B32" s="589"/>
      <c r="C32" s="589"/>
      <c r="D32" s="589" t="s">
        <v>248</v>
      </c>
      <c r="E32" s="589"/>
      <c r="F32" s="589"/>
      <c r="G32" s="243" t="s">
        <v>226</v>
      </c>
      <c r="H32" s="589" t="s">
        <v>249</v>
      </c>
      <c r="I32" s="589"/>
      <c r="J32" s="587">
        <v>59941</v>
      </c>
      <c r="K32" s="587"/>
      <c r="L32" s="587"/>
      <c r="M32" s="587"/>
      <c r="N32" s="587">
        <v>9075</v>
      </c>
      <c r="O32" s="587"/>
      <c r="P32" s="256">
        <v>50866</v>
      </c>
      <c r="Q32" s="256"/>
      <c r="R32" s="256"/>
      <c r="S32" s="587">
        <v>8707</v>
      </c>
      <c r="T32" s="587"/>
      <c r="U32" s="588">
        <v>368</v>
      </c>
      <c r="V32" s="588"/>
      <c r="W32" s="244">
        <v>14.53</v>
      </c>
      <c r="X32" s="240"/>
    </row>
    <row r="33" spans="1:24" ht="12">
      <c r="A33" s="589" t="s">
        <v>33</v>
      </c>
      <c r="B33" s="589"/>
      <c r="C33" s="589"/>
      <c r="D33" s="589" t="s">
        <v>248</v>
      </c>
      <c r="E33" s="589"/>
      <c r="F33" s="589"/>
      <c r="G33" s="243" t="s">
        <v>226</v>
      </c>
      <c r="H33" s="589" t="s">
        <v>249</v>
      </c>
      <c r="I33" s="589"/>
      <c r="J33" s="587">
        <v>49154</v>
      </c>
      <c r="K33" s="587"/>
      <c r="L33" s="587"/>
      <c r="M33" s="587"/>
      <c r="N33" s="587">
        <v>33769</v>
      </c>
      <c r="O33" s="587"/>
      <c r="P33" s="256">
        <v>15385</v>
      </c>
      <c r="Q33" s="256"/>
      <c r="R33" s="256"/>
      <c r="S33" s="587">
        <v>40439</v>
      </c>
      <c r="T33" s="587"/>
      <c r="U33" s="588">
        <v>-6670</v>
      </c>
      <c r="V33" s="588"/>
      <c r="W33" s="244">
        <v>82.27</v>
      </c>
      <c r="X33" s="240"/>
    </row>
    <row r="34" spans="1:24" ht="12">
      <c r="A34" s="589" t="s">
        <v>34</v>
      </c>
      <c r="B34" s="589"/>
      <c r="C34" s="589"/>
      <c r="D34" s="589" t="s">
        <v>248</v>
      </c>
      <c r="E34" s="589"/>
      <c r="F34" s="589"/>
      <c r="G34" s="243" t="s">
        <v>226</v>
      </c>
      <c r="H34" s="589" t="s">
        <v>249</v>
      </c>
      <c r="I34" s="589"/>
      <c r="J34" s="587">
        <v>61470</v>
      </c>
      <c r="K34" s="587"/>
      <c r="L34" s="587"/>
      <c r="M34" s="587"/>
      <c r="N34" s="587">
        <v>53764</v>
      </c>
      <c r="O34" s="587"/>
      <c r="P34" s="256">
        <v>7706</v>
      </c>
      <c r="Q34" s="256"/>
      <c r="R34" s="256"/>
      <c r="S34" s="587">
        <v>53764</v>
      </c>
      <c r="T34" s="587"/>
      <c r="U34" s="588">
        <v>0</v>
      </c>
      <c r="V34" s="588"/>
      <c r="W34" s="244">
        <v>87.46</v>
      </c>
      <c r="X34" s="240"/>
    </row>
    <row r="35" spans="1:24" ht="12">
      <c r="A35" s="589" t="s">
        <v>35</v>
      </c>
      <c r="B35" s="589"/>
      <c r="C35" s="589"/>
      <c r="D35" s="589" t="s">
        <v>248</v>
      </c>
      <c r="E35" s="589"/>
      <c r="F35" s="589"/>
      <c r="G35" s="243" t="s">
        <v>226</v>
      </c>
      <c r="H35" s="589" t="s">
        <v>249</v>
      </c>
      <c r="I35" s="589"/>
      <c r="J35" s="587">
        <v>2344</v>
      </c>
      <c r="K35" s="587"/>
      <c r="L35" s="587"/>
      <c r="M35" s="587"/>
      <c r="N35" s="587">
        <v>2344</v>
      </c>
      <c r="O35" s="587"/>
      <c r="P35" s="257">
        <v>0</v>
      </c>
      <c r="Q35" s="257"/>
      <c r="R35" s="257"/>
      <c r="S35" s="587">
        <v>2344</v>
      </c>
      <c r="T35" s="587"/>
      <c r="U35" s="588">
        <v>0</v>
      </c>
      <c r="V35" s="588"/>
      <c r="W35" s="244">
        <v>100</v>
      </c>
      <c r="X35" s="240"/>
    </row>
    <row r="36" spans="1:24" ht="10.5">
      <c r="A36" s="245"/>
      <c r="B36" s="245"/>
      <c r="C36" s="245"/>
      <c r="D36" s="245"/>
      <c r="E36" s="245"/>
      <c r="F36" s="245"/>
      <c r="G36" s="245"/>
      <c r="H36" s="245"/>
      <c r="I36" s="245"/>
      <c r="J36" s="245"/>
      <c r="K36" s="245"/>
      <c r="L36" s="245"/>
      <c r="M36" s="245"/>
      <c r="N36" s="245"/>
      <c r="O36" s="245"/>
      <c r="P36" s="245"/>
      <c r="Q36" s="245"/>
      <c r="R36" s="245"/>
      <c r="S36" s="245"/>
      <c r="T36" s="245"/>
      <c r="U36" s="245"/>
      <c r="V36" s="245"/>
      <c r="W36" s="245"/>
      <c r="X36" s="240"/>
    </row>
    <row r="37" spans="1:24" ht="12" thickBot="1">
      <c r="A37" s="240"/>
      <c r="B37" s="240"/>
      <c r="C37" s="240"/>
      <c r="D37" s="240"/>
      <c r="E37" s="240"/>
      <c r="F37" s="240"/>
      <c r="G37" s="240"/>
      <c r="H37" s="240"/>
      <c r="I37" s="240"/>
      <c r="J37" s="585">
        <v>644150</v>
      </c>
      <c r="K37" s="585"/>
      <c r="L37" s="585"/>
      <c r="M37" s="585"/>
      <c r="N37" s="585">
        <v>467441.21</v>
      </c>
      <c r="O37" s="585"/>
      <c r="P37" s="259">
        <v>176708.79</v>
      </c>
      <c r="Q37" s="259"/>
      <c r="R37" s="259"/>
      <c r="S37" s="585">
        <v>473443.21</v>
      </c>
      <c r="T37" s="585"/>
      <c r="U37" s="585">
        <v>-6002</v>
      </c>
      <c r="V37" s="585"/>
      <c r="W37" s="240"/>
      <c r="X37" s="240"/>
    </row>
    <row r="38" spans="1:24" ht="11.25" thickTop="1">
      <c r="A38" s="246"/>
      <c r="B38" s="246"/>
      <c r="C38" s="246"/>
      <c r="D38" s="246"/>
      <c r="E38" s="246"/>
      <c r="F38" s="246"/>
      <c r="G38" s="246"/>
      <c r="H38" s="246"/>
      <c r="I38" s="246"/>
      <c r="J38" s="246"/>
      <c r="K38" s="246"/>
      <c r="L38" s="246"/>
      <c r="M38" s="246"/>
      <c r="N38" s="246"/>
      <c r="O38" s="246"/>
      <c r="P38" s="246"/>
      <c r="Q38" s="246"/>
      <c r="R38" s="246"/>
      <c r="S38" s="246"/>
      <c r="T38" s="246"/>
      <c r="U38" s="246"/>
      <c r="V38" s="246"/>
      <c r="W38" s="246"/>
      <c r="X38" s="240"/>
    </row>
    <row r="39" spans="1:24" ht="12">
      <c r="A39" s="586" t="s">
        <v>250</v>
      </c>
      <c r="B39" s="586"/>
      <c r="C39" s="586"/>
      <c r="D39" s="586"/>
      <c r="E39" s="586"/>
      <c r="F39" s="586"/>
      <c r="G39" s="586"/>
      <c r="H39" s="586"/>
      <c r="I39" s="240"/>
      <c r="J39" s="584">
        <v>704787.9</v>
      </c>
      <c r="K39" s="584"/>
      <c r="L39" s="584"/>
      <c r="M39" s="584"/>
      <c r="N39" s="584">
        <v>511586.92</v>
      </c>
      <c r="O39" s="584"/>
      <c r="P39" s="258">
        <v>193200.98</v>
      </c>
      <c r="Q39" s="258"/>
      <c r="R39" s="258"/>
      <c r="S39" s="584">
        <v>518243.92</v>
      </c>
      <c r="T39" s="584"/>
      <c r="U39" s="584">
        <v>-6657</v>
      </c>
      <c r="V39" s="584"/>
      <c r="W39" s="240"/>
      <c r="X39" s="240"/>
    </row>
    <row r="40" spans="1:24" ht="12">
      <c r="A40" s="558" t="s">
        <v>211</v>
      </c>
      <c r="B40" s="558"/>
      <c r="C40" s="590" t="s">
        <v>251</v>
      </c>
      <c r="D40" s="590"/>
      <c r="E40" s="590"/>
      <c r="F40" s="590"/>
      <c r="G40" s="590"/>
      <c r="H40" s="590"/>
      <c r="I40" s="590"/>
      <c r="J40" s="590"/>
      <c r="K40" s="590"/>
      <c r="L40" s="240"/>
      <c r="M40" s="240"/>
      <c r="N40" s="240"/>
      <c r="O40" s="240"/>
      <c r="P40" s="240"/>
      <c r="Q40" s="240"/>
      <c r="R40" s="240"/>
      <c r="S40" s="240"/>
      <c r="T40" s="240"/>
      <c r="U40" s="240"/>
      <c r="V40" s="240"/>
      <c r="W40" s="240"/>
      <c r="X40" s="240"/>
    </row>
    <row r="41" spans="1:24" ht="10.5" customHeight="1">
      <c r="A41" s="558"/>
      <c r="B41" s="558"/>
      <c r="C41" s="240"/>
      <c r="D41" s="240"/>
      <c r="E41" s="240"/>
      <c r="F41" s="240"/>
      <c r="G41" s="240"/>
      <c r="H41" s="240"/>
      <c r="I41" s="240"/>
      <c r="J41" s="240"/>
      <c r="K41" s="240"/>
      <c r="L41" s="240"/>
      <c r="M41" s="240"/>
      <c r="N41" s="240"/>
      <c r="O41" s="240"/>
      <c r="P41" s="240"/>
      <c r="Q41" s="240"/>
      <c r="R41" s="240"/>
      <c r="S41" s="240"/>
      <c r="T41" s="240"/>
      <c r="U41" s="240"/>
      <c r="V41" s="240"/>
      <c r="W41" s="240"/>
      <c r="X41" s="240"/>
    </row>
    <row r="42" spans="1:24" ht="12">
      <c r="A42" s="240"/>
      <c r="B42" s="558" t="s">
        <v>213</v>
      </c>
      <c r="C42" s="558"/>
      <c r="D42" s="590" t="s">
        <v>214</v>
      </c>
      <c r="E42" s="590"/>
      <c r="F42" s="590"/>
      <c r="G42" s="590"/>
      <c r="H42" s="590"/>
      <c r="I42" s="590"/>
      <c r="J42" s="590"/>
      <c r="K42" s="590"/>
      <c r="L42" s="590"/>
      <c r="M42" s="590"/>
      <c r="N42" s="240"/>
      <c r="O42" s="240"/>
      <c r="P42" s="240"/>
      <c r="Q42" s="240"/>
      <c r="R42" s="240"/>
      <c r="S42" s="240"/>
      <c r="T42" s="240"/>
      <c r="U42" s="240"/>
      <c r="V42" s="240"/>
      <c r="W42" s="240"/>
      <c r="X42" s="240"/>
    </row>
    <row r="43" spans="1:24" ht="12">
      <c r="A43" s="558" t="s">
        <v>215</v>
      </c>
      <c r="B43" s="558"/>
      <c r="C43" s="240"/>
      <c r="D43" s="240"/>
      <c r="E43" s="591" t="s">
        <v>216</v>
      </c>
      <c r="F43" s="591"/>
      <c r="G43" s="591"/>
      <c r="H43" s="591"/>
      <c r="I43" s="591"/>
      <c r="J43" s="586" t="s">
        <v>5</v>
      </c>
      <c r="K43" s="586"/>
      <c r="L43" s="586"/>
      <c r="M43" s="586"/>
      <c r="N43" s="586" t="s">
        <v>217</v>
      </c>
      <c r="O43" s="586"/>
      <c r="P43" s="561" t="s">
        <v>218</v>
      </c>
      <c r="Q43" s="561"/>
      <c r="R43" s="240"/>
      <c r="S43" s="586" t="s">
        <v>219</v>
      </c>
      <c r="T43" s="586"/>
      <c r="U43" s="240"/>
      <c r="V43" s="241" t="s">
        <v>220</v>
      </c>
      <c r="W43" s="241" t="s">
        <v>221</v>
      </c>
      <c r="X43" s="240"/>
    </row>
    <row r="44" spans="1:24" ht="12">
      <c r="A44" s="558"/>
      <c r="B44" s="558"/>
      <c r="C44" s="240"/>
      <c r="D44" s="240"/>
      <c r="E44" s="558" t="s">
        <v>222</v>
      </c>
      <c r="F44" s="558"/>
      <c r="G44" s="558"/>
      <c r="H44" s="558"/>
      <c r="I44" s="558"/>
      <c r="J44" s="561" t="s">
        <v>223</v>
      </c>
      <c r="K44" s="561"/>
      <c r="L44" s="561"/>
      <c r="M44" s="561"/>
      <c r="N44" s="561" t="s">
        <v>224</v>
      </c>
      <c r="O44" s="561"/>
      <c r="P44" s="561"/>
      <c r="Q44" s="561"/>
      <c r="R44" s="240"/>
      <c r="S44" s="561" t="s">
        <v>224</v>
      </c>
      <c r="T44" s="561"/>
      <c r="U44" s="240"/>
      <c r="V44" s="242" t="s">
        <v>115</v>
      </c>
      <c r="W44" s="242" t="s">
        <v>219</v>
      </c>
      <c r="X44" s="240"/>
    </row>
    <row r="45" spans="1:24" ht="12">
      <c r="A45" s="589" t="s">
        <v>36</v>
      </c>
      <c r="B45" s="589"/>
      <c r="C45" s="589"/>
      <c r="D45" s="589" t="s">
        <v>248</v>
      </c>
      <c r="E45" s="589"/>
      <c r="F45" s="589"/>
      <c r="G45" s="243" t="s">
        <v>226</v>
      </c>
      <c r="H45" s="589" t="s">
        <v>249</v>
      </c>
      <c r="I45" s="589"/>
      <c r="J45" s="587">
        <v>35350</v>
      </c>
      <c r="K45" s="587"/>
      <c r="L45" s="587"/>
      <c r="M45" s="587"/>
      <c r="N45" s="587">
        <v>32844</v>
      </c>
      <c r="O45" s="587"/>
      <c r="P45" s="256">
        <v>2506</v>
      </c>
      <c r="Q45" s="256"/>
      <c r="R45" s="256"/>
      <c r="S45" s="587">
        <v>32844</v>
      </c>
      <c r="T45" s="587"/>
      <c r="U45" s="588">
        <v>0</v>
      </c>
      <c r="V45" s="588"/>
      <c r="W45" s="244">
        <v>92.91</v>
      </c>
      <c r="X45" s="240"/>
    </row>
    <row r="46" spans="1:24" ht="12">
      <c r="A46" s="589" t="s">
        <v>37</v>
      </c>
      <c r="B46" s="589"/>
      <c r="C46" s="589"/>
      <c r="D46" s="589" t="s">
        <v>248</v>
      </c>
      <c r="E46" s="589"/>
      <c r="F46" s="589"/>
      <c r="G46" s="243" t="s">
        <v>226</v>
      </c>
      <c r="H46" s="589" t="s">
        <v>249</v>
      </c>
      <c r="I46" s="589"/>
      <c r="J46" s="587">
        <v>14517.79</v>
      </c>
      <c r="K46" s="587"/>
      <c r="L46" s="587"/>
      <c r="M46" s="587"/>
      <c r="N46" s="587">
        <v>14517.79</v>
      </c>
      <c r="O46" s="587"/>
      <c r="P46" s="256">
        <v>0</v>
      </c>
      <c r="Q46" s="256"/>
      <c r="R46" s="256"/>
      <c r="S46" s="587">
        <v>14517.79</v>
      </c>
      <c r="T46" s="587"/>
      <c r="U46" s="588">
        <v>0</v>
      </c>
      <c r="V46" s="588"/>
      <c r="W46" s="244">
        <v>100</v>
      </c>
      <c r="X46" s="240"/>
    </row>
    <row r="47" spans="1:24" ht="12">
      <c r="A47" s="589" t="s">
        <v>31</v>
      </c>
      <c r="B47" s="589"/>
      <c r="C47" s="589"/>
      <c r="D47" s="589" t="s">
        <v>248</v>
      </c>
      <c r="E47" s="589"/>
      <c r="F47" s="589"/>
      <c r="G47" s="243" t="s">
        <v>226</v>
      </c>
      <c r="H47" s="589" t="s">
        <v>249</v>
      </c>
      <c r="I47" s="589"/>
      <c r="J47" s="587">
        <v>7738</v>
      </c>
      <c r="K47" s="587"/>
      <c r="L47" s="587"/>
      <c r="M47" s="587"/>
      <c r="N47" s="587">
        <v>52.51</v>
      </c>
      <c r="O47" s="587"/>
      <c r="P47" s="256">
        <v>7685.49</v>
      </c>
      <c r="Q47" s="256"/>
      <c r="R47" s="256"/>
      <c r="S47" s="587">
        <v>299.91</v>
      </c>
      <c r="T47" s="587"/>
      <c r="U47" s="588">
        <v>-247.4</v>
      </c>
      <c r="V47" s="588"/>
      <c r="W47" s="244">
        <v>3.88</v>
      </c>
      <c r="X47" s="240"/>
    </row>
    <row r="48" spans="1:24" ht="12">
      <c r="A48" s="589" t="s">
        <v>32</v>
      </c>
      <c r="B48" s="589"/>
      <c r="C48" s="589"/>
      <c r="D48" s="589" t="s">
        <v>248</v>
      </c>
      <c r="E48" s="589"/>
      <c r="F48" s="589"/>
      <c r="G48" s="243" t="s">
        <v>226</v>
      </c>
      <c r="H48" s="589" t="s">
        <v>249</v>
      </c>
      <c r="I48" s="589"/>
      <c r="J48" s="587">
        <v>9114</v>
      </c>
      <c r="K48" s="587"/>
      <c r="L48" s="587"/>
      <c r="M48" s="587"/>
      <c r="N48" s="587">
        <v>5611</v>
      </c>
      <c r="O48" s="587"/>
      <c r="P48" s="256">
        <v>3503</v>
      </c>
      <c r="Q48" s="256"/>
      <c r="R48" s="256"/>
      <c r="S48" s="587">
        <v>5495</v>
      </c>
      <c r="T48" s="587"/>
      <c r="U48" s="588">
        <v>116</v>
      </c>
      <c r="V48" s="588"/>
      <c r="W48" s="244">
        <v>60.29</v>
      </c>
      <c r="X48" s="240"/>
    </row>
    <row r="49" spans="1:24" s="94" customFormat="1" ht="12">
      <c r="A49" s="589" t="s">
        <v>38</v>
      </c>
      <c r="B49" s="589"/>
      <c r="C49" s="589"/>
      <c r="D49" s="589" t="s">
        <v>248</v>
      </c>
      <c r="E49" s="589"/>
      <c r="F49" s="589"/>
      <c r="G49" s="243" t="s">
        <v>226</v>
      </c>
      <c r="H49" s="589" t="s">
        <v>249</v>
      </c>
      <c r="I49" s="589"/>
      <c r="J49" s="587">
        <v>12356</v>
      </c>
      <c r="K49" s="587"/>
      <c r="L49" s="587"/>
      <c r="M49" s="587"/>
      <c r="N49" s="587">
        <v>3780</v>
      </c>
      <c r="O49" s="587"/>
      <c r="P49" s="257">
        <v>8576</v>
      </c>
      <c r="Q49" s="257"/>
      <c r="R49" s="257"/>
      <c r="S49" s="587">
        <v>4080</v>
      </c>
      <c r="T49" s="587"/>
      <c r="U49" s="588">
        <v>-300</v>
      </c>
      <c r="V49" s="588"/>
      <c r="W49" s="244">
        <v>33.02</v>
      </c>
      <c r="X49" s="240"/>
    </row>
    <row r="50" spans="1:24" ht="9.75" customHeight="1">
      <c r="A50" s="245"/>
      <c r="B50" s="245"/>
      <c r="C50" s="245"/>
      <c r="D50" s="245"/>
      <c r="E50" s="245"/>
      <c r="F50" s="245"/>
      <c r="G50" s="245"/>
      <c r="H50" s="245"/>
      <c r="I50" s="245"/>
      <c r="J50" s="245"/>
      <c r="K50" s="245"/>
      <c r="L50" s="245"/>
      <c r="M50" s="245"/>
      <c r="N50" s="245"/>
      <c r="O50" s="245"/>
      <c r="P50" s="245"/>
      <c r="Q50" s="245"/>
      <c r="R50" s="245"/>
      <c r="S50" s="245"/>
      <c r="T50" s="245"/>
      <c r="U50" s="245"/>
      <c r="V50" s="245"/>
      <c r="W50" s="245"/>
      <c r="X50" s="240"/>
    </row>
    <row r="51" spans="1:24" s="88" customFormat="1" ht="11.25">
      <c r="A51" s="240"/>
      <c r="B51" s="240"/>
      <c r="C51" s="240"/>
      <c r="D51" s="240"/>
      <c r="E51" s="240"/>
      <c r="F51" s="240"/>
      <c r="G51" s="240"/>
      <c r="H51" s="240"/>
      <c r="I51" s="240"/>
      <c r="J51" s="585">
        <v>79075.79</v>
      </c>
      <c r="K51" s="585"/>
      <c r="L51" s="585"/>
      <c r="M51" s="585"/>
      <c r="N51" s="585">
        <v>56805.3</v>
      </c>
      <c r="O51" s="585"/>
      <c r="P51" s="258">
        <v>22270.49</v>
      </c>
      <c r="Q51" s="258"/>
      <c r="R51" s="258"/>
      <c r="S51" s="585">
        <v>57236.7</v>
      </c>
      <c r="T51" s="585"/>
      <c r="U51" s="585">
        <v>-431.4</v>
      </c>
      <c r="V51" s="585"/>
      <c r="W51" s="240"/>
      <c r="X51" s="240"/>
    </row>
    <row r="52" spans="1:24" ht="12">
      <c r="A52" s="240"/>
      <c r="B52" s="558" t="s">
        <v>213</v>
      </c>
      <c r="C52" s="558"/>
      <c r="D52" s="590" t="s">
        <v>228</v>
      </c>
      <c r="E52" s="590"/>
      <c r="F52" s="590"/>
      <c r="G52" s="590"/>
      <c r="H52" s="590"/>
      <c r="I52" s="590"/>
      <c r="J52" s="590"/>
      <c r="K52" s="590"/>
      <c r="L52" s="590"/>
      <c r="M52" s="590"/>
      <c r="N52" s="240"/>
      <c r="O52" s="240"/>
      <c r="P52" s="240"/>
      <c r="Q52" s="240"/>
      <c r="R52" s="240"/>
      <c r="S52" s="240"/>
      <c r="T52" s="240"/>
      <c r="U52" s="240"/>
      <c r="V52" s="240"/>
      <c r="W52" s="240"/>
      <c r="X52" s="240"/>
    </row>
    <row r="53" spans="1:24" ht="12">
      <c r="A53" s="558" t="s">
        <v>215</v>
      </c>
      <c r="B53" s="558"/>
      <c r="C53" s="240"/>
      <c r="D53" s="240"/>
      <c r="E53" s="591" t="s">
        <v>216</v>
      </c>
      <c r="F53" s="591"/>
      <c r="G53" s="591"/>
      <c r="H53" s="591"/>
      <c r="I53" s="591"/>
      <c r="J53" s="586" t="s">
        <v>5</v>
      </c>
      <c r="K53" s="586"/>
      <c r="L53" s="586"/>
      <c r="M53" s="586"/>
      <c r="N53" s="586" t="s">
        <v>217</v>
      </c>
      <c r="O53" s="586"/>
      <c r="P53" s="561" t="s">
        <v>218</v>
      </c>
      <c r="Q53" s="561"/>
      <c r="R53" s="240"/>
      <c r="S53" s="586" t="s">
        <v>219</v>
      </c>
      <c r="T53" s="586"/>
      <c r="U53" s="240"/>
      <c r="V53" s="241" t="s">
        <v>220</v>
      </c>
      <c r="W53" s="241" t="s">
        <v>221</v>
      </c>
      <c r="X53" s="240"/>
    </row>
    <row r="54" spans="1:24" ht="12">
      <c r="A54" s="558"/>
      <c r="B54" s="558"/>
      <c r="C54" s="240"/>
      <c r="D54" s="240"/>
      <c r="E54" s="558" t="s">
        <v>222</v>
      </c>
      <c r="F54" s="558"/>
      <c r="G54" s="558"/>
      <c r="H54" s="558"/>
      <c r="I54" s="558"/>
      <c r="J54" s="561" t="s">
        <v>223</v>
      </c>
      <c r="K54" s="561"/>
      <c r="L54" s="561"/>
      <c r="M54" s="561"/>
      <c r="N54" s="561" t="s">
        <v>224</v>
      </c>
      <c r="O54" s="561"/>
      <c r="P54" s="561"/>
      <c r="Q54" s="561"/>
      <c r="R54" s="240"/>
      <c r="S54" s="561" t="s">
        <v>224</v>
      </c>
      <c r="T54" s="561"/>
      <c r="U54" s="240"/>
      <c r="V54" s="242" t="s">
        <v>115</v>
      </c>
      <c r="W54" s="242" t="s">
        <v>219</v>
      </c>
      <c r="X54" s="240"/>
    </row>
    <row r="55" spans="1:24" ht="12">
      <c r="A55" s="589" t="s">
        <v>36</v>
      </c>
      <c r="B55" s="589"/>
      <c r="C55" s="589"/>
      <c r="D55" s="589" t="s">
        <v>248</v>
      </c>
      <c r="E55" s="589"/>
      <c r="F55" s="589"/>
      <c r="G55" s="243" t="s">
        <v>226</v>
      </c>
      <c r="H55" s="589" t="s">
        <v>249</v>
      </c>
      <c r="I55" s="589"/>
      <c r="J55" s="587">
        <v>368545</v>
      </c>
      <c r="K55" s="587"/>
      <c r="L55" s="587"/>
      <c r="M55" s="587"/>
      <c r="N55" s="587">
        <v>321038</v>
      </c>
      <c r="O55" s="587"/>
      <c r="P55" s="256">
        <v>47507</v>
      </c>
      <c r="Q55" s="256"/>
      <c r="R55" s="256"/>
      <c r="S55" s="587">
        <v>321038</v>
      </c>
      <c r="T55" s="587"/>
      <c r="U55" s="588">
        <v>0</v>
      </c>
      <c r="V55" s="588"/>
      <c r="W55" s="244">
        <v>87.11</v>
      </c>
      <c r="X55" s="240"/>
    </row>
    <row r="56" spans="1:24" ht="12">
      <c r="A56" s="589" t="s">
        <v>37</v>
      </c>
      <c r="B56" s="589"/>
      <c r="C56" s="589"/>
      <c r="D56" s="589" t="s">
        <v>248</v>
      </c>
      <c r="E56" s="589"/>
      <c r="F56" s="589"/>
      <c r="G56" s="243" t="s">
        <v>226</v>
      </c>
      <c r="H56" s="589" t="s">
        <v>249</v>
      </c>
      <c r="I56" s="589"/>
      <c r="J56" s="587">
        <v>139388.06</v>
      </c>
      <c r="K56" s="587"/>
      <c r="L56" s="587"/>
      <c r="M56" s="587"/>
      <c r="N56" s="587">
        <v>139388.06</v>
      </c>
      <c r="O56" s="587"/>
      <c r="P56" s="256">
        <v>0</v>
      </c>
      <c r="Q56" s="256"/>
      <c r="R56" s="256"/>
      <c r="S56" s="587">
        <v>139388.06</v>
      </c>
      <c r="T56" s="587"/>
      <c r="U56" s="588">
        <v>0</v>
      </c>
      <c r="V56" s="588"/>
      <c r="W56" s="244">
        <v>100</v>
      </c>
      <c r="X56" s="240"/>
    </row>
    <row r="57" spans="1:24" ht="12">
      <c r="A57" s="589" t="s">
        <v>31</v>
      </c>
      <c r="B57" s="589"/>
      <c r="C57" s="589"/>
      <c r="D57" s="589" t="s">
        <v>248</v>
      </c>
      <c r="E57" s="589"/>
      <c r="F57" s="589"/>
      <c r="G57" s="243" t="s">
        <v>226</v>
      </c>
      <c r="H57" s="589" t="s">
        <v>249</v>
      </c>
      <c r="I57" s="589"/>
      <c r="J57" s="587">
        <v>88980</v>
      </c>
      <c r="K57" s="587"/>
      <c r="L57" s="587"/>
      <c r="M57" s="587"/>
      <c r="N57" s="587">
        <v>955.49</v>
      </c>
      <c r="O57" s="587"/>
      <c r="P57" s="256">
        <v>88024.51</v>
      </c>
      <c r="Q57" s="256"/>
      <c r="R57" s="256"/>
      <c r="S57" s="587">
        <v>5483.09</v>
      </c>
      <c r="T57" s="587"/>
      <c r="U57" s="588">
        <v>-4527.6</v>
      </c>
      <c r="V57" s="588"/>
      <c r="W57" s="244">
        <v>6.16</v>
      </c>
      <c r="X57" s="240"/>
    </row>
    <row r="58" spans="1:24" ht="12">
      <c r="A58" s="589" t="s">
        <v>32</v>
      </c>
      <c r="B58" s="589"/>
      <c r="C58" s="589"/>
      <c r="D58" s="589" t="s">
        <v>248</v>
      </c>
      <c r="E58" s="589"/>
      <c r="F58" s="589"/>
      <c r="G58" s="243" t="s">
        <v>226</v>
      </c>
      <c r="H58" s="589" t="s">
        <v>249</v>
      </c>
      <c r="I58" s="589"/>
      <c r="J58" s="587">
        <v>115613</v>
      </c>
      <c r="K58" s="587"/>
      <c r="L58" s="587"/>
      <c r="M58" s="587"/>
      <c r="N58" s="587">
        <v>19014</v>
      </c>
      <c r="O58" s="587"/>
      <c r="P58" s="256">
        <v>96599</v>
      </c>
      <c r="Q58" s="256"/>
      <c r="R58" s="256"/>
      <c r="S58" s="587">
        <v>17361</v>
      </c>
      <c r="T58" s="587"/>
      <c r="U58" s="588">
        <v>1653</v>
      </c>
      <c r="V58" s="588"/>
      <c r="W58" s="244">
        <v>15.02</v>
      </c>
      <c r="X58" s="240"/>
    </row>
    <row r="59" spans="1:24" ht="12">
      <c r="A59" s="589" t="s">
        <v>38</v>
      </c>
      <c r="B59" s="589"/>
      <c r="C59" s="589"/>
      <c r="D59" s="589" t="s">
        <v>248</v>
      </c>
      <c r="E59" s="589"/>
      <c r="F59" s="589"/>
      <c r="G59" s="243" t="s">
        <v>226</v>
      </c>
      <c r="H59" s="589" t="s">
        <v>249</v>
      </c>
      <c r="I59" s="589"/>
      <c r="J59" s="587">
        <v>92634</v>
      </c>
      <c r="K59" s="587"/>
      <c r="L59" s="587"/>
      <c r="M59" s="587"/>
      <c r="N59" s="587">
        <v>53335</v>
      </c>
      <c r="O59" s="587"/>
      <c r="P59" s="257">
        <v>39299</v>
      </c>
      <c r="Q59" s="257"/>
      <c r="R59" s="257"/>
      <c r="S59" s="587">
        <v>56185</v>
      </c>
      <c r="T59" s="587"/>
      <c r="U59" s="588">
        <v>-2850</v>
      </c>
      <c r="V59" s="588"/>
      <c r="W59" s="244">
        <v>60.65</v>
      </c>
      <c r="X59" s="240"/>
    </row>
    <row r="60" spans="1:24" ht="10.5">
      <c r="A60" s="245"/>
      <c r="B60" s="245"/>
      <c r="C60" s="245"/>
      <c r="D60" s="245"/>
      <c r="E60" s="245"/>
      <c r="F60" s="245"/>
      <c r="G60" s="245"/>
      <c r="H60" s="245"/>
      <c r="I60" s="245"/>
      <c r="J60" s="245"/>
      <c r="K60" s="245"/>
      <c r="L60" s="245"/>
      <c r="M60" s="245"/>
      <c r="N60" s="245"/>
      <c r="O60" s="245"/>
      <c r="P60" s="245"/>
      <c r="Q60" s="245"/>
      <c r="R60" s="245"/>
      <c r="S60" s="245"/>
      <c r="T60" s="245"/>
      <c r="U60" s="245"/>
      <c r="V60" s="245"/>
      <c r="W60" s="245"/>
      <c r="X60" s="240"/>
    </row>
    <row r="61" spans="1:24" ht="12" thickBot="1">
      <c r="A61" s="240"/>
      <c r="B61" s="240"/>
      <c r="C61" s="240"/>
      <c r="D61" s="240"/>
      <c r="E61" s="240"/>
      <c r="F61" s="240"/>
      <c r="G61" s="240"/>
      <c r="H61" s="240"/>
      <c r="I61" s="240"/>
      <c r="J61" s="585">
        <v>805160.06</v>
      </c>
      <c r="K61" s="585"/>
      <c r="L61" s="585"/>
      <c r="M61" s="585"/>
      <c r="N61" s="585">
        <v>533730.55</v>
      </c>
      <c r="O61" s="585"/>
      <c r="P61" s="259">
        <v>271429.51</v>
      </c>
      <c r="Q61" s="259"/>
      <c r="R61" s="259"/>
      <c r="S61" s="585">
        <v>539455.15</v>
      </c>
      <c r="T61" s="585"/>
      <c r="U61" s="585">
        <v>-5724.6</v>
      </c>
      <c r="V61" s="585"/>
      <c r="W61" s="240"/>
      <c r="X61" s="240"/>
    </row>
    <row r="62" spans="1:24" ht="11.25" thickTop="1">
      <c r="A62" s="246"/>
      <c r="B62" s="246"/>
      <c r="C62" s="246"/>
      <c r="D62" s="246"/>
      <c r="E62" s="246"/>
      <c r="F62" s="246"/>
      <c r="G62" s="246"/>
      <c r="H62" s="246"/>
      <c r="I62" s="246"/>
      <c r="J62" s="246"/>
      <c r="K62" s="246"/>
      <c r="L62" s="246"/>
      <c r="M62" s="246"/>
      <c r="N62" s="246"/>
      <c r="O62" s="246"/>
      <c r="P62" s="246"/>
      <c r="Q62" s="246"/>
      <c r="R62" s="246"/>
      <c r="S62" s="246"/>
      <c r="T62" s="246"/>
      <c r="U62" s="246"/>
      <c r="V62" s="246"/>
      <c r="W62" s="246"/>
      <c r="X62" s="240"/>
    </row>
    <row r="63" spans="1:24" ht="12">
      <c r="A63" s="586" t="s">
        <v>252</v>
      </c>
      <c r="B63" s="586"/>
      <c r="C63" s="586"/>
      <c r="D63" s="586"/>
      <c r="E63" s="586"/>
      <c r="F63" s="586"/>
      <c r="G63" s="586"/>
      <c r="H63" s="586"/>
      <c r="I63" s="240"/>
      <c r="J63" s="584">
        <v>884235.85</v>
      </c>
      <c r="K63" s="584"/>
      <c r="L63" s="584"/>
      <c r="M63" s="584"/>
      <c r="N63" s="584">
        <v>590535.85</v>
      </c>
      <c r="O63" s="584"/>
      <c r="P63" s="258">
        <v>293700</v>
      </c>
      <c r="Q63" s="258"/>
      <c r="R63" s="258"/>
      <c r="S63" s="584">
        <v>596691.85</v>
      </c>
      <c r="T63" s="584"/>
      <c r="U63" s="584">
        <v>-6156</v>
      </c>
      <c r="V63" s="584"/>
      <c r="W63" s="240"/>
      <c r="X63" s="240"/>
    </row>
    <row r="64" spans="1:24" ht="12">
      <c r="A64" s="558" t="s">
        <v>211</v>
      </c>
      <c r="B64" s="558"/>
      <c r="C64" s="590" t="s">
        <v>253</v>
      </c>
      <c r="D64" s="590"/>
      <c r="E64" s="590"/>
      <c r="F64" s="590"/>
      <c r="G64" s="590"/>
      <c r="H64" s="590"/>
      <c r="I64" s="590"/>
      <c r="J64" s="590"/>
      <c r="K64" s="590"/>
      <c r="L64" s="240"/>
      <c r="M64" s="240"/>
      <c r="N64" s="240"/>
      <c r="O64" s="240"/>
      <c r="P64" s="240"/>
      <c r="Q64" s="240"/>
      <c r="R64" s="240"/>
      <c r="S64" s="240"/>
      <c r="T64" s="240"/>
      <c r="U64" s="240"/>
      <c r="V64" s="240"/>
      <c r="W64" s="240"/>
      <c r="X64" s="240"/>
    </row>
    <row r="65" spans="1:24" ht="10.5" customHeight="1">
      <c r="A65" s="558"/>
      <c r="B65" s="558"/>
      <c r="C65" s="240"/>
      <c r="D65" s="240"/>
      <c r="E65" s="240"/>
      <c r="F65" s="240"/>
      <c r="G65" s="240"/>
      <c r="H65" s="240"/>
      <c r="I65" s="240"/>
      <c r="J65" s="240"/>
      <c r="K65" s="240"/>
      <c r="L65" s="240"/>
      <c r="M65" s="240"/>
      <c r="N65" s="240"/>
      <c r="O65" s="240"/>
      <c r="P65" s="240"/>
      <c r="Q65" s="240"/>
      <c r="R65" s="240"/>
      <c r="S65" s="240"/>
      <c r="T65" s="240"/>
      <c r="U65" s="240"/>
      <c r="V65" s="240"/>
      <c r="W65" s="240"/>
      <c r="X65" s="240"/>
    </row>
    <row r="66" spans="1:24" ht="12">
      <c r="A66" s="240"/>
      <c r="B66" s="558" t="s">
        <v>213</v>
      </c>
      <c r="C66" s="558"/>
      <c r="D66" s="590" t="s">
        <v>75</v>
      </c>
      <c r="E66" s="590"/>
      <c r="F66" s="590"/>
      <c r="G66" s="590"/>
      <c r="H66" s="590"/>
      <c r="I66" s="590"/>
      <c r="J66" s="590"/>
      <c r="K66" s="590"/>
      <c r="L66" s="590"/>
      <c r="M66" s="590"/>
      <c r="N66" s="240"/>
      <c r="O66" s="240"/>
      <c r="P66" s="240"/>
      <c r="Q66" s="240"/>
      <c r="R66" s="240"/>
      <c r="S66" s="240"/>
      <c r="T66" s="240"/>
      <c r="U66" s="240"/>
      <c r="V66" s="240"/>
      <c r="W66" s="240"/>
      <c r="X66" s="240"/>
    </row>
    <row r="67" spans="1:24" ht="12">
      <c r="A67" s="558" t="s">
        <v>215</v>
      </c>
      <c r="B67" s="558"/>
      <c r="C67" s="240"/>
      <c r="D67" s="240"/>
      <c r="E67" s="591" t="s">
        <v>216</v>
      </c>
      <c r="F67" s="591"/>
      <c r="G67" s="591"/>
      <c r="H67" s="591"/>
      <c r="I67" s="591"/>
      <c r="J67" s="586" t="s">
        <v>5</v>
      </c>
      <c r="K67" s="586"/>
      <c r="L67" s="586"/>
      <c r="M67" s="586"/>
      <c r="N67" s="586" t="s">
        <v>217</v>
      </c>
      <c r="O67" s="586"/>
      <c r="P67" s="561" t="s">
        <v>218</v>
      </c>
      <c r="Q67" s="561"/>
      <c r="R67" s="240"/>
      <c r="S67" s="586" t="s">
        <v>219</v>
      </c>
      <c r="T67" s="586"/>
      <c r="U67" s="240"/>
      <c r="V67" s="241" t="s">
        <v>220</v>
      </c>
      <c r="W67" s="241" t="s">
        <v>221</v>
      </c>
      <c r="X67" s="240"/>
    </row>
    <row r="68" spans="1:24" s="94" customFormat="1" ht="12">
      <c r="A68" s="558"/>
      <c r="B68" s="558"/>
      <c r="C68" s="240"/>
      <c r="D68" s="240"/>
      <c r="E68" s="558" t="s">
        <v>222</v>
      </c>
      <c r="F68" s="558"/>
      <c r="G68" s="558"/>
      <c r="H68" s="558"/>
      <c r="I68" s="558"/>
      <c r="J68" s="561" t="s">
        <v>223</v>
      </c>
      <c r="K68" s="561"/>
      <c r="L68" s="561"/>
      <c r="M68" s="561"/>
      <c r="N68" s="561" t="s">
        <v>224</v>
      </c>
      <c r="O68" s="561"/>
      <c r="P68" s="561"/>
      <c r="Q68" s="561"/>
      <c r="R68" s="240"/>
      <c r="S68" s="561" t="s">
        <v>224</v>
      </c>
      <c r="T68" s="561"/>
      <c r="U68" s="240"/>
      <c r="V68" s="242" t="s">
        <v>115</v>
      </c>
      <c r="W68" s="242" t="s">
        <v>219</v>
      </c>
      <c r="X68" s="240"/>
    </row>
    <row r="69" spans="1:24" ht="9" customHeight="1">
      <c r="A69" s="589" t="s">
        <v>39</v>
      </c>
      <c r="B69" s="589"/>
      <c r="C69" s="589"/>
      <c r="D69" s="589" t="s">
        <v>248</v>
      </c>
      <c r="E69" s="589"/>
      <c r="F69" s="589"/>
      <c r="G69" s="243" t="s">
        <v>226</v>
      </c>
      <c r="H69" s="589" t="s">
        <v>249</v>
      </c>
      <c r="I69" s="589"/>
      <c r="J69" s="587">
        <v>45636.07</v>
      </c>
      <c r="K69" s="587"/>
      <c r="L69" s="587"/>
      <c r="M69" s="587"/>
      <c r="N69" s="587">
        <v>45636.07</v>
      </c>
      <c r="O69" s="587"/>
      <c r="P69" s="257">
        <v>0</v>
      </c>
      <c r="Q69" s="257"/>
      <c r="R69" s="257"/>
      <c r="S69" s="587">
        <v>45636.07</v>
      </c>
      <c r="T69" s="587"/>
      <c r="U69" s="588">
        <v>0</v>
      </c>
      <c r="V69" s="588"/>
      <c r="W69" s="244">
        <v>100</v>
      </c>
      <c r="X69" s="240"/>
    </row>
    <row r="70" spans="1:24" s="88" customFormat="1" ht="10.5">
      <c r="A70" s="245"/>
      <c r="B70" s="245"/>
      <c r="C70" s="245"/>
      <c r="D70" s="245"/>
      <c r="E70" s="245"/>
      <c r="F70" s="245"/>
      <c r="G70" s="245"/>
      <c r="H70" s="245"/>
      <c r="I70" s="245"/>
      <c r="J70" s="245"/>
      <c r="K70" s="245"/>
      <c r="L70" s="245"/>
      <c r="M70" s="245"/>
      <c r="N70" s="245"/>
      <c r="O70" s="245"/>
      <c r="P70" s="245"/>
      <c r="Q70" s="245"/>
      <c r="R70" s="245"/>
      <c r="S70" s="245"/>
      <c r="T70" s="245"/>
      <c r="U70" s="245"/>
      <c r="V70" s="245"/>
      <c r="W70" s="245"/>
      <c r="X70" s="240"/>
    </row>
    <row r="71" spans="1:24" ht="12" thickBot="1">
      <c r="A71" s="240"/>
      <c r="B71" s="240"/>
      <c r="C71" s="240"/>
      <c r="D71" s="240"/>
      <c r="E71" s="240"/>
      <c r="F71" s="240"/>
      <c r="G71" s="240"/>
      <c r="H71" s="240"/>
      <c r="I71" s="240"/>
      <c r="J71" s="585">
        <v>45636.07</v>
      </c>
      <c r="K71" s="585"/>
      <c r="L71" s="585"/>
      <c r="M71" s="585"/>
      <c r="N71" s="585">
        <v>45636.07</v>
      </c>
      <c r="O71" s="585"/>
      <c r="P71" s="259">
        <v>0</v>
      </c>
      <c r="Q71" s="259"/>
      <c r="R71" s="259"/>
      <c r="S71" s="585">
        <v>45636.07</v>
      </c>
      <c r="T71" s="585"/>
      <c r="U71" s="585">
        <v>0</v>
      </c>
      <c r="V71" s="585"/>
      <c r="W71" s="240"/>
      <c r="X71" s="240"/>
    </row>
    <row r="72" spans="1:24" ht="11.25" thickTop="1">
      <c r="A72" s="246"/>
      <c r="B72" s="246"/>
      <c r="C72" s="246"/>
      <c r="D72" s="246"/>
      <c r="E72" s="246"/>
      <c r="F72" s="246"/>
      <c r="G72" s="246"/>
      <c r="H72" s="246"/>
      <c r="I72" s="246"/>
      <c r="J72" s="246"/>
      <c r="K72" s="246"/>
      <c r="L72" s="246"/>
      <c r="M72" s="246"/>
      <c r="N72" s="246"/>
      <c r="O72" s="246"/>
      <c r="P72" s="246"/>
      <c r="Q72" s="246"/>
      <c r="R72" s="246"/>
      <c r="S72" s="246"/>
      <c r="T72" s="246"/>
      <c r="U72" s="246"/>
      <c r="V72" s="246"/>
      <c r="W72" s="246"/>
      <c r="X72" s="240"/>
    </row>
    <row r="73" spans="1:24" ht="12">
      <c r="A73" s="586" t="s">
        <v>254</v>
      </c>
      <c r="B73" s="586"/>
      <c r="C73" s="586"/>
      <c r="D73" s="586"/>
      <c r="E73" s="586"/>
      <c r="F73" s="586"/>
      <c r="G73" s="586"/>
      <c r="H73" s="586"/>
      <c r="I73" s="240"/>
      <c r="J73" s="584">
        <v>45636.07</v>
      </c>
      <c r="K73" s="584"/>
      <c r="L73" s="584"/>
      <c r="M73" s="584"/>
      <c r="N73" s="584">
        <v>45636.07</v>
      </c>
      <c r="O73" s="584"/>
      <c r="P73" s="258">
        <v>0</v>
      </c>
      <c r="Q73" s="258"/>
      <c r="R73" s="258"/>
      <c r="S73" s="584">
        <v>45636.07</v>
      </c>
      <c r="T73" s="584"/>
      <c r="U73" s="584">
        <v>0</v>
      </c>
      <c r="V73" s="584"/>
      <c r="W73" s="240"/>
      <c r="X73" s="240"/>
    </row>
    <row r="74" spans="1:24" ht="12">
      <c r="A74" s="558" t="s">
        <v>211</v>
      </c>
      <c r="B74" s="558"/>
      <c r="C74" s="590" t="s">
        <v>255</v>
      </c>
      <c r="D74" s="590"/>
      <c r="E74" s="590"/>
      <c r="F74" s="590"/>
      <c r="G74" s="590"/>
      <c r="H74" s="590"/>
      <c r="I74" s="590"/>
      <c r="J74" s="590"/>
      <c r="K74" s="590"/>
      <c r="L74" s="240"/>
      <c r="M74" s="240"/>
      <c r="N74" s="240"/>
      <c r="O74" s="240"/>
      <c r="P74" s="240"/>
      <c r="Q74" s="240"/>
      <c r="R74" s="240"/>
      <c r="S74" s="240"/>
      <c r="T74" s="240"/>
      <c r="U74" s="240"/>
      <c r="V74" s="240"/>
      <c r="W74" s="240"/>
      <c r="X74" s="240"/>
    </row>
    <row r="75" spans="1:24" ht="10.5" customHeight="1">
      <c r="A75" s="558"/>
      <c r="B75" s="558"/>
      <c r="C75" s="240"/>
      <c r="D75" s="240"/>
      <c r="E75" s="240"/>
      <c r="F75" s="240"/>
      <c r="G75" s="240"/>
      <c r="H75" s="240"/>
      <c r="I75" s="240"/>
      <c r="J75" s="240"/>
      <c r="K75" s="240"/>
      <c r="L75" s="240"/>
      <c r="M75" s="240"/>
      <c r="N75" s="240"/>
      <c r="O75" s="240"/>
      <c r="P75" s="240"/>
      <c r="Q75" s="240"/>
      <c r="R75" s="240"/>
      <c r="S75" s="240"/>
      <c r="T75" s="240"/>
      <c r="U75" s="240"/>
      <c r="V75" s="240"/>
      <c r="W75" s="240"/>
      <c r="X75" s="240"/>
    </row>
    <row r="76" spans="1:24" ht="12">
      <c r="A76" s="240"/>
      <c r="B76" s="558" t="s">
        <v>213</v>
      </c>
      <c r="C76" s="558"/>
      <c r="D76" s="590" t="s">
        <v>235</v>
      </c>
      <c r="E76" s="590"/>
      <c r="F76" s="590"/>
      <c r="G76" s="590"/>
      <c r="H76" s="590"/>
      <c r="I76" s="590"/>
      <c r="J76" s="590"/>
      <c r="K76" s="590"/>
      <c r="L76" s="590"/>
      <c r="M76" s="590"/>
      <c r="N76" s="240"/>
      <c r="O76" s="240"/>
      <c r="P76" s="240"/>
      <c r="Q76" s="240"/>
      <c r="R76" s="240"/>
      <c r="S76" s="240"/>
      <c r="T76" s="240"/>
      <c r="U76" s="240"/>
      <c r="V76" s="240"/>
      <c r="W76" s="240"/>
      <c r="X76" s="240"/>
    </row>
    <row r="77" spans="1:24" ht="12">
      <c r="A77" s="558" t="s">
        <v>215</v>
      </c>
      <c r="B77" s="558"/>
      <c r="C77" s="240"/>
      <c r="D77" s="240"/>
      <c r="E77" s="591" t="s">
        <v>216</v>
      </c>
      <c r="F77" s="591"/>
      <c r="G77" s="591"/>
      <c r="H77" s="591"/>
      <c r="I77" s="591"/>
      <c r="J77" s="586" t="s">
        <v>5</v>
      </c>
      <c r="K77" s="586"/>
      <c r="L77" s="586"/>
      <c r="M77" s="586"/>
      <c r="N77" s="586" t="s">
        <v>217</v>
      </c>
      <c r="O77" s="586"/>
      <c r="P77" s="561" t="s">
        <v>218</v>
      </c>
      <c r="Q77" s="561"/>
      <c r="R77" s="240"/>
      <c r="S77" s="586" t="s">
        <v>219</v>
      </c>
      <c r="T77" s="586"/>
      <c r="U77" s="240"/>
      <c r="V77" s="241" t="s">
        <v>220</v>
      </c>
      <c r="W77" s="241" t="s">
        <v>221</v>
      </c>
      <c r="X77" s="240"/>
    </row>
    <row r="78" spans="1:24" ht="12">
      <c r="A78" s="558"/>
      <c r="B78" s="558"/>
      <c r="C78" s="240"/>
      <c r="D78" s="240"/>
      <c r="E78" s="558" t="s">
        <v>222</v>
      </c>
      <c r="F78" s="558"/>
      <c r="G78" s="558"/>
      <c r="H78" s="558"/>
      <c r="I78" s="558"/>
      <c r="J78" s="561" t="s">
        <v>223</v>
      </c>
      <c r="K78" s="561"/>
      <c r="L78" s="561"/>
      <c r="M78" s="561"/>
      <c r="N78" s="561" t="s">
        <v>224</v>
      </c>
      <c r="O78" s="561"/>
      <c r="P78" s="561"/>
      <c r="Q78" s="561"/>
      <c r="R78" s="240"/>
      <c r="S78" s="561" t="s">
        <v>224</v>
      </c>
      <c r="T78" s="561"/>
      <c r="U78" s="240"/>
      <c r="V78" s="242" t="s">
        <v>115</v>
      </c>
      <c r="W78" s="242" t="s">
        <v>219</v>
      </c>
      <c r="X78" s="240"/>
    </row>
    <row r="79" spans="1:24" ht="12">
      <c r="A79" s="589" t="s">
        <v>25</v>
      </c>
      <c r="B79" s="589"/>
      <c r="C79" s="589"/>
      <c r="D79" s="589" t="s">
        <v>248</v>
      </c>
      <c r="E79" s="589"/>
      <c r="F79" s="589"/>
      <c r="G79" s="243" t="s">
        <v>226</v>
      </c>
      <c r="H79" s="589" t="s">
        <v>249</v>
      </c>
      <c r="I79" s="589"/>
      <c r="J79" s="587">
        <v>3814</v>
      </c>
      <c r="K79" s="587"/>
      <c r="L79" s="587"/>
      <c r="M79" s="587"/>
      <c r="N79" s="587">
        <v>2464.28</v>
      </c>
      <c r="O79" s="587"/>
      <c r="P79" s="256">
        <v>1349.72</v>
      </c>
      <c r="Q79" s="256"/>
      <c r="R79" s="256"/>
      <c r="S79" s="587">
        <v>2464.28</v>
      </c>
      <c r="T79" s="587"/>
      <c r="U79" s="588">
        <v>0</v>
      </c>
      <c r="V79" s="588"/>
      <c r="W79" s="244">
        <v>64.61</v>
      </c>
      <c r="X79" s="240"/>
    </row>
    <row r="80" spans="1:24" s="94" customFormat="1" ht="12">
      <c r="A80" s="589" t="s">
        <v>26</v>
      </c>
      <c r="B80" s="589"/>
      <c r="C80" s="589"/>
      <c r="D80" s="589" t="s">
        <v>248</v>
      </c>
      <c r="E80" s="589"/>
      <c r="F80" s="589"/>
      <c r="G80" s="243" t="s">
        <v>226</v>
      </c>
      <c r="H80" s="589" t="s">
        <v>249</v>
      </c>
      <c r="I80" s="589"/>
      <c r="J80" s="587">
        <v>1210</v>
      </c>
      <c r="K80" s="587"/>
      <c r="L80" s="587"/>
      <c r="M80" s="587"/>
      <c r="N80" s="587">
        <v>338.88</v>
      </c>
      <c r="O80" s="587"/>
      <c r="P80" s="256">
        <v>871.12</v>
      </c>
      <c r="Q80" s="256"/>
      <c r="R80" s="256"/>
      <c r="S80" s="587">
        <v>338.88</v>
      </c>
      <c r="T80" s="587"/>
      <c r="U80" s="588">
        <v>0</v>
      </c>
      <c r="V80" s="588"/>
      <c r="W80" s="244">
        <v>28.01</v>
      </c>
      <c r="X80" s="240"/>
    </row>
    <row r="81" spans="1:24" ht="10.5" customHeight="1">
      <c r="A81" s="589" t="s">
        <v>27</v>
      </c>
      <c r="B81" s="589"/>
      <c r="C81" s="589"/>
      <c r="D81" s="589" t="s">
        <v>248</v>
      </c>
      <c r="E81" s="589"/>
      <c r="F81" s="589"/>
      <c r="G81" s="243" t="s">
        <v>226</v>
      </c>
      <c r="H81" s="589" t="s">
        <v>249</v>
      </c>
      <c r="I81" s="589"/>
      <c r="J81" s="587">
        <v>2931</v>
      </c>
      <c r="K81" s="587"/>
      <c r="L81" s="587"/>
      <c r="M81" s="587"/>
      <c r="N81" s="587">
        <v>2187</v>
      </c>
      <c r="O81" s="587"/>
      <c r="P81" s="256">
        <v>744</v>
      </c>
      <c r="Q81" s="256"/>
      <c r="R81" s="256"/>
      <c r="S81" s="587">
        <v>2187</v>
      </c>
      <c r="T81" s="587"/>
      <c r="U81" s="588">
        <v>0</v>
      </c>
      <c r="V81" s="588"/>
      <c r="W81" s="244">
        <v>74.62</v>
      </c>
      <c r="X81" s="240"/>
    </row>
    <row r="82" spans="1:24" s="88" customFormat="1" ht="12">
      <c r="A82" s="589" t="s">
        <v>28</v>
      </c>
      <c r="B82" s="589"/>
      <c r="C82" s="589"/>
      <c r="D82" s="589" t="s">
        <v>248</v>
      </c>
      <c r="E82" s="589"/>
      <c r="F82" s="589"/>
      <c r="G82" s="243" t="s">
        <v>226</v>
      </c>
      <c r="H82" s="589" t="s">
        <v>249</v>
      </c>
      <c r="I82" s="589"/>
      <c r="J82" s="587">
        <v>493</v>
      </c>
      <c r="K82" s="587"/>
      <c r="L82" s="587"/>
      <c r="M82" s="587"/>
      <c r="N82" s="587">
        <v>388</v>
      </c>
      <c r="O82" s="587"/>
      <c r="P82" s="256">
        <v>105</v>
      </c>
      <c r="Q82" s="256"/>
      <c r="R82" s="256"/>
      <c r="S82" s="587">
        <v>388</v>
      </c>
      <c r="T82" s="587"/>
      <c r="U82" s="588">
        <v>0</v>
      </c>
      <c r="V82" s="588"/>
      <c r="W82" s="244">
        <v>78.7</v>
      </c>
      <c r="X82" s="240"/>
    </row>
    <row r="83" spans="1:24" ht="12">
      <c r="A83" s="589" t="s">
        <v>29</v>
      </c>
      <c r="B83" s="589"/>
      <c r="C83" s="589"/>
      <c r="D83" s="589" t="s">
        <v>248</v>
      </c>
      <c r="E83" s="589"/>
      <c r="F83" s="589"/>
      <c r="G83" s="243" t="s">
        <v>226</v>
      </c>
      <c r="H83" s="589" t="s">
        <v>249</v>
      </c>
      <c r="I83" s="589"/>
      <c r="J83" s="587">
        <v>1962</v>
      </c>
      <c r="K83" s="587"/>
      <c r="L83" s="587"/>
      <c r="M83" s="587"/>
      <c r="N83" s="587">
        <v>207</v>
      </c>
      <c r="O83" s="587"/>
      <c r="P83" s="256">
        <v>1755</v>
      </c>
      <c r="Q83" s="256"/>
      <c r="R83" s="256"/>
      <c r="S83" s="587">
        <v>207</v>
      </c>
      <c r="T83" s="587"/>
      <c r="U83" s="588">
        <v>0</v>
      </c>
      <c r="V83" s="588"/>
      <c r="W83" s="244">
        <v>10.55</v>
      </c>
      <c r="X83" s="240"/>
    </row>
    <row r="84" spans="1:24" ht="12">
      <c r="A84" s="589" t="s">
        <v>40</v>
      </c>
      <c r="B84" s="589"/>
      <c r="C84" s="589"/>
      <c r="D84" s="589" t="s">
        <v>248</v>
      </c>
      <c r="E84" s="589"/>
      <c r="F84" s="589"/>
      <c r="G84" s="243" t="s">
        <v>226</v>
      </c>
      <c r="H84" s="589" t="s">
        <v>249</v>
      </c>
      <c r="I84" s="589"/>
      <c r="J84" s="587">
        <v>188</v>
      </c>
      <c r="K84" s="587"/>
      <c r="L84" s="587"/>
      <c r="M84" s="587"/>
      <c r="N84" s="587">
        <v>188</v>
      </c>
      <c r="O84" s="587"/>
      <c r="P84" s="256">
        <v>0</v>
      </c>
      <c r="Q84" s="256"/>
      <c r="R84" s="256"/>
      <c r="S84" s="587">
        <v>188</v>
      </c>
      <c r="T84" s="587"/>
      <c r="U84" s="588">
        <v>0</v>
      </c>
      <c r="V84" s="588"/>
      <c r="W84" s="244">
        <v>100</v>
      </c>
      <c r="X84" s="240"/>
    </row>
    <row r="85" spans="1:24" ht="12">
      <c r="A85" s="589" t="s">
        <v>30</v>
      </c>
      <c r="B85" s="589"/>
      <c r="C85" s="589"/>
      <c r="D85" s="589" t="s">
        <v>248</v>
      </c>
      <c r="E85" s="589"/>
      <c r="F85" s="589"/>
      <c r="G85" s="243" t="s">
        <v>226</v>
      </c>
      <c r="H85" s="589" t="s">
        <v>249</v>
      </c>
      <c r="I85" s="589"/>
      <c r="J85" s="587">
        <v>1084</v>
      </c>
      <c r="K85" s="587"/>
      <c r="L85" s="587"/>
      <c r="M85" s="587"/>
      <c r="N85" s="587">
        <v>50</v>
      </c>
      <c r="O85" s="587"/>
      <c r="P85" s="256">
        <v>1034</v>
      </c>
      <c r="Q85" s="256"/>
      <c r="R85" s="256"/>
      <c r="S85" s="587">
        <v>50</v>
      </c>
      <c r="T85" s="587"/>
      <c r="U85" s="588">
        <v>0</v>
      </c>
      <c r="V85" s="588"/>
      <c r="W85" s="244">
        <v>4.61</v>
      </c>
      <c r="X85" s="240"/>
    </row>
    <row r="86" spans="1:24" ht="12">
      <c r="A86" s="589" t="s">
        <v>31</v>
      </c>
      <c r="B86" s="589"/>
      <c r="C86" s="589"/>
      <c r="D86" s="589" t="s">
        <v>248</v>
      </c>
      <c r="E86" s="589"/>
      <c r="F86" s="589"/>
      <c r="G86" s="243" t="s">
        <v>226</v>
      </c>
      <c r="H86" s="589" t="s">
        <v>249</v>
      </c>
      <c r="I86" s="589"/>
      <c r="J86" s="587">
        <v>5676</v>
      </c>
      <c r="K86" s="587"/>
      <c r="L86" s="587"/>
      <c r="M86" s="587"/>
      <c r="N86" s="587">
        <v>0</v>
      </c>
      <c r="O86" s="587"/>
      <c r="P86" s="256">
        <v>5676</v>
      </c>
      <c r="Q86" s="256"/>
      <c r="R86" s="256"/>
      <c r="S86" s="587">
        <v>0</v>
      </c>
      <c r="T86" s="587"/>
      <c r="U86" s="588">
        <v>0</v>
      </c>
      <c r="V86" s="588"/>
      <c r="W86" s="244">
        <v>0</v>
      </c>
      <c r="X86" s="240"/>
    </row>
    <row r="87" spans="1:24" ht="12">
      <c r="A87" s="589" t="s">
        <v>32</v>
      </c>
      <c r="B87" s="589"/>
      <c r="C87" s="589"/>
      <c r="D87" s="589" t="s">
        <v>248</v>
      </c>
      <c r="E87" s="589"/>
      <c r="F87" s="589"/>
      <c r="G87" s="243" t="s">
        <v>226</v>
      </c>
      <c r="H87" s="589" t="s">
        <v>249</v>
      </c>
      <c r="I87" s="589"/>
      <c r="J87" s="587">
        <v>4926</v>
      </c>
      <c r="K87" s="587"/>
      <c r="L87" s="587"/>
      <c r="M87" s="587"/>
      <c r="N87" s="587">
        <v>848</v>
      </c>
      <c r="O87" s="587"/>
      <c r="P87" s="256">
        <v>4078</v>
      </c>
      <c r="Q87" s="256"/>
      <c r="R87" s="256"/>
      <c r="S87" s="587">
        <v>848</v>
      </c>
      <c r="T87" s="587"/>
      <c r="U87" s="588">
        <v>0</v>
      </c>
      <c r="V87" s="588"/>
      <c r="W87" s="244">
        <v>17.21</v>
      </c>
      <c r="X87" s="240"/>
    </row>
    <row r="88" spans="1:24" ht="12">
      <c r="A88" s="589" t="s">
        <v>33</v>
      </c>
      <c r="B88" s="589"/>
      <c r="C88" s="589"/>
      <c r="D88" s="589" t="s">
        <v>248</v>
      </c>
      <c r="E88" s="589"/>
      <c r="F88" s="589"/>
      <c r="G88" s="243" t="s">
        <v>226</v>
      </c>
      <c r="H88" s="589" t="s">
        <v>249</v>
      </c>
      <c r="I88" s="589"/>
      <c r="J88" s="587">
        <v>1286</v>
      </c>
      <c r="K88" s="587"/>
      <c r="L88" s="587"/>
      <c r="M88" s="587"/>
      <c r="N88" s="587">
        <v>1286</v>
      </c>
      <c r="O88" s="587"/>
      <c r="P88" s="256">
        <v>0</v>
      </c>
      <c r="Q88" s="256"/>
      <c r="R88" s="256"/>
      <c r="S88" s="587">
        <v>1286</v>
      </c>
      <c r="T88" s="587"/>
      <c r="U88" s="588">
        <v>0</v>
      </c>
      <c r="V88" s="588"/>
      <c r="W88" s="244">
        <v>100</v>
      </c>
      <c r="X88" s="240"/>
    </row>
    <row r="89" spans="1:24" ht="12">
      <c r="A89" s="589" t="s">
        <v>41</v>
      </c>
      <c r="B89" s="589"/>
      <c r="C89" s="589"/>
      <c r="D89" s="589" t="s">
        <v>248</v>
      </c>
      <c r="E89" s="589"/>
      <c r="F89" s="589"/>
      <c r="G89" s="243" t="s">
        <v>226</v>
      </c>
      <c r="H89" s="589" t="s">
        <v>249</v>
      </c>
      <c r="I89" s="589"/>
      <c r="J89" s="587">
        <v>895</v>
      </c>
      <c r="K89" s="587"/>
      <c r="L89" s="587"/>
      <c r="M89" s="587"/>
      <c r="N89" s="587">
        <v>895</v>
      </c>
      <c r="O89" s="587"/>
      <c r="P89" s="256">
        <v>0</v>
      </c>
      <c r="Q89" s="256"/>
      <c r="R89" s="256"/>
      <c r="S89" s="587">
        <v>895</v>
      </c>
      <c r="T89" s="587"/>
      <c r="U89" s="588">
        <v>0</v>
      </c>
      <c r="V89" s="588"/>
      <c r="W89" s="244">
        <v>100</v>
      </c>
      <c r="X89" s="240"/>
    </row>
    <row r="90" spans="1:24" ht="12">
      <c r="A90" s="589" t="s">
        <v>34</v>
      </c>
      <c r="B90" s="589"/>
      <c r="C90" s="589"/>
      <c r="D90" s="589" t="s">
        <v>248</v>
      </c>
      <c r="E90" s="589"/>
      <c r="F90" s="589"/>
      <c r="G90" s="243" t="s">
        <v>226</v>
      </c>
      <c r="H90" s="589" t="s">
        <v>249</v>
      </c>
      <c r="I90" s="589"/>
      <c r="J90" s="587">
        <v>2725</v>
      </c>
      <c r="K90" s="587"/>
      <c r="L90" s="587"/>
      <c r="M90" s="587"/>
      <c r="N90" s="587">
        <v>1799</v>
      </c>
      <c r="O90" s="587"/>
      <c r="P90" s="256">
        <v>926</v>
      </c>
      <c r="Q90" s="256"/>
      <c r="R90" s="256"/>
      <c r="S90" s="587">
        <v>2725</v>
      </c>
      <c r="T90" s="587"/>
      <c r="U90" s="588">
        <v>-926</v>
      </c>
      <c r="V90" s="588"/>
      <c r="W90" s="244">
        <v>100</v>
      </c>
      <c r="X90" s="240"/>
    </row>
    <row r="91" spans="1:24" s="94" customFormat="1" ht="12">
      <c r="A91" s="589" t="s">
        <v>35</v>
      </c>
      <c r="B91" s="589"/>
      <c r="C91" s="589"/>
      <c r="D91" s="589" t="s">
        <v>248</v>
      </c>
      <c r="E91" s="589"/>
      <c r="F91" s="589"/>
      <c r="G91" s="243" t="s">
        <v>226</v>
      </c>
      <c r="H91" s="589" t="s">
        <v>249</v>
      </c>
      <c r="I91" s="589"/>
      <c r="J91" s="587">
        <v>2564</v>
      </c>
      <c r="K91" s="587"/>
      <c r="L91" s="587"/>
      <c r="M91" s="587"/>
      <c r="N91" s="587">
        <v>2564</v>
      </c>
      <c r="O91" s="587"/>
      <c r="P91" s="257">
        <v>0</v>
      </c>
      <c r="Q91" s="257"/>
      <c r="R91" s="257"/>
      <c r="S91" s="587">
        <v>2564</v>
      </c>
      <c r="T91" s="587"/>
      <c r="U91" s="588">
        <v>0</v>
      </c>
      <c r="V91" s="588"/>
      <c r="W91" s="244">
        <v>100</v>
      </c>
      <c r="X91" s="240"/>
    </row>
    <row r="92" spans="1:24" ht="12" customHeight="1">
      <c r="A92" s="245"/>
      <c r="B92" s="245"/>
      <c r="C92" s="245"/>
      <c r="D92" s="245"/>
      <c r="E92" s="245"/>
      <c r="F92" s="245"/>
      <c r="G92" s="245"/>
      <c r="H92" s="245"/>
      <c r="I92" s="245"/>
      <c r="J92" s="245"/>
      <c r="K92" s="245"/>
      <c r="L92" s="245"/>
      <c r="M92" s="245"/>
      <c r="N92" s="245"/>
      <c r="O92" s="245"/>
      <c r="P92" s="245"/>
      <c r="Q92" s="245"/>
      <c r="R92" s="245"/>
      <c r="S92" s="245"/>
      <c r="T92" s="245"/>
      <c r="U92" s="245"/>
      <c r="V92" s="245"/>
      <c r="W92" s="245"/>
      <c r="X92" s="240"/>
    </row>
    <row r="93" spans="1:24" s="88" customFormat="1" ht="12" thickBot="1">
      <c r="A93" s="240"/>
      <c r="B93" s="240"/>
      <c r="C93" s="240"/>
      <c r="D93" s="240"/>
      <c r="E93" s="240"/>
      <c r="F93" s="240"/>
      <c r="G93" s="240"/>
      <c r="H93" s="240"/>
      <c r="I93" s="240"/>
      <c r="J93" s="585">
        <v>29754</v>
      </c>
      <c r="K93" s="585"/>
      <c r="L93" s="585"/>
      <c r="M93" s="585"/>
      <c r="N93" s="585">
        <v>13215.16</v>
      </c>
      <c r="O93" s="585"/>
      <c r="P93" s="259">
        <v>16538.84</v>
      </c>
      <c r="Q93" s="259"/>
      <c r="R93" s="259"/>
      <c r="S93" s="585">
        <v>14141.16</v>
      </c>
      <c r="T93" s="585"/>
      <c r="U93" s="585">
        <v>-926</v>
      </c>
      <c r="V93" s="585"/>
      <c r="W93" s="240"/>
      <c r="X93" s="240"/>
    </row>
    <row r="94" spans="1:24" ht="11.25" thickTop="1">
      <c r="A94" s="246"/>
      <c r="B94" s="246"/>
      <c r="C94" s="246"/>
      <c r="D94" s="246"/>
      <c r="E94" s="246"/>
      <c r="F94" s="246"/>
      <c r="G94" s="246"/>
      <c r="H94" s="246"/>
      <c r="I94" s="246"/>
      <c r="J94" s="246"/>
      <c r="K94" s="246"/>
      <c r="L94" s="246"/>
      <c r="M94" s="246"/>
      <c r="N94" s="246"/>
      <c r="O94" s="246"/>
      <c r="P94" s="246"/>
      <c r="Q94" s="246"/>
      <c r="R94" s="246"/>
      <c r="S94" s="246"/>
      <c r="T94" s="246"/>
      <c r="U94" s="246"/>
      <c r="V94" s="246"/>
      <c r="W94" s="246"/>
      <c r="X94" s="240"/>
    </row>
    <row r="95" spans="1:24" ht="12">
      <c r="A95" s="586" t="s">
        <v>256</v>
      </c>
      <c r="B95" s="586"/>
      <c r="C95" s="586"/>
      <c r="D95" s="586"/>
      <c r="E95" s="586"/>
      <c r="F95" s="586"/>
      <c r="G95" s="586"/>
      <c r="H95" s="586"/>
      <c r="I95" s="240"/>
      <c r="J95" s="584">
        <v>29754</v>
      </c>
      <c r="K95" s="584"/>
      <c r="L95" s="584"/>
      <c r="M95" s="584"/>
      <c r="N95" s="584">
        <v>13215.16</v>
      </c>
      <c r="O95" s="584"/>
      <c r="P95" s="258">
        <v>16538.84</v>
      </c>
      <c r="Q95" s="258"/>
      <c r="R95" s="258"/>
      <c r="S95" s="584">
        <v>14141.16</v>
      </c>
      <c r="T95" s="584"/>
      <c r="U95" s="584">
        <v>-926</v>
      </c>
      <c r="V95" s="584"/>
      <c r="W95" s="240"/>
      <c r="X95" s="240"/>
    </row>
    <row r="96" spans="1:24" ht="12">
      <c r="A96" s="558" t="s">
        <v>211</v>
      </c>
      <c r="B96" s="558"/>
      <c r="C96" s="590" t="s">
        <v>257</v>
      </c>
      <c r="D96" s="590"/>
      <c r="E96" s="590"/>
      <c r="F96" s="590"/>
      <c r="G96" s="590"/>
      <c r="H96" s="590"/>
      <c r="I96" s="590"/>
      <c r="J96" s="590"/>
      <c r="K96" s="590"/>
      <c r="L96" s="240"/>
      <c r="M96" s="240"/>
      <c r="N96" s="240"/>
      <c r="O96" s="240"/>
      <c r="P96" s="240"/>
      <c r="Q96" s="240"/>
      <c r="R96" s="240"/>
      <c r="S96" s="240"/>
      <c r="T96" s="240"/>
      <c r="U96" s="240"/>
      <c r="V96" s="240"/>
      <c r="W96" s="240"/>
      <c r="X96" s="240"/>
    </row>
    <row r="97" spans="1:24" ht="10.5" customHeight="1">
      <c r="A97" s="558"/>
      <c r="B97" s="558"/>
      <c r="C97" s="240"/>
      <c r="D97" s="240"/>
      <c r="E97" s="240"/>
      <c r="F97" s="240"/>
      <c r="G97" s="240"/>
      <c r="H97" s="240"/>
      <c r="I97" s="240"/>
      <c r="J97" s="240"/>
      <c r="K97" s="240"/>
      <c r="L97" s="240"/>
      <c r="M97" s="240"/>
      <c r="N97" s="240"/>
      <c r="O97" s="240"/>
      <c r="P97" s="240"/>
      <c r="Q97" s="240"/>
      <c r="R97" s="240"/>
      <c r="S97" s="240"/>
      <c r="T97" s="240"/>
      <c r="U97" s="240"/>
      <c r="V97" s="240"/>
      <c r="W97" s="240"/>
      <c r="X97" s="240"/>
    </row>
    <row r="98" spans="1:24" ht="12">
      <c r="A98" s="240"/>
      <c r="B98" s="558" t="s">
        <v>213</v>
      </c>
      <c r="C98" s="558"/>
      <c r="D98" s="590" t="s">
        <v>75</v>
      </c>
      <c r="E98" s="590"/>
      <c r="F98" s="590"/>
      <c r="G98" s="590"/>
      <c r="H98" s="590"/>
      <c r="I98" s="590"/>
      <c r="J98" s="590"/>
      <c r="K98" s="590"/>
      <c r="L98" s="590"/>
      <c r="M98" s="590"/>
      <c r="N98" s="240"/>
      <c r="O98" s="240"/>
      <c r="P98" s="240"/>
      <c r="Q98" s="240"/>
      <c r="R98" s="240"/>
      <c r="S98" s="240"/>
      <c r="T98" s="240"/>
      <c r="U98" s="240"/>
      <c r="V98" s="240"/>
      <c r="W98" s="240"/>
      <c r="X98" s="240"/>
    </row>
    <row r="99" spans="1:24" ht="12">
      <c r="A99" s="558" t="s">
        <v>215</v>
      </c>
      <c r="B99" s="558"/>
      <c r="C99" s="240"/>
      <c r="D99" s="240"/>
      <c r="E99" s="591" t="s">
        <v>216</v>
      </c>
      <c r="F99" s="591"/>
      <c r="G99" s="591"/>
      <c r="H99" s="591"/>
      <c r="I99" s="591"/>
      <c r="J99" s="586" t="s">
        <v>5</v>
      </c>
      <c r="K99" s="586"/>
      <c r="L99" s="586"/>
      <c r="M99" s="586"/>
      <c r="N99" s="586" t="s">
        <v>217</v>
      </c>
      <c r="O99" s="586"/>
      <c r="P99" s="561" t="s">
        <v>218</v>
      </c>
      <c r="Q99" s="561"/>
      <c r="R99" s="240"/>
      <c r="S99" s="586" t="s">
        <v>219</v>
      </c>
      <c r="T99" s="586"/>
      <c r="U99" s="240"/>
      <c r="V99" s="241" t="s">
        <v>220</v>
      </c>
      <c r="W99" s="241" t="s">
        <v>221</v>
      </c>
      <c r="X99" s="240"/>
    </row>
    <row r="100" spans="1:24" ht="12">
      <c r="A100" s="558"/>
      <c r="B100" s="558"/>
      <c r="C100" s="240"/>
      <c r="D100" s="240"/>
      <c r="E100" s="558" t="s">
        <v>222</v>
      </c>
      <c r="F100" s="558"/>
      <c r="G100" s="558"/>
      <c r="H100" s="558"/>
      <c r="I100" s="558"/>
      <c r="J100" s="561" t="s">
        <v>223</v>
      </c>
      <c r="K100" s="561"/>
      <c r="L100" s="561"/>
      <c r="M100" s="561"/>
      <c r="N100" s="561" t="s">
        <v>224</v>
      </c>
      <c r="O100" s="561"/>
      <c r="P100" s="561"/>
      <c r="Q100" s="561"/>
      <c r="R100" s="240"/>
      <c r="S100" s="561" t="s">
        <v>224</v>
      </c>
      <c r="T100" s="561"/>
      <c r="U100" s="240"/>
      <c r="V100" s="242" t="s">
        <v>115</v>
      </c>
      <c r="W100" s="242" t="s">
        <v>219</v>
      </c>
      <c r="X100" s="240"/>
    </row>
    <row r="101" spans="1:24" ht="12">
      <c r="A101" s="589" t="s">
        <v>25</v>
      </c>
      <c r="B101" s="589"/>
      <c r="C101" s="589"/>
      <c r="D101" s="589" t="s">
        <v>248</v>
      </c>
      <c r="E101" s="589"/>
      <c r="F101" s="589"/>
      <c r="G101" s="243" t="s">
        <v>226</v>
      </c>
      <c r="H101" s="589" t="s">
        <v>249</v>
      </c>
      <c r="I101" s="589"/>
      <c r="J101" s="587">
        <v>96837</v>
      </c>
      <c r="K101" s="587"/>
      <c r="L101" s="587"/>
      <c r="M101" s="587"/>
      <c r="N101" s="587">
        <v>37647.86</v>
      </c>
      <c r="O101" s="587"/>
      <c r="P101" s="256">
        <v>59189.14</v>
      </c>
      <c r="Q101" s="256"/>
      <c r="R101" s="256"/>
      <c r="S101" s="587">
        <v>37647.86</v>
      </c>
      <c r="T101" s="587"/>
      <c r="U101" s="588">
        <v>0</v>
      </c>
      <c r="V101" s="588"/>
      <c r="W101" s="244">
        <v>38.88</v>
      </c>
      <c r="X101" s="240"/>
    </row>
    <row r="102" spans="1:24" ht="12">
      <c r="A102" s="589" t="s">
        <v>26</v>
      </c>
      <c r="B102" s="589"/>
      <c r="C102" s="589"/>
      <c r="D102" s="589" t="s">
        <v>248</v>
      </c>
      <c r="E102" s="589"/>
      <c r="F102" s="589"/>
      <c r="G102" s="243" t="s">
        <v>226</v>
      </c>
      <c r="H102" s="589" t="s">
        <v>249</v>
      </c>
      <c r="I102" s="589"/>
      <c r="J102" s="587">
        <v>25306.52</v>
      </c>
      <c r="K102" s="587"/>
      <c r="L102" s="587"/>
      <c r="M102" s="587"/>
      <c r="N102" s="587">
        <v>11543.07</v>
      </c>
      <c r="O102" s="587"/>
      <c r="P102" s="256">
        <v>13763.45</v>
      </c>
      <c r="Q102" s="256"/>
      <c r="R102" s="256"/>
      <c r="S102" s="587">
        <v>10793.07</v>
      </c>
      <c r="T102" s="587"/>
      <c r="U102" s="588">
        <v>750</v>
      </c>
      <c r="V102" s="588"/>
      <c r="W102" s="244">
        <v>42.65</v>
      </c>
      <c r="X102" s="240"/>
    </row>
    <row r="103" spans="1:24" ht="10.5" customHeight="1">
      <c r="A103" s="589" t="s">
        <v>27</v>
      </c>
      <c r="B103" s="589"/>
      <c r="C103" s="589"/>
      <c r="D103" s="589" t="s">
        <v>248</v>
      </c>
      <c r="E103" s="589"/>
      <c r="F103" s="589"/>
      <c r="G103" s="243" t="s">
        <v>226</v>
      </c>
      <c r="H103" s="589" t="s">
        <v>249</v>
      </c>
      <c r="I103" s="589"/>
      <c r="J103" s="587">
        <v>20949</v>
      </c>
      <c r="K103" s="587"/>
      <c r="L103" s="587"/>
      <c r="M103" s="587"/>
      <c r="N103" s="587">
        <v>13801</v>
      </c>
      <c r="O103" s="587"/>
      <c r="P103" s="256">
        <v>7148</v>
      </c>
      <c r="Q103" s="256"/>
      <c r="R103" s="256"/>
      <c r="S103" s="587">
        <v>13801</v>
      </c>
      <c r="T103" s="587"/>
      <c r="U103" s="588">
        <v>0</v>
      </c>
      <c r="V103" s="588"/>
      <c r="W103" s="244">
        <v>65.88</v>
      </c>
      <c r="X103" s="240"/>
    </row>
    <row r="104" spans="1:24" s="88" customFormat="1" ht="12">
      <c r="A104" s="589" t="s">
        <v>28</v>
      </c>
      <c r="B104" s="589"/>
      <c r="C104" s="589"/>
      <c r="D104" s="589" t="s">
        <v>248</v>
      </c>
      <c r="E104" s="589"/>
      <c r="F104" s="589"/>
      <c r="G104" s="243" t="s">
        <v>226</v>
      </c>
      <c r="H104" s="589" t="s">
        <v>249</v>
      </c>
      <c r="I104" s="589"/>
      <c r="J104" s="587">
        <v>4093</v>
      </c>
      <c r="K104" s="587"/>
      <c r="L104" s="587"/>
      <c r="M104" s="587"/>
      <c r="N104" s="587">
        <v>3286</v>
      </c>
      <c r="O104" s="587"/>
      <c r="P104" s="256">
        <v>807</v>
      </c>
      <c r="Q104" s="256"/>
      <c r="R104" s="256"/>
      <c r="S104" s="587">
        <v>3286</v>
      </c>
      <c r="T104" s="587"/>
      <c r="U104" s="588">
        <v>0</v>
      </c>
      <c r="V104" s="588"/>
      <c r="W104" s="244">
        <v>80.28</v>
      </c>
      <c r="X104" s="240"/>
    </row>
    <row r="105" spans="1:24" ht="12">
      <c r="A105" s="589" t="s">
        <v>29</v>
      </c>
      <c r="B105" s="589"/>
      <c r="C105" s="589"/>
      <c r="D105" s="589" t="s">
        <v>248</v>
      </c>
      <c r="E105" s="589"/>
      <c r="F105" s="589"/>
      <c r="G105" s="243" t="s">
        <v>226</v>
      </c>
      <c r="H105" s="589" t="s">
        <v>249</v>
      </c>
      <c r="I105" s="589"/>
      <c r="J105" s="587">
        <v>83369</v>
      </c>
      <c r="K105" s="587"/>
      <c r="L105" s="587"/>
      <c r="M105" s="587"/>
      <c r="N105" s="587">
        <v>68484</v>
      </c>
      <c r="O105" s="587"/>
      <c r="P105" s="256">
        <v>14885</v>
      </c>
      <c r="Q105" s="256"/>
      <c r="R105" s="256"/>
      <c r="S105" s="587">
        <v>69162</v>
      </c>
      <c r="T105" s="587"/>
      <c r="U105" s="588">
        <v>-678</v>
      </c>
      <c r="V105" s="588"/>
      <c r="W105" s="244">
        <v>82.96</v>
      </c>
      <c r="X105" s="240"/>
    </row>
    <row r="106" spans="1:24" ht="12">
      <c r="A106" s="589" t="s">
        <v>40</v>
      </c>
      <c r="B106" s="589"/>
      <c r="C106" s="589"/>
      <c r="D106" s="589" t="s">
        <v>248</v>
      </c>
      <c r="E106" s="589"/>
      <c r="F106" s="589"/>
      <c r="G106" s="243" t="s">
        <v>226</v>
      </c>
      <c r="H106" s="589" t="s">
        <v>249</v>
      </c>
      <c r="I106" s="589"/>
      <c r="J106" s="587">
        <v>7554</v>
      </c>
      <c r="K106" s="587"/>
      <c r="L106" s="587"/>
      <c r="M106" s="587"/>
      <c r="N106" s="587">
        <v>2292</v>
      </c>
      <c r="O106" s="587"/>
      <c r="P106" s="256">
        <v>5262</v>
      </c>
      <c r="Q106" s="256"/>
      <c r="R106" s="256"/>
      <c r="S106" s="587">
        <v>2292</v>
      </c>
      <c r="T106" s="587"/>
      <c r="U106" s="588">
        <v>0</v>
      </c>
      <c r="V106" s="588"/>
      <c r="W106" s="244">
        <v>30.34</v>
      </c>
      <c r="X106" s="240"/>
    </row>
    <row r="107" spans="1:24" ht="12">
      <c r="A107" s="589" t="s">
        <v>30</v>
      </c>
      <c r="B107" s="589"/>
      <c r="C107" s="589"/>
      <c r="D107" s="589" t="s">
        <v>248</v>
      </c>
      <c r="E107" s="589"/>
      <c r="F107" s="589"/>
      <c r="G107" s="243" t="s">
        <v>226</v>
      </c>
      <c r="H107" s="589" t="s">
        <v>249</v>
      </c>
      <c r="I107" s="589"/>
      <c r="J107" s="587">
        <v>8185.39</v>
      </c>
      <c r="K107" s="587"/>
      <c r="L107" s="587"/>
      <c r="M107" s="587"/>
      <c r="N107" s="587">
        <v>5820.21</v>
      </c>
      <c r="O107" s="587"/>
      <c r="P107" s="256">
        <v>2365.18</v>
      </c>
      <c r="Q107" s="256"/>
      <c r="R107" s="256"/>
      <c r="S107" s="587">
        <v>5820.21</v>
      </c>
      <c r="T107" s="587"/>
      <c r="U107" s="588">
        <v>0</v>
      </c>
      <c r="V107" s="588"/>
      <c r="W107" s="244">
        <v>71.1</v>
      </c>
      <c r="X107" s="240"/>
    </row>
    <row r="108" spans="1:24" ht="12">
      <c r="A108" s="589" t="s">
        <v>31</v>
      </c>
      <c r="B108" s="589"/>
      <c r="C108" s="589"/>
      <c r="D108" s="589" t="s">
        <v>248</v>
      </c>
      <c r="E108" s="589"/>
      <c r="F108" s="589"/>
      <c r="G108" s="243" t="s">
        <v>226</v>
      </c>
      <c r="H108" s="589" t="s">
        <v>249</v>
      </c>
      <c r="I108" s="589"/>
      <c r="J108" s="587">
        <v>78606</v>
      </c>
      <c r="K108" s="587"/>
      <c r="L108" s="587"/>
      <c r="M108" s="587"/>
      <c r="N108" s="587">
        <v>22315.75</v>
      </c>
      <c r="O108" s="587"/>
      <c r="P108" s="256">
        <v>56290.25</v>
      </c>
      <c r="Q108" s="256"/>
      <c r="R108" s="256"/>
      <c r="S108" s="587">
        <v>25620.63</v>
      </c>
      <c r="T108" s="587"/>
      <c r="U108" s="588">
        <v>-3304.88</v>
      </c>
      <c r="V108" s="588"/>
      <c r="W108" s="244">
        <v>32.59</v>
      </c>
      <c r="X108" s="240"/>
    </row>
    <row r="109" spans="1:24" ht="12">
      <c r="A109" s="589" t="s">
        <v>32</v>
      </c>
      <c r="B109" s="589"/>
      <c r="C109" s="589"/>
      <c r="D109" s="589" t="s">
        <v>248</v>
      </c>
      <c r="E109" s="589"/>
      <c r="F109" s="589"/>
      <c r="G109" s="243" t="s">
        <v>226</v>
      </c>
      <c r="H109" s="589" t="s">
        <v>249</v>
      </c>
      <c r="I109" s="589"/>
      <c r="J109" s="587">
        <v>39340</v>
      </c>
      <c r="K109" s="587"/>
      <c r="L109" s="587"/>
      <c r="M109" s="587"/>
      <c r="N109" s="587">
        <v>21182</v>
      </c>
      <c r="O109" s="587"/>
      <c r="P109" s="256">
        <v>18158</v>
      </c>
      <c r="Q109" s="256"/>
      <c r="R109" s="256"/>
      <c r="S109" s="587">
        <v>20756</v>
      </c>
      <c r="T109" s="587"/>
      <c r="U109" s="588">
        <v>426</v>
      </c>
      <c r="V109" s="588"/>
      <c r="W109" s="244">
        <v>52.76</v>
      </c>
      <c r="X109" s="240"/>
    </row>
    <row r="110" spans="1:24" ht="12">
      <c r="A110" s="589" t="s">
        <v>33</v>
      </c>
      <c r="B110" s="589"/>
      <c r="C110" s="589"/>
      <c r="D110" s="589" t="s">
        <v>248</v>
      </c>
      <c r="E110" s="589"/>
      <c r="F110" s="589"/>
      <c r="G110" s="243" t="s">
        <v>226</v>
      </c>
      <c r="H110" s="589" t="s">
        <v>249</v>
      </c>
      <c r="I110" s="589"/>
      <c r="J110" s="587">
        <v>64050</v>
      </c>
      <c r="K110" s="587"/>
      <c r="L110" s="587"/>
      <c r="M110" s="587"/>
      <c r="N110" s="587">
        <v>21913</v>
      </c>
      <c r="O110" s="587"/>
      <c r="P110" s="256">
        <v>42137</v>
      </c>
      <c r="Q110" s="256"/>
      <c r="R110" s="256"/>
      <c r="S110" s="587">
        <v>22797</v>
      </c>
      <c r="T110" s="587"/>
      <c r="U110" s="588">
        <v>-884</v>
      </c>
      <c r="V110" s="588"/>
      <c r="W110" s="244">
        <v>35.59</v>
      </c>
      <c r="X110" s="240"/>
    </row>
    <row r="111" spans="1:24" ht="12">
      <c r="A111" s="589" t="s">
        <v>41</v>
      </c>
      <c r="B111" s="589"/>
      <c r="C111" s="589"/>
      <c r="D111" s="589" t="s">
        <v>248</v>
      </c>
      <c r="E111" s="589"/>
      <c r="F111" s="589"/>
      <c r="G111" s="243" t="s">
        <v>226</v>
      </c>
      <c r="H111" s="589" t="s">
        <v>249</v>
      </c>
      <c r="I111" s="589"/>
      <c r="J111" s="587">
        <v>37018</v>
      </c>
      <c r="K111" s="587"/>
      <c r="L111" s="587"/>
      <c r="M111" s="587"/>
      <c r="N111" s="587">
        <v>9497</v>
      </c>
      <c r="O111" s="587"/>
      <c r="P111" s="256">
        <v>27521</v>
      </c>
      <c r="Q111" s="256"/>
      <c r="R111" s="256"/>
      <c r="S111" s="587">
        <v>10603</v>
      </c>
      <c r="T111" s="587"/>
      <c r="U111" s="588">
        <v>-1106</v>
      </c>
      <c r="V111" s="588"/>
      <c r="W111" s="244">
        <v>28.64</v>
      </c>
      <c r="X111" s="240"/>
    </row>
    <row r="112" spans="1:24" ht="12">
      <c r="A112" s="589" t="s">
        <v>34</v>
      </c>
      <c r="B112" s="589"/>
      <c r="C112" s="589"/>
      <c r="D112" s="589" t="s">
        <v>248</v>
      </c>
      <c r="E112" s="589"/>
      <c r="F112" s="589"/>
      <c r="G112" s="243" t="s">
        <v>226</v>
      </c>
      <c r="H112" s="589" t="s">
        <v>249</v>
      </c>
      <c r="I112" s="589"/>
      <c r="J112" s="587">
        <v>25874</v>
      </c>
      <c r="K112" s="587"/>
      <c r="L112" s="587"/>
      <c r="M112" s="587"/>
      <c r="N112" s="587">
        <v>14478</v>
      </c>
      <c r="O112" s="587"/>
      <c r="P112" s="256">
        <v>11396</v>
      </c>
      <c r="Q112" s="256"/>
      <c r="R112" s="256"/>
      <c r="S112" s="587">
        <v>16860</v>
      </c>
      <c r="T112" s="587"/>
      <c r="U112" s="588">
        <v>-2382</v>
      </c>
      <c r="V112" s="588"/>
      <c r="W112" s="244">
        <v>65.16</v>
      </c>
      <c r="X112" s="240"/>
    </row>
    <row r="113" spans="1:24" ht="12">
      <c r="A113" s="589" t="s">
        <v>35</v>
      </c>
      <c r="B113" s="589"/>
      <c r="C113" s="589"/>
      <c r="D113" s="589" t="s">
        <v>248</v>
      </c>
      <c r="E113" s="589"/>
      <c r="F113" s="589"/>
      <c r="G113" s="243" t="s">
        <v>226</v>
      </c>
      <c r="H113" s="589" t="s">
        <v>249</v>
      </c>
      <c r="I113" s="589"/>
      <c r="J113" s="587">
        <v>79946</v>
      </c>
      <c r="K113" s="587"/>
      <c r="L113" s="587"/>
      <c r="M113" s="587"/>
      <c r="N113" s="587">
        <v>74602</v>
      </c>
      <c r="O113" s="587"/>
      <c r="P113" s="257">
        <v>5344</v>
      </c>
      <c r="Q113" s="257"/>
      <c r="R113" s="257"/>
      <c r="S113" s="587">
        <v>75671</v>
      </c>
      <c r="T113" s="587"/>
      <c r="U113" s="588">
        <v>-1069</v>
      </c>
      <c r="V113" s="588"/>
      <c r="W113" s="244">
        <v>94.65</v>
      </c>
      <c r="X113" s="240"/>
    </row>
    <row r="114" spans="1:24" ht="10.5">
      <c r="A114" s="245"/>
      <c r="B114" s="245"/>
      <c r="C114" s="245"/>
      <c r="D114" s="245"/>
      <c r="E114" s="245"/>
      <c r="F114" s="245"/>
      <c r="G114" s="245"/>
      <c r="H114" s="245"/>
      <c r="I114" s="245"/>
      <c r="J114" s="245"/>
      <c r="K114" s="245"/>
      <c r="L114" s="245"/>
      <c r="M114" s="245"/>
      <c r="N114" s="245"/>
      <c r="O114" s="245"/>
      <c r="P114" s="245"/>
      <c r="Q114" s="245"/>
      <c r="R114" s="245"/>
      <c r="S114" s="245"/>
      <c r="T114" s="245"/>
      <c r="U114" s="245"/>
      <c r="V114" s="245"/>
      <c r="W114" s="245"/>
      <c r="X114" s="240"/>
    </row>
    <row r="115" spans="1:24" ht="11.25">
      <c r="A115" s="240"/>
      <c r="B115" s="240"/>
      <c r="C115" s="240"/>
      <c r="D115" s="240"/>
      <c r="E115" s="240"/>
      <c r="F115" s="240"/>
      <c r="G115" s="240"/>
      <c r="H115" s="240"/>
      <c r="I115" s="240"/>
      <c r="J115" s="585">
        <v>571127.91</v>
      </c>
      <c r="K115" s="585"/>
      <c r="L115" s="585"/>
      <c r="M115" s="585"/>
      <c r="N115" s="585">
        <v>306861.89</v>
      </c>
      <c r="O115" s="585"/>
      <c r="P115" s="258">
        <v>264266.02</v>
      </c>
      <c r="Q115" s="258"/>
      <c r="R115" s="258"/>
      <c r="S115" s="585">
        <v>315109.77</v>
      </c>
      <c r="T115" s="585"/>
      <c r="U115" s="585">
        <v>-8247.88</v>
      </c>
      <c r="V115" s="585"/>
      <c r="W115" s="240"/>
      <c r="X115" s="240"/>
    </row>
    <row r="116" spans="1:24" ht="12">
      <c r="A116" s="240"/>
      <c r="B116" s="558" t="s">
        <v>213</v>
      </c>
      <c r="C116" s="558"/>
      <c r="D116" s="590" t="s">
        <v>238</v>
      </c>
      <c r="E116" s="590"/>
      <c r="F116" s="590"/>
      <c r="G116" s="590"/>
      <c r="H116" s="590"/>
      <c r="I116" s="590"/>
      <c r="J116" s="590"/>
      <c r="K116" s="590"/>
      <c r="L116" s="590"/>
      <c r="M116" s="590"/>
      <c r="N116" s="240"/>
      <c r="O116" s="240"/>
      <c r="P116" s="240"/>
      <c r="Q116" s="240"/>
      <c r="R116" s="240"/>
      <c r="S116" s="240"/>
      <c r="T116" s="240"/>
      <c r="U116" s="240"/>
      <c r="V116" s="240"/>
      <c r="W116" s="240"/>
      <c r="X116" s="240"/>
    </row>
    <row r="117" spans="1:24" ht="12">
      <c r="A117" s="558" t="s">
        <v>215</v>
      </c>
      <c r="B117" s="558"/>
      <c r="C117" s="240"/>
      <c r="D117" s="240"/>
      <c r="E117" s="591" t="s">
        <v>216</v>
      </c>
      <c r="F117" s="591"/>
      <c r="G117" s="591"/>
      <c r="H117" s="591"/>
      <c r="I117" s="591"/>
      <c r="J117" s="586" t="s">
        <v>5</v>
      </c>
      <c r="K117" s="586"/>
      <c r="L117" s="586"/>
      <c r="M117" s="586"/>
      <c r="N117" s="586" t="s">
        <v>217</v>
      </c>
      <c r="O117" s="586"/>
      <c r="P117" s="561" t="s">
        <v>218</v>
      </c>
      <c r="Q117" s="561"/>
      <c r="R117" s="240"/>
      <c r="S117" s="586" t="s">
        <v>219</v>
      </c>
      <c r="T117" s="586"/>
      <c r="U117" s="240"/>
      <c r="V117" s="241" t="s">
        <v>220</v>
      </c>
      <c r="W117" s="241" t="s">
        <v>221</v>
      </c>
      <c r="X117" s="240"/>
    </row>
    <row r="118" spans="1:24" ht="12">
      <c r="A118" s="558"/>
      <c r="B118" s="558"/>
      <c r="C118" s="240"/>
      <c r="D118" s="240"/>
      <c r="E118" s="558" t="s">
        <v>222</v>
      </c>
      <c r="F118" s="558"/>
      <c r="G118" s="558"/>
      <c r="H118" s="558"/>
      <c r="I118" s="558"/>
      <c r="J118" s="561" t="s">
        <v>223</v>
      </c>
      <c r="K118" s="561"/>
      <c r="L118" s="561"/>
      <c r="M118" s="561"/>
      <c r="N118" s="561" t="s">
        <v>224</v>
      </c>
      <c r="O118" s="561"/>
      <c r="P118" s="561"/>
      <c r="Q118" s="561"/>
      <c r="R118" s="240"/>
      <c r="S118" s="561" t="s">
        <v>224</v>
      </c>
      <c r="T118" s="561"/>
      <c r="U118" s="240"/>
      <c r="V118" s="242" t="s">
        <v>115</v>
      </c>
      <c r="W118" s="242" t="s">
        <v>219</v>
      </c>
      <c r="X118" s="240"/>
    </row>
    <row r="119" spans="1:24" ht="12">
      <c r="A119" s="589" t="s">
        <v>25</v>
      </c>
      <c r="B119" s="589"/>
      <c r="C119" s="589"/>
      <c r="D119" s="589" t="s">
        <v>248</v>
      </c>
      <c r="E119" s="589"/>
      <c r="F119" s="589"/>
      <c r="G119" s="243" t="s">
        <v>226</v>
      </c>
      <c r="H119" s="589" t="s">
        <v>249</v>
      </c>
      <c r="I119" s="589"/>
      <c r="J119" s="587">
        <v>901808</v>
      </c>
      <c r="K119" s="587"/>
      <c r="L119" s="587"/>
      <c r="M119" s="587"/>
      <c r="N119" s="587">
        <v>536292.42</v>
      </c>
      <c r="O119" s="587"/>
      <c r="P119" s="256">
        <v>365515.58</v>
      </c>
      <c r="Q119" s="256"/>
      <c r="R119" s="256"/>
      <c r="S119" s="587">
        <v>536292.42</v>
      </c>
      <c r="T119" s="587"/>
      <c r="U119" s="588">
        <v>0</v>
      </c>
      <c r="V119" s="588"/>
      <c r="W119" s="244">
        <v>59.47</v>
      </c>
      <c r="X119" s="240"/>
    </row>
    <row r="120" spans="1:24" ht="12">
      <c r="A120" s="589" t="s">
        <v>26</v>
      </c>
      <c r="B120" s="589"/>
      <c r="C120" s="589"/>
      <c r="D120" s="589" t="s">
        <v>248</v>
      </c>
      <c r="E120" s="589"/>
      <c r="F120" s="589"/>
      <c r="G120" s="243" t="s">
        <v>226</v>
      </c>
      <c r="H120" s="589" t="s">
        <v>249</v>
      </c>
      <c r="I120" s="589"/>
      <c r="J120" s="587">
        <v>172467.25</v>
      </c>
      <c r="K120" s="587"/>
      <c r="L120" s="587"/>
      <c r="M120" s="587"/>
      <c r="N120" s="587">
        <v>81813.86</v>
      </c>
      <c r="O120" s="587"/>
      <c r="P120" s="256">
        <v>90653.39</v>
      </c>
      <c r="Q120" s="256"/>
      <c r="R120" s="256"/>
      <c r="S120" s="587">
        <v>80313.86</v>
      </c>
      <c r="T120" s="587"/>
      <c r="U120" s="588">
        <v>1500</v>
      </c>
      <c r="V120" s="588"/>
      <c r="W120" s="244">
        <v>46.57</v>
      </c>
      <c r="X120" s="240"/>
    </row>
    <row r="121" spans="1:24" ht="12">
      <c r="A121" s="589" t="s">
        <v>27</v>
      </c>
      <c r="B121" s="589"/>
      <c r="C121" s="589"/>
      <c r="D121" s="589" t="s">
        <v>248</v>
      </c>
      <c r="E121" s="589"/>
      <c r="F121" s="589"/>
      <c r="G121" s="243" t="s">
        <v>226</v>
      </c>
      <c r="H121" s="589" t="s">
        <v>249</v>
      </c>
      <c r="I121" s="589"/>
      <c r="J121" s="587">
        <v>188519</v>
      </c>
      <c r="K121" s="587"/>
      <c r="L121" s="587"/>
      <c r="M121" s="587"/>
      <c r="N121" s="587">
        <v>177330</v>
      </c>
      <c r="O121" s="587"/>
      <c r="P121" s="256">
        <v>11189</v>
      </c>
      <c r="Q121" s="256"/>
      <c r="R121" s="256"/>
      <c r="S121" s="587">
        <v>177330</v>
      </c>
      <c r="T121" s="587"/>
      <c r="U121" s="588">
        <v>0</v>
      </c>
      <c r="V121" s="588"/>
      <c r="W121" s="244">
        <v>94.06</v>
      </c>
      <c r="X121" s="240"/>
    </row>
    <row r="122" spans="1:24" ht="12">
      <c r="A122" s="589" t="s">
        <v>28</v>
      </c>
      <c r="B122" s="589"/>
      <c r="C122" s="589"/>
      <c r="D122" s="589" t="s">
        <v>248</v>
      </c>
      <c r="E122" s="589"/>
      <c r="F122" s="589"/>
      <c r="G122" s="243" t="s">
        <v>226</v>
      </c>
      <c r="H122" s="589" t="s">
        <v>249</v>
      </c>
      <c r="I122" s="589"/>
      <c r="J122" s="587">
        <v>36859</v>
      </c>
      <c r="K122" s="587"/>
      <c r="L122" s="587"/>
      <c r="M122" s="587"/>
      <c r="N122" s="587">
        <v>25913</v>
      </c>
      <c r="O122" s="587"/>
      <c r="P122" s="256">
        <v>10946</v>
      </c>
      <c r="Q122" s="256"/>
      <c r="R122" s="256"/>
      <c r="S122" s="587">
        <v>25913</v>
      </c>
      <c r="T122" s="587"/>
      <c r="U122" s="588">
        <v>0</v>
      </c>
      <c r="V122" s="588"/>
      <c r="W122" s="244">
        <v>70.3</v>
      </c>
      <c r="X122" s="240"/>
    </row>
    <row r="123" spans="1:24" ht="12">
      <c r="A123" s="589" t="s">
        <v>29</v>
      </c>
      <c r="B123" s="589"/>
      <c r="C123" s="589"/>
      <c r="D123" s="589" t="s">
        <v>248</v>
      </c>
      <c r="E123" s="589"/>
      <c r="F123" s="589"/>
      <c r="G123" s="243" t="s">
        <v>226</v>
      </c>
      <c r="H123" s="589" t="s">
        <v>249</v>
      </c>
      <c r="I123" s="589"/>
      <c r="J123" s="587">
        <v>750304</v>
      </c>
      <c r="K123" s="587"/>
      <c r="L123" s="587"/>
      <c r="M123" s="587"/>
      <c r="N123" s="587">
        <v>565805</v>
      </c>
      <c r="O123" s="587"/>
      <c r="P123" s="256">
        <v>184499</v>
      </c>
      <c r="Q123" s="256"/>
      <c r="R123" s="256"/>
      <c r="S123" s="587">
        <v>586023</v>
      </c>
      <c r="T123" s="587"/>
      <c r="U123" s="588">
        <v>-20218</v>
      </c>
      <c r="V123" s="588"/>
      <c r="W123" s="244">
        <v>78.1</v>
      </c>
      <c r="X123" s="240"/>
    </row>
    <row r="124" spans="1:24" ht="12">
      <c r="A124" s="589" t="s">
        <v>40</v>
      </c>
      <c r="B124" s="589"/>
      <c r="C124" s="589"/>
      <c r="D124" s="589" t="s">
        <v>248</v>
      </c>
      <c r="E124" s="589"/>
      <c r="F124" s="589"/>
      <c r="G124" s="243" t="s">
        <v>226</v>
      </c>
      <c r="H124" s="589" t="s">
        <v>249</v>
      </c>
      <c r="I124" s="589"/>
      <c r="J124" s="587">
        <v>65306</v>
      </c>
      <c r="K124" s="587"/>
      <c r="L124" s="587"/>
      <c r="M124" s="587"/>
      <c r="N124" s="587">
        <v>29992</v>
      </c>
      <c r="O124" s="587"/>
      <c r="P124" s="256">
        <v>35314</v>
      </c>
      <c r="Q124" s="256"/>
      <c r="R124" s="256"/>
      <c r="S124" s="587">
        <v>29992</v>
      </c>
      <c r="T124" s="587"/>
      <c r="U124" s="588">
        <v>0</v>
      </c>
      <c r="V124" s="588"/>
      <c r="W124" s="244">
        <v>45.93</v>
      </c>
      <c r="X124" s="240"/>
    </row>
    <row r="125" spans="1:24" ht="12">
      <c r="A125" s="589" t="s">
        <v>30</v>
      </c>
      <c r="B125" s="589"/>
      <c r="C125" s="589"/>
      <c r="D125" s="589" t="s">
        <v>248</v>
      </c>
      <c r="E125" s="589"/>
      <c r="F125" s="589"/>
      <c r="G125" s="243" t="s">
        <v>226</v>
      </c>
      <c r="H125" s="589" t="s">
        <v>249</v>
      </c>
      <c r="I125" s="589"/>
      <c r="J125" s="587">
        <v>67507.3</v>
      </c>
      <c r="K125" s="587"/>
      <c r="L125" s="587"/>
      <c r="M125" s="587"/>
      <c r="N125" s="587">
        <v>56897.21</v>
      </c>
      <c r="O125" s="587"/>
      <c r="P125" s="256">
        <v>10610.09</v>
      </c>
      <c r="Q125" s="256"/>
      <c r="R125" s="256"/>
      <c r="S125" s="587">
        <v>56897.21</v>
      </c>
      <c r="T125" s="587"/>
      <c r="U125" s="588">
        <v>0</v>
      </c>
      <c r="V125" s="588"/>
      <c r="W125" s="244">
        <v>84.28</v>
      </c>
      <c r="X125" s="240"/>
    </row>
    <row r="126" spans="1:24" ht="12">
      <c r="A126" s="589" t="s">
        <v>31</v>
      </c>
      <c r="B126" s="589"/>
      <c r="C126" s="589"/>
      <c r="D126" s="589" t="s">
        <v>248</v>
      </c>
      <c r="E126" s="589"/>
      <c r="F126" s="589"/>
      <c r="G126" s="243" t="s">
        <v>226</v>
      </c>
      <c r="H126" s="589" t="s">
        <v>249</v>
      </c>
      <c r="I126" s="589"/>
      <c r="J126" s="587">
        <v>653513</v>
      </c>
      <c r="K126" s="587"/>
      <c r="L126" s="587"/>
      <c r="M126" s="587"/>
      <c r="N126" s="587">
        <v>142103.25</v>
      </c>
      <c r="O126" s="587"/>
      <c r="P126" s="256">
        <v>511409.75</v>
      </c>
      <c r="Q126" s="256"/>
      <c r="R126" s="256"/>
      <c r="S126" s="587">
        <v>174166.37</v>
      </c>
      <c r="T126" s="587"/>
      <c r="U126" s="588">
        <v>-32063.12</v>
      </c>
      <c r="V126" s="588"/>
      <c r="W126" s="244">
        <v>26.65</v>
      </c>
      <c r="X126" s="240"/>
    </row>
    <row r="127" spans="1:24" ht="12">
      <c r="A127" s="589" t="s">
        <v>32</v>
      </c>
      <c r="B127" s="589"/>
      <c r="C127" s="589"/>
      <c r="D127" s="589" t="s">
        <v>248</v>
      </c>
      <c r="E127" s="589"/>
      <c r="F127" s="589"/>
      <c r="G127" s="243" t="s">
        <v>226</v>
      </c>
      <c r="H127" s="589" t="s">
        <v>249</v>
      </c>
      <c r="I127" s="589"/>
      <c r="J127" s="587">
        <v>361718</v>
      </c>
      <c r="K127" s="587"/>
      <c r="L127" s="587"/>
      <c r="M127" s="587"/>
      <c r="N127" s="587">
        <v>238593</v>
      </c>
      <c r="O127" s="587"/>
      <c r="P127" s="256">
        <v>123125</v>
      </c>
      <c r="Q127" s="256"/>
      <c r="R127" s="256"/>
      <c r="S127" s="587">
        <v>225973</v>
      </c>
      <c r="T127" s="587"/>
      <c r="U127" s="588">
        <v>12620</v>
      </c>
      <c r="V127" s="588"/>
      <c r="W127" s="244">
        <v>62.47</v>
      </c>
      <c r="X127" s="240"/>
    </row>
    <row r="128" spans="1:24" ht="12">
      <c r="A128" s="589" t="s">
        <v>33</v>
      </c>
      <c r="B128" s="589"/>
      <c r="C128" s="589"/>
      <c r="D128" s="589" t="s">
        <v>248</v>
      </c>
      <c r="E128" s="589"/>
      <c r="F128" s="589"/>
      <c r="G128" s="243" t="s">
        <v>226</v>
      </c>
      <c r="H128" s="589" t="s">
        <v>249</v>
      </c>
      <c r="I128" s="589"/>
      <c r="J128" s="587">
        <v>635629</v>
      </c>
      <c r="K128" s="587"/>
      <c r="L128" s="587"/>
      <c r="M128" s="587"/>
      <c r="N128" s="587">
        <v>499996</v>
      </c>
      <c r="O128" s="587"/>
      <c r="P128" s="256">
        <v>135633</v>
      </c>
      <c r="Q128" s="256"/>
      <c r="R128" s="256"/>
      <c r="S128" s="587">
        <v>524252</v>
      </c>
      <c r="T128" s="587"/>
      <c r="U128" s="588">
        <v>-24256</v>
      </c>
      <c r="V128" s="588"/>
      <c r="W128" s="244">
        <v>82.48</v>
      </c>
      <c r="X128" s="240"/>
    </row>
    <row r="129" spans="1:24" ht="12">
      <c r="A129" s="589" t="s">
        <v>41</v>
      </c>
      <c r="B129" s="589"/>
      <c r="C129" s="589"/>
      <c r="D129" s="589" t="s">
        <v>248</v>
      </c>
      <c r="E129" s="589"/>
      <c r="F129" s="589"/>
      <c r="G129" s="243" t="s">
        <v>226</v>
      </c>
      <c r="H129" s="589" t="s">
        <v>249</v>
      </c>
      <c r="I129" s="589"/>
      <c r="J129" s="587">
        <v>326752</v>
      </c>
      <c r="K129" s="587"/>
      <c r="L129" s="587"/>
      <c r="M129" s="587"/>
      <c r="N129" s="587">
        <v>94965</v>
      </c>
      <c r="O129" s="587"/>
      <c r="P129" s="256">
        <v>231787</v>
      </c>
      <c r="Q129" s="256"/>
      <c r="R129" s="256"/>
      <c r="S129" s="587">
        <v>101084</v>
      </c>
      <c r="T129" s="587"/>
      <c r="U129" s="588">
        <v>-6119</v>
      </c>
      <c r="V129" s="588"/>
      <c r="W129" s="244">
        <v>30.94</v>
      </c>
      <c r="X129" s="240"/>
    </row>
    <row r="130" spans="1:24" ht="12">
      <c r="A130" s="589" t="s">
        <v>34</v>
      </c>
      <c r="B130" s="589"/>
      <c r="C130" s="589"/>
      <c r="D130" s="589" t="s">
        <v>248</v>
      </c>
      <c r="E130" s="589"/>
      <c r="F130" s="589"/>
      <c r="G130" s="243" t="s">
        <v>226</v>
      </c>
      <c r="H130" s="589" t="s">
        <v>249</v>
      </c>
      <c r="I130" s="589"/>
      <c r="J130" s="587">
        <v>206526</v>
      </c>
      <c r="K130" s="587"/>
      <c r="L130" s="587"/>
      <c r="M130" s="587"/>
      <c r="N130" s="587">
        <v>175115</v>
      </c>
      <c r="O130" s="587"/>
      <c r="P130" s="256">
        <v>31411</v>
      </c>
      <c r="Q130" s="256"/>
      <c r="R130" s="256"/>
      <c r="S130" s="587">
        <v>175115</v>
      </c>
      <c r="T130" s="587"/>
      <c r="U130" s="588">
        <v>0</v>
      </c>
      <c r="V130" s="588"/>
      <c r="W130" s="244">
        <v>84.79</v>
      </c>
      <c r="X130" s="240"/>
    </row>
    <row r="131" spans="1:24" ht="12">
      <c r="A131" s="589" t="s">
        <v>35</v>
      </c>
      <c r="B131" s="589"/>
      <c r="C131" s="589"/>
      <c r="D131" s="589" t="s">
        <v>248</v>
      </c>
      <c r="E131" s="589"/>
      <c r="F131" s="589"/>
      <c r="G131" s="243" t="s">
        <v>226</v>
      </c>
      <c r="H131" s="589" t="s">
        <v>249</v>
      </c>
      <c r="I131" s="589"/>
      <c r="J131" s="587">
        <v>826692</v>
      </c>
      <c r="K131" s="587"/>
      <c r="L131" s="587"/>
      <c r="M131" s="587"/>
      <c r="N131" s="587">
        <v>779661</v>
      </c>
      <c r="O131" s="587"/>
      <c r="P131" s="257">
        <v>47031</v>
      </c>
      <c r="Q131" s="257"/>
      <c r="R131" s="257"/>
      <c r="S131" s="587">
        <v>792974</v>
      </c>
      <c r="T131" s="587"/>
      <c r="U131" s="588">
        <v>-13313</v>
      </c>
      <c r="V131" s="588"/>
      <c r="W131" s="244">
        <v>95.92</v>
      </c>
      <c r="X131" s="240"/>
    </row>
    <row r="132" spans="1:24" ht="10.5">
      <c r="A132" s="245"/>
      <c r="B132" s="245"/>
      <c r="C132" s="245"/>
      <c r="D132" s="245"/>
      <c r="E132" s="245"/>
      <c r="F132" s="245"/>
      <c r="G132" s="245"/>
      <c r="H132" s="245"/>
      <c r="I132" s="245"/>
      <c r="J132" s="245"/>
      <c r="K132" s="245"/>
      <c r="L132" s="245"/>
      <c r="M132" s="245"/>
      <c r="N132" s="245"/>
      <c r="O132" s="245"/>
      <c r="P132" s="245"/>
      <c r="Q132" s="245"/>
      <c r="R132" s="245"/>
      <c r="S132" s="245"/>
      <c r="T132" s="245"/>
      <c r="U132" s="245"/>
      <c r="V132" s="245"/>
      <c r="W132" s="245"/>
      <c r="X132" s="240"/>
    </row>
    <row r="133" spans="1:24" ht="12" thickBot="1">
      <c r="A133" s="240"/>
      <c r="B133" s="240"/>
      <c r="C133" s="240"/>
      <c r="D133" s="240"/>
      <c r="E133" s="240"/>
      <c r="F133" s="240"/>
      <c r="G133" s="240"/>
      <c r="H133" s="240"/>
      <c r="I133" s="240"/>
      <c r="J133" s="585">
        <v>5193600.55</v>
      </c>
      <c r="K133" s="585"/>
      <c r="L133" s="585"/>
      <c r="M133" s="585"/>
      <c r="N133" s="585">
        <v>3404476.74</v>
      </c>
      <c r="O133" s="585"/>
      <c r="P133" s="259">
        <v>1789123.81</v>
      </c>
      <c r="Q133" s="259"/>
      <c r="R133" s="259"/>
      <c r="S133" s="585">
        <v>3486325.86</v>
      </c>
      <c r="T133" s="585"/>
      <c r="U133" s="585">
        <v>-81849.12</v>
      </c>
      <c r="V133" s="585"/>
      <c r="W133" s="240"/>
      <c r="X133" s="240"/>
    </row>
    <row r="134" spans="1:24" ht="11.25" thickTop="1">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0"/>
    </row>
    <row r="135" spans="1:24" ht="12">
      <c r="A135" s="586" t="s">
        <v>258</v>
      </c>
      <c r="B135" s="586"/>
      <c r="C135" s="586"/>
      <c r="D135" s="586"/>
      <c r="E135" s="586"/>
      <c r="F135" s="586"/>
      <c r="G135" s="586"/>
      <c r="H135" s="586"/>
      <c r="I135" s="240"/>
      <c r="J135" s="584">
        <v>5764728.46</v>
      </c>
      <c r="K135" s="584"/>
      <c r="L135" s="584"/>
      <c r="M135" s="584"/>
      <c r="N135" s="584">
        <v>3711338.63</v>
      </c>
      <c r="O135" s="584"/>
      <c r="P135" s="258">
        <v>2053389.83</v>
      </c>
      <c r="Q135" s="258"/>
      <c r="R135" s="258"/>
      <c r="S135" s="584">
        <v>3801435.63</v>
      </c>
      <c r="T135" s="584"/>
      <c r="U135" s="584">
        <v>-90097</v>
      </c>
      <c r="V135" s="584"/>
      <c r="W135" s="240"/>
      <c r="X135" s="240"/>
    </row>
    <row r="136" spans="1:24" ht="12">
      <c r="A136" s="558" t="s">
        <v>211</v>
      </c>
      <c r="B136" s="558"/>
      <c r="C136" s="590" t="s">
        <v>259</v>
      </c>
      <c r="D136" s="590"/>
      <c r="E136" s="590"/>
      <c r="F136" s="590"/>
      <c r="G136" s="590"/>
      <c r="H136" s="590"/>
      <c r="I136" s="590"/>
      <c r="J136" s="590"/>
      <c r="K136" s="590"/>
      <c r="L136" s="240"/>
      <c r="M136" s="240"/>
      <c r="N136" s="240"/>
      <c r="O136" s="240"/>
      <c r="P136" s="240"/>
      <c r="Q136" s="240"/>
      <c r="R136" s="240"/>
      <c r="S136" s="240"/>
      <c r="T136" s="240"/>
      <c r="U136" s="240"/>
      <c r="V136" s="240"/>
      <c r="W136" s="240"/>
      <c r="X136" s="240"/>
    </row>
    <row r="137" spans="1:24" ht="10.5" customHeight="1">
      <c r="A137" s="558"/>
      <c r="B137" s="558"/>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row>
    <row r="138" spans="1:24" ht="12">
      <c r="A138" s="240"/>
      <c r="B138" s="558" t="s">
        <v>213</v>
      </c>
      <c r="C138" s="558"/>
      <c r="D138" s="590" t="s">
        <v>75</v>
      </c>
      <c r="E138" s="590"/>
      <c r="F138" s="590"/>
      <c r="G138" s="590"/>
      <c r="H138" s="590"/>
      <c r="I138" s="590"/>
      <c r="J138" s="590"/>
      <c r="K138" s="590"/>
      <c r="L138" s="590"/>
      <c r="M138" s="590"/>
      <c r="N138" s="240"/>
      <c r="O138" s="240"/>
      <c r="P138" s="240"/>
      <c r="Q138" s="240"/>
      <c r="R138" s="240"/>
      <c r="S138" s="240"/>
      <c r="T138" s="240"/>
      <c r="U138" s="240"/>
      <c r="V138" s="240"/>
      <c r="W138" s="240"/>
      <c r="X138" s="240"/>
    </row>
    <row r="139" spans="1:24" ht="12">
      <c r="A139" s="558" t="s">
        <v>215</v>
      </c>
      <c r="B139" s="558"/>
      <c r="C139" s="240"/>
      <c r="D139" s="240"/>
      <c r="E139" s="591" t="s">
        <v>216</v>
      </c>
      <c r="F139" s="591"/>
      <c r="G139" s="591"/>
      <c r="H139" s="591"/>
      <c r="I139" s="591"/>
      <c r="J139" s="586" t="s">
        <v>5</v>
      </c>
      <c r="K139" s="586"/>
      <c r="L139" s="586"/>
      <c r="M139" s="586"/>
      <c r="N139" s="586" t="s">
        <v>217</v>
      </c>
      <c r="O139" s="586"/>
      <c r="P139" s="561" t="s">
        <v>218</v>
      </c>
      <c r="Q139" s="561"/>
      <c r="R139" s="240"/>
      <c r="S139" s="586" t="s">
        <v>219</v>
      </c>
      <c r="T139" s="586"/>
      <c r="U139" s="240"/>
      <c r="V139" s="241" t="s">
        <v>220</v>
      </c>
      <c r="W139" s="241" t="s">
        <v>221</v>
      </c>
      <c r="X139" s="240"/>
    </row>
    <row r="140" spans="1:24" ht="12">
      <c r="A140" s="558"/>
      <c r="B140" s="558"/>
      <c r="C140" s="240"/>
      <c r="D140" s="240"/>
      <c r="E140" s="558" t="s">
        <v>222</v>
      </c>
      <c r="F140" s="558"/>
      <c r="G140" s="558"/>
      <c r="H140" s="558"/>
      <c r="I140" s="558"/>
      <c r="J140" s="561" t="s">
        <v>223</v>
      </c>
      <c r="K140" s="561"/>
      <c r="L140" s="561"/>
      <c r="M140" s="561"/>
      <c r="N140" s="561" t="s">
        <v>224</v>
      </c>
      <c r="O140" s="561"/>
      <c r="P140" s="561"/>
      <c r="Q140" s="561"/>
      <c r="R140" s="240"/>
      <c r="S140" s="561" t="s">
        <v>224</v>
      </c>
      <c r="T140" s="561"/>
      <c r="U140" s="240"/>
      <c r="V140" s="242" t="s">
        <v>115</v>
      </c>
      <c r="W140" s="242" t="s">
        <v>219</v>
      </c>
      <c r="X140" s="240"/>
    </row>
    <row r="141" spans="1:24" ht="12">
      <c r="A141" s="589" t="s">
        <v>36</v>
      </c>
      <c r="B141" s="589"/>
      <c r="C141" s="589"/>
      <c r="D141" s="589" t="s">
        <v>248</v>
      </c>
      <c r="E141" s="589"/>
      <c r="F141" s="589"/>
      <c r="G141" s="243" t="s">
        <v>226</v>
      </c>
      <c r="H141" s="589" t="s">
        <v>249</v>
      </c>
      <c r="I141" s="589"/>
      <c r="J141" s="587">
        <v>265160</v>
      </c>
      <c r="K141" s="587"/>
      <c r="L141" s="587"/>
      <c r="M141" s="587"/>
      <c r="N141" s="587">
        <v>170670</v>
      </c>
      <c r="O141" s="587"/>
      <c r="P141" s="256">
        <v>94490</v>
      </c>
      <c r="Q141" s="256"/>
      <c r="R141" s="256"/>
      <c r="S141" s="587">
        <v>170670</v>
      </c>
      <c r="T141" s="587"/>
      <c r="U141" s="588">
        <v>0</v>
      </c>
      <c r="V141" s="588"/>
      <c r="W141" s="244">
        <v>64.36</v>
      </c>
      <c r="X141" s="240"/>
    </row>
    <row r="142" spans="1:24" ht="12">
      <c r="A142" s="589" t="s">
        <v>39</v>
      </c>
      <c r="B142" s="589"/>
      <c r="C142" s="589"/>
      <c r="D142" s="589" t="s">
        <v>248</v>
      </c>
      <c r="E142" s="589"/>
      <c r="F142" s="589"/>
      <c r="G142" s="243" t="s">
        <v>226</v>
      </c>
      <c r="H142" s="589" t="s">
        <v>249</v>
      </c>
      <c r="I142" s="589"/>
      <c r="J142" s="587">
        <v>15247</v>
      </c>
      <c r="K142" s="587"/>
      <c r="L142" s="587"/>
      <c r="M142" s="587"/>
      <c r="N142" s="587">
        <v>15247</v>
      </c>
      <c r="O142" s="587"/>
      <c r="P142" s="256">
        <v>0</v>
      </c>
      <c r="Q142" s="256"/>
      <c r="R142" s="256"/>
      <c r="S142" s="587">
        <v>15247</v>
      </c>
      <c r="T142" s="587"/>
      <c r="U142" s="588">
        <v>0</v>
      </c>
      <c r="V142" s="588"/>
      <c r="W142" s="244">
        <v>100</v>
      </c>
      <c r="X142" s="240"/>
    </row>
    <row r="143" spans="1:24" ht="12">
      <c r="A143" s="589" t="s">
        <v>37</v>
      </c>
      <c r="B143" s="589"/>
      <c r="C143" s="589"/>
      <c r="D143" s="589" t="s">
        <v>248</v>
      </c>
      <c r="E143" s="589"/>
      <c r="F143" s="589"/>
      <c r="G143" s="243" t="s">
        <v>226</v>
      </c>
      <c r="H143" s="589" t="s">
        <v>249</v>
      </c>
      <c r="I143" s="589"/>
      <c r="J143" s="587">
        <v>187942.5</v>
      </c>
      <c r="K143" s="587"/>
      <c r="L143" s="587"/>
      <c r="M143" s="587"/>
      <c r="N143" s="587">
        <v>163939.05</v>
      </c>
      <c r="O143" s="587"/>
      <c r="P143" s="256">
        <v>24003.45</v>
      </c>
      <c r="Q143" s="256"/>
      <c r="R143" s="256"/>
      <c r="S143" s="587">
        <v>165533.71</v>
      </c>
      <c r="T143" s="587"/>
      <c r="U143" s="588">
        <v>-1594.66</v>
      </c>
      <c r="V143" s="588"/>
      <c r="W143" s="244">
        <v>88.08</v>
      </c>
      <c r="X143" s="240"/>
    </row>
    <row r="144" spans="1:24" ht="12">
      <c r="A144" s="589" t="s">
        <v>31</v>
      </c>
      <c r="B144" s="589"/>
      <c r="C144" s="589"/>
      <c r="D144" s="589" t="s">
        <v>248</v>
      </c>
      <c r="E144" s="589"/>
      <c r="F144" s="589"/>
      <c r="G144" s="243" t="s">
        <v>226</v>
      </c>
      <c r="H144" s="589" t="s">
        <v>249</v>
      </c>
      <c r="I144" s="589"/>
      <c r="J144" s="587">
        <v>333504</v>
      </c>
      <c r="K144" s="587"/>
      <c r="L144" s="587"/>
      <c r="M144" s="587"/>
      <c r="N144" s="587">
        <v>137073.12</v>
      </c>
      <c r="O144" s="587"/>
      <c r="P144" s="256">
        <v>196430.88</v>
      </c>
      <c r="Q144" s="256"/>
      <c r="R144" s="256"/>
      <c r="S144" s="587">
        <v>150012.39</v>
      </c>
      <c r="T144" s="587"/>
      <c r="U144" s="588">
        <v>-12939.27</v>
      </c>
      <c r="V144" s="588"/>
      <c r="W144" s="244">
        <v>44.98</v>
      </c>
      <c r="X144" s="240"/>
    </row>
    <row r="145" spans="1:24" ht="12">
      <c r="A145" s="589" t="s">
        <v>32</v>
      </c>
      <c r="B145" s="589"/>
      <c r="C145" s="589"/>
      <c r="D145" s="589" t="s">
        <v>248</v>
      </c>
      <c r="E145" s="589"/>
      <c r="F145" s="589"/>
      <c r="G145" s="243" t="s">
        <v>226</v>
      </c>
      <c r="H145" s="589" t="s">
        <v>249</v>
      </c>
      <c r="I145" s="589"/>
      <c r="J145" s="587">
        <v>140934</v>
      </c>
      <c r="K145" s="587"/>
      <c r="L145" s="587"/>
      <c r="M145" s="587"/>
      <c r="N145" s="587">
        <v>42008</v>
      </c>
      <c r="O145" s="587"/>
      <c r="P145" s="256">
        <v>98926</v>
      </c>
      <c r="Q145" s="256"/>
      <c r="R145" s="256"/>
      <c r="S145" s="587">
        <v>40780</v>
      </c>
      <c r="T145" s="587"/>
      <c r="U145" s="588">
        <v>1228</v>
      </c>
      <c r="V145" s="588"/>
      <c r="W145" s="244">
        <v>28.94</v>
      </c>
      <c r="X145" s="240"/>
    </row>
    <row r="146" spans="1:24" ht="12">
      <c r="A146" s="589" t="s">
        <v>38</v>
      </c>
      <c r="B146" s="589"/>
      <c r="C146" s="589"/>
      <c r="D146" s="589" t="s">
        <v>248</v>
      </c>
      <c r="E146" s="589"/>
      <c r="F146" s="589"/>
      <c r="G146" s="243" t="s">
        <v>226</v>
      </c>
      <c r="H146" s="589" t="s">
        <v>249</v>
      </c>
      <c r="I146" s="589"/>
      <c r="J146" s="587">
        <v>30855</v>
      </c>
      <c r="K146" s="587"/>
      <c r="L146" s="587"/>
      <c r="M146" s="587"/>
      <c r="N146" s="587">
        <v>21025</v>
      </c>
      <c r="O146" s="587"/>
      <c r="P146" s="257">
        <v>9830</v>
      </c>
      <c r="Q146" s="257"/>
      <c r="R146" s="257"/>
      <c r="S146" s="587">
        <v>21965</v>
      </c>
      <c r="T146" s="587"/>
      <c r="U146" s="588">
        <v>-940</v>
      </c>
      <c r="V146" s="588"/>
      <c r="W146" s="244">
        <v>71.19</v>
      </c>
      <c r="X146" s="240"/>
    </row>
    <row r="147" spans="1:24" ht="10.5">
      <c r="A147" s="245"/>
      <c r="B147" s="245"/>
      <c r="C147" s="245"/>
      <c r="D147" s="245"/>
      <c r="E147" s="245"/>
      <c r="F147" s="245"/>
      <c r="G147" s="245"/>
      <c r="H147" s="245"/>
      <c r="I147" s="245"/>
      <c r="J147" s="245"/>
      <c r="K147" s="245"/>
      <c r="L147" s="245"/>
      <c r="M147" s="245"/>
      <c r="N147" s="245"/>
      <c r="O147" s="245"/>
      <c r="P147" s="245"/>
      <c r="Q147" s="245"/>
      <c r="R147" s="245"/>
      <c r="S147" s="245"/>
      <c r="T147" s="245"/>
      <c r="U147" s="245"/>
      <c r="V147" s="245"/>
      <c r="W147" s="245"/>
      <c r="X147" s="240"/>
    </row>
    <row r="148" spans="1:24" ht="11.25">
      <c r="A148" s="240"/>
      <c r="B148" s="240"/>
      <c r="C148" s="240"/>
      <c r="D148" s="240"/>
      <c r="E148" s="240"/>
      <c r="F148" s="240"/>
      <c r="G148" s="240"/>
      <c r="H148" s="240"/>
      <c r="I148" s="240"/>
      <c r="J148" s="585">
        <v>973642.5</v>
      </c>
      <c r="K148" s="585"/>
      <c r="L148" s="585"/>
      <c r="M148" s="585"/>
      <c r="N148" s="585">
        <v>549962.17</v>
      </c>
      <c r="O148" s="585"/>
      <c r="P148" s="258">
        <v>423680.33</v>
      </c>
      <c r="Q148" s="258"/>
      <c r="R148" s="258"/>
      <c r="S148" s="585">
        <v>564208.1</v>
      </c>
      <c r="T148" s="585"/>
      <c r="U148" s="585">
        <v>-14245.93</v>
      </c>
      <c r="V148" s="585"/>
      <c r="W148" s="240"/>
      <c r="X148" s="240"/>
    </row>
    <row r="149" spans="1:24" ht="12">
      <c r="A149" s="240"/>
      <c r="B149" s="558" t="s">
        <v>213</v>
      </c>
      <c r="C149" s="558"/>
      <c r="D149" s="590" t="s">
        <v>238</v>
      </c>
      <c r="E149" s="590"/>
      <c r="F149" s="590"/>
      <c r="G149" s="590"/>
      <c r="H149" s="590"/>
      <c r="I149" s="590"/>
      <c r="J149" s="590"/>
      <c r="K149" s="590"/>
      <c r="L149" s="590"/>
      <c r="M149" s="590"/>
      <c r="N149" s="240"/>
      <c r="O149" s="240"/>
      <c r="P149" s="240"/>
      <c r="Q149" s="240"/>
      <c r="R149" s="240"/>
      <c r="S149" s="240"/>
      <c r="T149" s="240"/>
      <c r="U149" s="240"/>
      <c r="V149" s="240"/>
      <c r="W149" s="240"/>
      <c r="X149" s="240"/>
    </row>
    <row r="150" spans="1:24" ht="12">
      <c r="A150" s="558" t="s">
        <v>215</v>
      </c>
      <c r="B150" s="558"/>
      <c r="C150" s="240"/>
      <c r="D150" s="240"/>
      <c r="E150" s="591" t="s">
        <v>216</v>
      </c>
      <c r="F150" s="591"/>
      <c r="G150" s="591"/>
      <c r="H150" s="591"/>
      <c r="I150" s="591"/>
      <c r="J150" s="586" t="s">
        <v>5</v>
      </c>
      <c r="K150" s="586"/>
      <c r="L150" s="586"/>
      <c r="M150" s="586"/>
      <c r="N150" s="586" t="s">
        <v>217</v>
      </c>
      <c r="O150" s="586"/>
      <c r="P150" s="561" t="s">
        <v>218</v>
      </c>
      <c r="Q150" s="561"/>
      <c r="R150" s="240"/>
      <c r="S150" s="586" t="s">
        <v>219</v>
      </c>
      <c r="T150" s="586"/>
      <c r="U150" s="240"/>
      <c r="V150" s="241" t="s">
        <v>220</v>
      </c>
      <c r="W150" s="241" t="s">
        <v>221</v>
      </c>
      <c r="X150" s="240"/>
    </row>
    <row r="151" spans="1:24" ht="12">
      <c r="A151" s="558"/>
      <c r="B151" s="558"/>
      <c r="C151" s="240"/>
      <c r="D151" s="240"/>
      <c r="E151" s="558" t="s">
        <v>222</v>
      </c>
      <c r="F151" s="558"/>
      <c r="G151" s="558"/>
      <c r="H151" s="558"/>
      <c r="I151" s="558"/>
      <c r="J151" s="561" t="s">
        <v>223</v>
      </c>
      <c r="K151" s="561"/>
      <c r="L151" s="561"/>
      <c r="M151" s="561"/>
      <c r="N151" s="561" t="s">
        <v>224</v>
      </c>
      <c r="O151" s="561"/>
      <c r="P151" s="561"/>
      <c r="Q151" s="561"/>
      <c r="R151" s="240"/>
      <c r="S151" s="561" t="s">
        <v>224</v>
      </c>
      <c r="T151" s="561"/>
      <c r="U151" s="240"/>
      <c r="V151" s="242" t="s">
        <v>115</v>
      </c>
      <c r="W151" s="242" t="s">
        <v>219</v>
      </c>
      <c r="X151" s="240"/>
    </row>
    <row r="152" spans="1:24" ht="12">
      <c r="A152" s="589" t="s">
        <v>36</v>
      </c>
      <c r="B152" s="589"/>
      <c r="C152" s="589"/>
      <c r="D152" s="589" t="s">
        <v>248</v>
      </c>
      <c r="E152" s="589"/>
      <c r="F152" s="589"/>
      <c r="G152" s="243" t="s">
        <v>226</v>
      </c>
      <c r="H152" s="589" t="s">
        <v>249</v>
      </c>
      <c r="I152" s="589"/>
      <c r="J152" s="587">
        <v>2265384</v>
      </c>
      <c r="K152" s="587"/>
      <c r="L152" s="587"/>
      <c r="M152" s="587"/>
      <c r="N152" s="587">
        <v>1614057</v>
      </c>
      <c r="O152" s="587"/>
      <c r="P152" s="256">
        <v>651327</v>
      </c>
      <c r="Q152" s="256"/>
      <c r="R152" s="256"/>
      <c r="S152" s="587">
        <v>1614057</v>
      </c>
      <c r="T152" s="587"/>
      <c r="U152" s="588">
        <v>0</v>
      </c>
      <c r="V152" s="588"/>
      <c r="W152" s="244">
        <v>71.25</v>
      </c>
      <c r="X152" s="240"/>
    </row>
    <row r="153" spans="1:24" ht="12">
      <c r="A153" s="589" t="s">
        <v>37</v>
      </c>
      <c r="B153" s="589"/>
      <c r="C153" s="589"/>
      <c r="D153" s="589" t="s">
        <v>248</v>
      </c>
      <c r="E153" s="589"/>
      <c r="F153" s="589"/>
      <c r="G153" s="243" t="s">
        <v>226</v>
      </c>
      <c r="H153" s="589" t="s">
        <v>249</v>
      </c>
      <c r="I153" s="589"/>
      <c r="J153" s="587">
        <v>1747212.8</v>
      </c>
      <c r="K153" s="587"/>
      <c r="L153" s="587"/>
      <c r="M153" s="587"/>
      <c r="N153" s="587">
        <v>1544888.72</v>
      </c>
      <c r="O153" s="587"/>
      <c r="P153" s="256">
        <v>202324.08</v>
      </c>
      <c r="Q153" s="256"/>
      <c r="R153" s="256"/>
      <c r="S153" s="587">
        <v>1647272.35</v>
      </c>
      <c r="T153" s="587"/>
      <c r="U153" s="588">
        <v>-102383.63</v>
      </c>
      <c r="V153" s="588"/>
      <c r="W153" s="244">
        <v>94.28</v>
      </c>
      <c r="X153" s="240"/>
    </row>
    <row r="154" spans="1:24" ht="12">
      <c r="A154" s="589" t="s">
        <v>31</v>
      </c>
      <c r="B154" s="589"/>
      <c r="C154" s="589"/>
      <c r="D154" s="589" t="s">
        <v>248</v>
      </c>
      <c r="E154" s="589"/>
      <c r="F154" s="589"/>
      <c r="G154" s="243" t="s">
        <v>226</v>
      </c>
      <c r="H154" s="589" t="s">
        <v>249</v>
      </c>
      <c r="I154" s="589"/>
      <c r="J154" s="587">
        <v>2593513</v>
      </c>
      <c r="K154" s="587"/>
      <c r="L154" s="587"/>
      <c r="M154" s="587"/>
      <c r="N154" s="587">
        <v>413779.88</v>
      </c>
      <c r="O154" s="587"/>
      <c r="P154" s="256">
        <v>2179733.12</v>
      </c>
      <c r="Q154" s="256"/>
      <c r="R154" s="256"/>
      <c r="S154" s="587">
        <v>541333.61</v>
      </c>
      <c r="T154" s="587"/>
      <c r="U154" s="588">
        <v>-127553.73</v>
      </c>
      <c r="V154" s="588"/>
      <c r="W154" s="244">
        <v>20.87</v>
      </c>
      <c r="X154" s="240"/>
    </row>
    <row r="155" spans="1:24" ht="12">
      <c r="A155" s="589" t="s">
        <v>32</v>
      </c>
      <c r="B155" s="589"/>
      <c r="C155" s="589"/>
      <c r="D155" s="589" t="s">
        <v>248</v>
      </c>
      <c r="E155" s="589"/>
      <c r="F155" s="589"/>
      <c r="G155" s="243" t="s">
        <v>226</v>
      </c>
      <c r="H155" s="589" t="s">
        <v>249</v>
      </c>
      <c r="I155" s="589"/>
      <c r="J155" s="587">
        <v>1257741</v>
      </c>
      <c r="K155" s="587"/>
      <c r="L155" s="587"/>
      <c r="M155" s="587"/>
      <c r="N155" s="587">
        <v>440754</v>
      </c>
      <c r="O155" s="587"/>
      <c r="P155" s="256">
        <v>816987</v>
      </c>
      <c r="Q155" s="256"/>
      <c r="R155" s="256"/>
      <c r="S155" s="587">
        <v>447134</v>
      </c>
      <c r="T155" s="587"/>
      <c r="U155" s="588">
        <v>-6380</v>
      </c>
      <c r="V155" s="588"/>
      <c r="W155" s="244">
        <v>35.55</v>
      </c>
      <c r="X155" s="240"/>
    </row>
    <row r="156" spans="1:24" ht="12">
      <c r="A156" s="589" t="s">
        <v>38</v>
      </c>
      <c r="B156" s="589"/>
      <c r="C156" s="589"/>
      <c r="D156" s="589" t="s">
        <v>248</v>
      </c>
      <c r="E156" s="589"/>
      <c r="F156" s="589"/>
      <c r="G156" s="243" t="s">
        <v>226</v>
      </c>
      <c r="H156" s="589" t="s">
        <v>249</v>
      </c>
      <c r="I156" s="589"/>
      <c r="J156" s="587">
        <v>219499</v>
      </c>
      <c r="K156" s="587"/>
      <c r="L156" s="587"/>
      <c r="M156" s="587"/>
      <c r="N156" s="587">
        <v>217937</v>
      </c>
      <c r="O156" s="587"/>
      <c r="P156" s="257">
        <v>1562</v>
      </c>
      <c r="Q156" s="257"/>
      <c r="R156" s="257"/>
      <c r="S156" s="587">
        <v>219499</v>
      </c>
      <c r="T156" s="587"/>
      <c r="U156" s="588">
        <v>-1562</v>
      </c>
      <c r="V156" s="588"/>
      <c r="W156" s="244">
        <v>100</v>
      </c>
      <c r="X156" s="240"/>
    </row>
    <row r="157" spans="1:24" ht="10.5">
      <c r="A157" s="245"/>
      <c r="B157" s="245"/>
      <c r="C157" s="245"/>
      <c r="D157" s="245"/>
      <c r="E157" s="245"/>
      <c r="F157" s="245"/>
      <c r="G157" s="245"/>
      <c r="H157" s="245"/>
      <c r="I157" s="245"/>
      <c r="J157" s="245"/>
      <c r="K157" s="245"/>
      <c r="L157" s="245"/>
      <c r="M157" s="245"/>
      <c r="N157" s="245"/>
      <c r="O157" s="245"/>
      <c r="P157" s="245"/>
      <c r="Q157" s="245"/>
      <c r="R157" s="245"/>
      <c r="S157" s="245"/>
      <c r="T157" s="245"/>
      <c r="U157" s="245"/>
      <c r="V157" s="245"/>
      <c r="W157" s="245"/>
      <c r="X157" s="240"/>
    </row>
    <row r="158" spans="1:24" ht="12" thickBot="1">
      <c r="A158" s="240"/>
      <c r="B158" s="240"/>
      <c r="C158" s="240"/>
      <c r="D158" s="240"/>
      <c r="E158" s="240"/>
      <c r="F158" s="240"/>
      <c r="G158" s="240"/>
      <c r="H158" s="240"/>
      <c r="I158" s="240"/>
      <c r="J158" s="585">
        <v>8083349.8</v>
      </c>
      <c r="K158" s="585"/>
      <c r="L158" s="585"/>
      <c r="M158" s="585"/>
      <c r="N158" s="585">
        <v>4231416.6</v>
      </c>
      <c r="O158" s="585"/>
      <c r="P158" s="259">
        <v>3851933.2</v>
      </c>
      <c r="Q158" s="259"/>
      <c r="R158" s="259"/>
      <c r="S158" s="585">
        <v>4469295.96</v>
      </c>
      <c r="T158" s="585"/>
      <c r="U158" s="585">
        <v>-237879.36</v>
      </c>
      <c r="V158" s="585"/>
      <c r="W158" s="240"/>
      <c r="X158" s="240"/>
    </row>
    <row r="159" spans="1:24" ht="11.25" thickTop="1">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0"/>
    </row>
    <row r="160" spans="1:24" ht="12">
      <c r="A160" s="586" t="s">
        <v>260</v>
      </c>
      <c r="B160" s="586"/>
      <c r="C160" s="586"/>
      <c r="D160" s="586"/>
      <c r="E160" s="586"/>
      <c r="F160" s="586"/>
      <c r="G160" s="586"/>
      <c r="H160" s="586"/>
      <c r="I160" s="240"/>
      <c r="J160" s="584">
        <v>9056992.3</v>
      </c>
      <c r="K160" s="584"/>
      <c r="L160" s="584"/>
      <c r="M160" s="584"/>
      <c r="N160" s="584">
        <v>4781378.77</v>
      </c>
      <c r="O160" s="584"/>
      <c r="P160" s="258">
        <v>4275613.53</v>
      </c>
      <c r="Q160" s="258"/>
      <c r="R160" s="258"/>
      <c r="S160" s="584">
        <v>5033504.06</v>
      </c>
      <c r="T160" s="584"/>
      <c r="U160" s="584">
        <v>-252125.29</v>
      </c>
      <c r="V160" s="584"/>
      <c r="W160" s="240"/>
      <c r="X160" s="240"/>
    </row>
    <row r="161" spans="1:24" ht="10.5" customHeight="1">
      <c r="A161" s="558" t="s">
        <v>211</v>
      </c>
      <c r="B161" s="558"/>
      <c r="C161" s="590" t="s">
        <v>261</v>
      </c>
      <c r="D161" s="590"/>
      <c r="E161" s="590"/>
      <c r="F161" s="590"/>
      <c r="G161" s="590"/>
      <c r="H161" s="590"/>
      <c r="I161" s="590"/>
      <c r="J161" s="590"/>
      <c r="K161" s="590"/>
      <c r="L161" s="240"/>
      <c r="M161" s="240"/>
      <c r="N161" s="240"/>
      <c r="O161" s="240"/>
      <c r="P161" s="240"/>
      <c r="Q161" s="240"/>
      <c r="R161" s="240"/>
      <c r="S161" s="240"/>
      <c r="T161" s="240"/>
      <c r="U161" s="240"/>
      <c r="V161" s="240"/>
      <c r="W161" s="240"/>
      <c r="X161" s="240"/>
    </row>
    <row r="162" spans="1:24" ht="10.5">
      <c r="A162" s="558"/>
      <c r="B162" s="558"/>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row>
    <row r="163" spans="1:24" ht="12">
      <c r="A163" s="240"/>
      <c r="B163" s="558" t="s">
        <v>213</v>
      </c>
      <c r="C163" s="558"/>
      <c r="D163" s="590" t="s">
        <v>235</v>
      </c>
      <c r="E163" s="590"/>
      <c r="F163" s="590"/>
      <c r="G163" s="590"/>
      <c r="H163" s="590"/>
      <c r="I163" s="590"/>
      <c r="J163" s="590"/>
      <c r="K163" s="590"/>
      <c r="L163" s="590"/>
      <c r="M163" s="590"/>
      <c r="N163" s="240"/>
      <c r="O163" s="240"/>
      <c r="P163" s="240"/>
      <c r="Q163" s="240"/>
      <c r="R163" s="240"/>
      <c r="S163" s="240"/>
      <c r="T163" s="240"/>
      <c r="U163" s="240"/>
      <c r="V163" s="240"/>
      <c r="W163" s="240"/>
      <c r="X163" s="240"/>
    </row>
    <row r="164" spans="1:24" ht="12">
      <c r="A164" s="558" t="s">
        <v>215</v>
      </c>
      <c r="B164" s="558"/>
      <c r="C164" s="240"/>
      <c r="D164" s="240"/>
      <c r="E164" s="591" t="s">
        <v>216</v>
      </c>
      <c r="F164" s="591"/>
      <c r="G164" s="591"/>
      <c r="H164" s="591"/>
      <c r="I164" s="591"/>
      <c r="J164" s="586" t="s">
        <v>5</v>
      </c>
      <c r="K164" s="586"/>
      <c r="L164" s="586"/>
      <c r="M164" s="586"/>
      <c r="N164" s="586" t="s">
        <v>217</v>
      </c>
      <c r="O164" s="586"/>
      <c r="P164" s="561" t="s">
        <v>218</v>
      </c>
      <c r="Q164" s="561"/>
      <c r="R164" s="240"/>
      <c r="S164" s="586" t="s">
        <v>219</v>
      </c>
      <c r="T164" s="586"/>
      <c r="U164" s="240"/>
      <c r="V164" s="241" t="s">
        <v>220</v>
      </c>
      <c r="W164" s="241" t="s">
        <v>221</v>
      </c>
      <c r="X164" s="240"/>
    </row>
    <row r="165" spans="1:24" ht="12">
      <c r="A165" s="558"/>
      <c r="B165" s="558"/>
      <c r="C165" s="240"/>
      <c r="D165" s="240"/>
      <c r="E165" s="558" t="s">
        <v>222</v>
      </c>
      <c r="F165" s="558"/>
      <c r="G165" s="558"/>
      <c r="H165" s="558"/>
      <c r="I165" s="558"/>
      <c r="J165" s="561" t="s">
        <v>223</v>
      </c>
      <c r="K165" s="561"/>
      <c r="L165" s="561"/>
      <c r="M165" s="561"/>
      <c r="N165" s="561" t="s">
        <v>224</v>
      </c>
      <c r="O165" s="561"/>
      <c r="P165" s="561"/>
      <c r="Q165" s="561"/>
      <c r="R165" s="240"/>
      <c r="S165" s="561" t="s">
        <v>224</v>
      </c>
      <c r="T165" s="561"/>
      <c r="U165" s="240"/>
      <c r="V165" s="242" t="s">
        <v>115</v>
      </c>
      <c r="W165" s="242" t="s">
        <v>219</v>
      </c>
      <c r="X165" s="240"/>
    </row>
    <row r="166" spans="1:24" ht="12">
      <c r="A166" s="589" t="s">
        <v>39</v>
      </c>
      <c r="B166" s="589"/>
      <c r="C166" s="589"/>
      <c r="D166" s="589" t="s">
        <v>248</v>
      </c>
      <c r="E166" s="589"/>
      <c r="F166" s="589"/>
      <c r="G166" s="243" t="s">
        <v>226</v>
      </c>
      <c r="H166" s="589" t="s">
        <v>249</v>
      </c>
      <c r="I166" s="589"/>
      <c r="J166" s="587">
        <v>10017</v>
      </c>
      <c r="K166" s="587"/>
      <c r="L166" s="587"/>
      <c r="M166" s="587"/>
      <c r="N166" s="587">
        <v>9071.99</v>
      </c>
      <c r="O166" s="587"/>
      <c r="P166" s="256">
        <v>945.01</v>
      </c>
      <c r="Q166" s="256"/>
      <c r="R166" s="256"/>
      <c r="S166" s="587">
        <v>9071.99</v>
      </c>
      <c r="T166" s="587"/>
      <c r="U166" s="588">
        <v>0</v>
      </c>
      <c r="V166" s="588"/>
      <c r="W166" s="244">
        <v>90.57</v>
      </c>
      <c r="X166" s="240"/>
    </row>
    <row r="167" spans="1:24" ht="12">
      <c r="A167" s="589" t="s">
        <v>35</v>
      </c>
      <c r="B167" s="589"/>
      <c r="C167" s="589"/>
      <c r="D167" s="589" t="s">
        <v>248</v>
      </c>
      <c r="E167" s="589"/>
      <c r="F167" s="589"/>
      <c r="G167" s="243" t="s">
        <v>226</v>
      </c>
      <c r="H167" s="589" t="s">
        <v>249</v>
      </c>
      <c r="I167" s="589"/>
      <c r="J167" s="587">
        <v>1366</v>
      </c>
      <c r="K167" s="587"/>
      <c r="L167" s="587"/>
      <c r="M167" s="587"/>
      <c r="N167" s="587">
        <v>1366</v>
      </c>
      <c r="O167" s="587"/>
      <c r="P167" s="257">
        <v>0</v>
      </c>
      <c r="Q167" s="257"/>
      <c r="R167" s="257"/>
      <c r="S167" s="587">
        <v>1366</v>
      </c>
      <c r="T167" s="587"/>
      <c r="U167" s="588">
        <v>0</v>
      </c>
      <c r="V167" s="588"/>
      <c r="W167" s="244">
        <v>100</v>
      </c>
      <c r="X167" s="240"/>
    </row>
    <row r="168" spans="1:24" ht="10.5">
      <c r="A168" s="245"/>
      <c r="B168" s="245"/>
      <c r="C168" s="245"/>
      <c r="D168" s="245"/>
      <c r="E168" s="245"/>
      <c r="F168" s="245"/>
      <c r="G168" s="245"/>
      <c r="H168" s="245"/>
      <c r="I168" s="245"/>
      <c r="J168" s="245"/>
      <c r="K168" s="245"/>
      <c r="L168" s="245"/>
      <c r="M168" s="245"/>
      <c r="N168" s="245"/>
      <c r="O168" s="245"/>
      <c r="P168" s="245"/>
      <c r="Q168" s="245"/>
      <c r="R168" s="245"/>
      <c r="S168" s="245"/>
      <c r="T168" s="245"/>
      <c r="U168" s="245"/>
      <c r="V168" s="245"/>
      <c r="W168" s="245"/>
      <c r="X168" s="240"/>
    </row>
    <row r="169" spans="1:24" ht="12" thickBot="1">
      <c r="A169" s="240"/>
      <c r="B169" s="240"/>
      <c r="C169" s="240"/>
      <c r="D169" s="240"/>
      <c r="E169" s="240"/>
      <c r="F169" s="240"/>
      <c r="G169" s="240"/>
      <c r="H169" s="240"/>
      <c r="I169" s="240"/>
      <c r="J169" s="585">
        <v>11383</v>
      </c>
      <c r="K169" s="585"/>
      <c r="L169" s="585"/>
      <c r="M169" s="585"/>
      <c r="N169" s="585">
        <v>10437.99</v>
      </c>
      <c r="O169" s="585"/>
      <c r="P169" s="259">
        <v>945.01</v>
      </c>
      <c r="Q169" s="259"/>
      <c r="R169" s="259"/>
      <c r="S169" s="585">
        <v>10437.99</v>
      </c>
      <c r="T169" s="585"/>
      <c r="U169" s="585">
        <v>0</v>
      </c>
      <c r="V169" s="585"/>
      <c r="W169" s="240"/>
      <c r="X169" s="240"/>
    </row>
    <row r="170" spans="1:24" ht="11.25" thickTop="1">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0"/>
    </row>
    <row r="171" spans="1:24" ht="12">
      <c r="A171" s="586" t="s">
        <v>262</v>
      </c>
      <c r="B171" s="586"/>
      <c r="C171" s="586"/>
      <c r="D171" s="586"/>
      <c r="E171" s="586"/>
      <c r="F171" s="586"/>
      <c r="G171" s="586"/>
      <c r="H171" s="586"/>
      <c r="I171" s="240"/>
      <c r="J171" s="584">
        <v>11383</v>
      </c>
      <c r="K171" s="584"/>
      <c r="L171" s="584"/>
      <c r="M171" s="584"/>
      <c r="N171" s="584">
        <v>10437.99</v>
      </c>
      <c r="O171" s="584"/>
      <c r="P171" s="258">
        <v>945.01</v>
      </c>
      <c r="Q171" s="258"/>
      <c r="R171" s="258"/>
      <c r="S171" s="584">
        <v>10437.99</v>
      </c>
      <c r="T171" s="584"/>
      <c r="U171" s="584">
        <v>0</v>
      </c>
      <c r="V171" s="584"/>
      <c r="W171" s="240"/>
      <c r="X171" s="240"/>
    </row>
    <row r="172" spans="1:24" ht="12">
      <c r="A172" s="558" t="s">
        <v>211</v>
      </c>
      <c r="B172" s="558"/>
      <c r="C172" s="590" t="s">
        <v>263</v>
      </c>
      <c r="D172" s="590"/>
      <c r="E172" s="590"/>
      <c r="F172" s="590"/>
      <c r="G172" s="590"/>
      <c r="H172" s="590"/>
      <c r="I172" s="590"/>
      <c r="J172" s="590"/>
      <c r="K172" s="590"/>
      <c r="L172" s="240"/>
      <c r="M172" s="240"/>
      <c r="N172" s="240"/>
      <c r="O172" s="240"/>
      <c r="P172" s="240"/>
      <c r="Q172" s="240"/>
      <c r="R172" s="240"/>
      <c r="S172" s="240"/>
      <c r="T172" s="240"/>
      <c r="U172" s="240"/>
      <c r="V172" s="240"/>
      <c r="W172" s="240"/>
      <c r="X172" s="240"/>
    </row>
    <row r="173" spans="1:24" ht="10.5">
      <c r="A173" s="558"/>
      <c r="B173" s="558"/>
      <c r="C173" s="240"/>
      <c r="D173" s="240"/>
      <c r="E173" s="240"/>
      <c r="F173" s="240"/>
      <c r="G173" s="240"/>
      <c r="H173" s="240"/>
      <c r="I173" s="240"/>
      <c r="J173" s="240"/>
      <c r="K173" s="240"/>
      <c r="L173" s="240"/>
      <c r="M173" s="240"/>
      <c r="N173" s="240"/>
      <c r="O173" s="240"/>
      <c r="P173" s="240"/>
      <c r="Q173" s="240"/>
      <c r="R173" s="240"/>
      <c r="S173" s="240"/>
      <c r="T173" s="240"/>
      <c r="U173" s="240"/>
      <c r="V173" s="240"/>
      <c r="W173" s="240"/>
      <c r="X173" s="240"/>
    </row>
    <row r="174" spans="1:24" ht="12">
      <c r="A174" s="240"/>
      <c r="B174" s="558" t="s">
        <v>213</v>
      </c>
      <c r="C174" s="558"/>
      <c r="D174" s="590" t="s">
        <v>235</v>
      </c>
      <c r="E174" s="590"/>
      <c r="F174" s="590"/>
      <c r="G174" s="590"/>
      <c r="H174" s="590"/>
      <c r="I174" s="590"/>
      <c r="J174" s="590"/>
      <c r="K174" s="590"/>
      <c r="L174" s="590"/>
      <c r="M174" s="590"/>
      <c r="N174" s="240"/>
      <c r="O174" s="240"/>
      <c r="P174" s="240"/>
      <c r="Q174" s="240"/>
      <c r="R174" s="240"/>
      <c r="S174" s="240"/>
      <c r="T174" s="240"/>
      <c r="U174" s="240"/>
      <c r="V174" s="240"/>
      <c r="W174" s="240"/>
      <c r="X174" s="240"/>
    </row>
    <row r="175" spans="1:24" ht="10.5" customHeight="1">
      <c r="A175" s="558" t="s">
        <v>215</v>
      </c>
      <c r="B175" s="558"/>
      <c r="C175" s="240"/>
      <c r="D175" s="240"/>
      <c r="E175" s="591" t="s">
        <v>216</v>
      </c>
      <c r="F175" s="591"/>
      <c r="G175" s="591"/>
      <c r="H175" s="591"/>
      <c r="I175" s="591"/>
      <c r="J175" s="586" t="s">
        <v>5</v>
      </c>
      <c r="K175" s="586"/>
      <c r="L175" s="586"/>
      <c r="M175" s="586"/>
      <c r="N175" s="586" t="s">
        <v>217</v>
      </c>
      <c r="O175" s="586"/>
      <c r="P175" s="561" t="s">
        <v>218</v>
      </c>
      <c r="Q175" s="561"/>
      <c r="R175" s="240"/>
      <c r="S175" s="586" t="s">
        <v>219</v>
      </c>
      <c r="T175" s="586"/>
      <c r="U175" s="240"/>
      <c r="V175" s="241" t="s">
        <v>220</v>
      </c>
      <c r="W175" s="241" t="s">
        <v>221</v>
      </c>
      <c r="X175" s="240"/>
    </row>
    <row r="176" spans="1:24" ht="12">
      <c r="A176" s="558"/>
      <c r="B176" s="558"/>
      <c r="C176" s="240"/>
      <c r="D176" s="240"/>
      <c r="E176" s="558" t="s">
        <v>222</v>
      </c>
      <c r="F176" s="558"/>
      <c r="G176" s="558"/>
      <c r="H176" s="558"/>
      <c r="I176" s="558"/>
      <c r="J176" s="561" t="s">
        <v>223</v>
      </c>
      <c r="K176" s="561"/>
      <c r="L176" s="561"/>
      <c r="M176" s="561"/>
      <c r="N176" s="561" t="s">
        <v>224</v>
      </c>
      <c r="O176" s="561"/>
      <c r="P176" s="561"/>
      <c r="Q176" s="561"/>
      <c r="R176" s="240"/>
      <c r="S176" s="561" t="s">
        <v>224</v>
      </c>
      <c r="T176" s="561"/>
      <c r="U176" s="240"/>
      <c r="V176" s="242" t="s">
        <v>115</v>
      </c>
      <c r="W176" s="242" t="s">
        <v>219</v>
      </c>
      <c r="X176" s="240"/>
    </row>
    <row r="177" spans="1:24" ht="12">
      <c r="A177" s="589" t="s">
        <v>36</v>
      </c>
      <c r="B177" s="589"/>
      <c r="C177" s="589"/>
      <c r="D177" s="589" t="s">
        <v>248</v>
      </c>
      <c r="E177" s="589"/>
      <c r="F177" s="589"/>
      <c r="G177" s="243" t="s">
        <v>226</v>
      </c>
      <c r="H177" s="589" t="s">
        <v>249</v>
      </c>
      <c r="I177" s="589"/>
      <c r="J177" s="587">
        <v>34080</v>
      </c>
      <c r="K177" s="587"/>
      <c r="L177" s="587"/>
      <c r="M177" s="587"/>
      <c r="N177" s="587">
        <v>30597</v>
      </c>
      <c r="O177" s="587"/>
      <c r="P177" s="256">
        <v>3483</v>
      </c>
      <c r="Q177" s="256"/>
      <c r="R177" s="256"/>
      <c r="S177" s="587">
        <v>30597</v>
      </c>
      <c r="T177" s="587"/>
      <c r="U177" s="588">
        <v>0</v>
      </c>
      <c r="V177" s="588"/>
      <c r="W177" s="244">
        <v>89.78</v>
      </c>
      <c r="X177" s="240"/>
    </row>
    <row r="178" spans="1:24" ht="12">
      <c r="A178" s="589" t="s">
        <v>37</v>
      </c>
      <c r="B178" s="589"/>
      <c r="C178" s="589"/>
      <c r="D178" s="589" t="s">
        <v>248</v>
      </c>
      <c r="E178" s="589"/>
      <c r="F178" s="589"/>
      <c r="G178" s="243" t="s">
        <v>226</v>
      </c>
      <c r="H178" s="589" t="s">
        <v>249</v>
      </c>
      <c r="I178" s="589"/>
      <c r="J178" s="587">
        <v>23987.49</v>
      </c>
      <c r="K178" s="587"/>
      <c r="L178" s="587"/>
      <c r="M178" s="587"/>
      <c r="N178" s="587">
        <v>12011.15</v>
      </c>
      <c r="O178" s="587"/>
      <c r="P178" s="256">
        <v>11976.34</v>
      </c>
      <c r="Q178" s="256"/>
      <c r="R178" s="256"/>
      <c r="S178" s="587">
        <v>12367.01</v>
      </c>
      <c r="T178" s="587"/>
      <c r="U178" s="588">
        <v>-355.86</v>
      </c>
      <c r="V178" s="588"/>
      <c r="W178" s="244">
        <v>51.56</v>
      </c>
      <c r="X178" s="240"/>
    </row>
    <row r="179" spans="1:24" ht="12">
      <c r="A179" s="589" t="s">
        <v>31</v>
      </c>
      <c r="B179" s="589"/>
      <c r="C179" s="589"/>
      <c r="D179" s="589" t="s">
        <v>248</v>
      </c>
      <c r="E179" s="589"/>
      <c r="F179" s="589"/>
      <c r="G179" s="243" t="s">
        <v>226</v>
      </c>
      <c r="H179" s="589" t="s">
        <v>249</v>
      </c>
      <c r="I179" s="589"/>
      <c r="J179" s="587">
        <v>11860</v>
      </c>
      <c r="K179" s="587"/>
      <c r="L179" s="587"/>
      <c r="M179" s="587"/>
      <c r="N179" s="587">
        <v>1464</v>
      </c>
      <c r="O179" s="587"/>
      <c r="P179" s="256">
        <v>10396</v>
      </c>
      <c r="Q179" s="256"/>
      <c r="R179" s="256"/>
      <c r="S179" s="587">
        <v>3895</v>
      </c>
      <c r="T179" s="587"/>
      <c r="U179" s="588">
        <v>-2431</v>
      </c>
      <c r="V179" s="588"/>
      <c r="W179" s="244">
        <v>32.84</v>
      </c>
      <c r="X179" s="240"/>
    </row>
    <row r="180" spans="1:24" ht="12">
      <c r="A180" s="589" t="s">
        <v>32</v>
      </c>
      <c r="B180" s="589"/>
      <c r="C180" s="589"/>
      <c r="D180" s="589" t="s">
        <v>248</v>
      </c>
      <c r="E180" s="589"/>
      <c r="F180" s="589"/>
      <c r="G180" s="243" t="s">
        <v>226</v>
      </c>
      <c r="H180" s="589" t="s">
        <v>249</v>
      </c>
      <c r="I180" s="589"/>
      <c r="J180" s="587">
        <v>11984</v>
      </c>
      <c r="K180" s="587"/>
      <c r="L180" s="587"/>
      <c r="M180" s="587"/>
      <c r="N180" s="587">
        <v>6089</v>
      </c>
      <c r="O180" s="587"/>
      <c r="P180" s="256">
        <v>5895</v>
      </c>
      <c r="Q180" s="256"/>
      <c r="R180" s="256"/>
      <c r="S180" s="587">
        <v>6289</v>
      </c>
      <c r="T180" s="587"/>
      <c r="U180" s="588">
        <v>-200</v>
      </c>
      <c r="V180" s="588"/>
      <c r="W180" s="244">
        <v>52.48</v>
      </c>
      <c r="X180" s="240"/>
    </row>
    <row r="181" spans="1:24" ht="12">
      <c r="A181" s="589" t="s">
        <v>38</v>
      </c>
      <c r="B181" s="589"/>
      <c r="C181" s="589"/>
      <c r="D181" s="589" t="s">
        <v>248</v>
      </c>
      <c r="E181" s="589"/>
      <c r="F181" s="589"/>
      <c r="G181" s="243" t="s">
        <v>226</v>
      </c>
      <c r="H181" s="589" t="s">
        <v>249</v>
      </c>
      <c r="I181" s="589"/>
      <c r="J181" s="587">
        <v>5522</v>
      </c>
      <c r="K181" s="587"/>
      <c r="L181" s="587"/>
      <c r="M181" s="587"/>
      <c r="N181" s="587">
        <v>5069</v>
      </c>
      <c r="O181" s="587"/>
      <c r="P181" s="257">
        <v>453</v>
      </c>
      <c r="Q181" s="257"/>
      <c r="R181" s="257"/>
      <c r="S181" s="587">
        <v>5209</v>
      </c>
      <c r="T181" s="587"/>
      <c r="U181" s="588">
        <v>-140</v>
      </c>
      <c r="V181" s="588"/>
      <c r="W181" s="244">
        <v>94.33</v>
      </c>
      <c r="X181" s="240"/>
    </row>
    <row r="182" spans="1:24" ht="10.5">
      <c r="A182" s="245"/>
      <c r="B182" s="245"/>
      <c r="C182" s="245"/>
      <c r="D182" s="245"/>
      <c r="E182" s="245"/>
      <c r="F182" s="245"/>
      <c r="G182" s="245"/>
      <c r="H182" s="245"/>
      <c r="I182" s="245"/>
      <c r="J182" s="245"/>
      <c r="K182" s="245"/>
      <c r="L182" s="245"/>
      <c r="M182" s="245"/>
      <c r="N182" s="245"/>
      <c r="O182" s="245"/>
      <c r="P182" s="245"/>
      <c r="Q182" s="245"/>
      <c r="R182" s="245"/>
      <c r="S182" s="245"/>
      <c r="T182" s="245"/>
      <c r="U182" s="245"/>
      <c r="V182" s="245"/>
      <c r="W182" s="245"/>
      <c r="X182" s="240"/>
    </row>
    <row r="183" spans="1:24" ht="12" thickBot="1">
      <c r="A183" s="240"/>
      <c r="B183" s="240"/>
      <c r="C183" s="240"/>
      <c r="D183" s="240"/>
      <c r="E183" s="240"/>
      <c r="F183" s="240"/>
      <c r="G183" s="240"/>
      <c r="H183" s="240"/>
      <c r="I183" s="240"/>
      <c r="J183" s="585">
        <v>87433.49</v>
      </c>
      <c r="K183" s="585"/>
      <c r="L183" s="585"/>
      <c r="M183" s="585"/>
      <c r="N183" s="585">
        <v>55230.15</v>
      </c>
      <c r="O183" s="585"/>
      <c r="P183" s="259">
        <v>32203.34</v>
      </c>
      <c r="Q183" s="259"/>
      <c r="R183" s="259"/>
      <c r="S183" s="585">
        <v>58357.01</v>
      </c>
      <c r="T183" s="585"/>
      <c r="U183" s="585">
        <v>-3126.86</v>
      </c>
      <c r="V183" s="585"/>
      <c r="W183" s="240"/>
      <c r="X183" s="240"/>
    </row>
    <row r="184" spans="1:24" ht="11.25" thickTop="1">
      <c r="A184" s="246"/>
      <c r="B184" s="246"/>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0"/>
    </row>
    <row r="185" spans="1:24" ht="12">
      <c r="A185" s="586" t="s">
        <v>264</v>
      </c>
      <c r="B185" s="586"/>
      <c r="C185" s="586"/>
      <c r="D185" s="586"/>
      <c r="E185" s="586"/>
      <c r="F185" s="586"/>
      <c r="G185" s="586"/>
      <c r="H185" s="586"/>
      <c r="I185" s="240"/>
      <c r="J185" s="584">
        <v>87433.49</v>
      </c>
      <c r="K185" s="584"/>
      <c r="L185" s="584"/>
      <c r="M185" s="584"/>
      <c r="N185" s="584">
        <v>55230.15</v>
      </c>
      <c r="O185" s="584"/>
      <c r="P185" s="258">
        <v>32203.34</v>
      </c>
      <c r="Q185" s="258"/>
      <c r="R185" s="258"/>
      <c r="S185" s="584">
        <v>58357.01</v>
      </c>
      <c r="T185" s="584"/>
      <c r="U185" s="584">
        <v>-3126.86</v>
      </c>
      <c r="V185" s="584"/>
      <c r="W185" s="240"/>
      <c r="X185" s="240"/>
    </row>
    <row r="187" spans="14:16" ht="10.5">
      <c r="N187" s="48" t="s">
        <v>286</v>
      </c>
      <c r="P187" s="286">
        <f>P39+P95+P135</f>
        <v>2263129.65</v>
      </c>
    </row>
    <row r="189" spans="14:16" ht="10.5">
      <c r="N189" s="48" t="s">
        <v>267</v>
      </c>
      <c r="P189" s="286">
        <f>P63+P160+P185</f>
        <v>4601516.87</v>
      </c>
    </row>
    <row r="191" spans="14:16" ht="10.5">
      <c r="N191" s="48" t="s">
        <v>306</v>
      </c>
      <c r="P191" s="286">
        <f>P171</f>
        <v>945.01</v>
      </c>
    </row>
    <row r="193" spans="14:16" ht="10.5">
      <c r="N193" s="48" t="s">
        <v>5</v>
      </c>
      <c r="P193" s="286">
        <f>SUM(P187:P191)</f>
        <v>6865591.529999999</v>
      </c>
    </row>
  </sheetData>
  <sheetProtection/>
  <mergeCells count="902">
    <mergeCell ref="A4:B5"/>
    <mergeCell ref="C4:K4"/>
    <mergeCell ref="B6:C6"/>
    <mergeCell ref="D6:M6"/>
    <mergeCell ref="A7:B7"/>
    <mergeCell ref="E7:I7"/>
    <mergeCell ref="J7:M7"/>
    <mergeCell ref="N7:O7"/>
    <mergeCell ref="P7:Q7"/>
    <mergeCell ref="S7:T7"/>
    <mergeCell ref="A8:B8"/>
    <mergeCell ref="E8:I8"/>
    <mergeCell ref="J8:M8"/>
    <mergeCell ref="N8:O8"/>
    <mergeCell ref="P8:Q8"/>
    <mergeCell ref="S8:T8"/>
    <mergeCell ref="S9:T9"/>
    <mergeCell ref="U9:V9"/>
    <mergeCell ref="A10:C10"/>
    <mergeCell ref="D10:F10"/>
    <mergeCell ref="H10:I10"/>
    <mergeCell ref="J10:M10"/>
    <mergeCell ref="N10:O10"/>
    <mergeCell ref="S10:T10"/>
    <mergeCell ref="U10:V10"/>
    <mergeCell ref="A9:C9"/>
    <mergeCell ref="D9:F9"/>
    <mergeCell ref="H9:I9"/>
    <mergeCell ref="J9:M9"/>
    <mergeCell ref="N9:O9"/>
    <mergeCell ref="S11:T11"/>
    <mergeCell ref="U11:V11"/>
    <mergeCell ref="A12:C12"/>
    <mergeCell ref="D12:F12"/>
    <mergeCell ref="H12:I12"/>
    <mergeCell ref="J12:M12"/>
    <mergeCell ref="N12:O12"/>
    <mergeCell ref="S12:T12"/>
    <mergeCell ref="U12:V12"/>
    <mergeCell ref="A11:C11"/>
    <mergeCell ref="D11:F11"/>
    <mergeCell ref="H11:I11"/>
    <mergeCell ref="J11:M11"/>
    <mergeCell ref="N11:O11"/>
    <mergeCell ref="S13:T13"/>
    <mergeCell ref="U13:V13"/>
    <mergeCell ref="A14:C14"/>
    <mergeCell ref="D14:F14"/>
    <mergeCell ref="H14:I14"/>
    <mergeCell ref="J14:M14"/>
    <mergeCell ref="N14:O14"/>
    <mergeCell ref="S14:T14"/>
    <mergeCell ref="U14:V14"/>
    <mergeCell ref="A13:C13"/>
    <mergeCell ref="D13:F13"/>
    <mergeCell ref="H13:I13"/>
    <mergeCell ref="J13:M13"/>
    <mergeCell ref="N13:O13"/>
    <mergeCell ref="S15:T15"/>
    <mergeCell ref="U15:V15"/>
    <mergeCell ref="A16:C16"/>
    <mergeCell ref="D16:F16"/>
    <mergeCell ref="H16:I16"/>
    <mergeCell ref="J16:M16"/>
    <mergeCell ref="N16:O16"/>
    <mergeCell ref="S16:T16"/>
    <mergeCell ref="U16:V16"/>
    <mergeCell ref="A15:C15"/>
    <mergeCell ref="D15:F15"/>
    <mergeCell ref="H15:I15"/>
    <mergeCell ref="J15:M15"/>
    <mergeCell ref="N15:O15"/>
    <mergeCell ref="S17:T17"/>
    <mergeCell ref="U17:V17"/>
    <mergeCell ref="A18:C18"/>
    <mergeCell ref="D18:F18"/>
    <mergeCell ref="H18:I18"/>
    <mergeCell ref="J18:M18"/>
    <mergeCell ref="N18:O18"/>
    <mergeCell ref="S18:T18"/>
    <mergeCell ref="U18:V18"/>
    <mergeCell ref="A17:C17"/>
    <mergeCell ref="D17:F17"/>
    <mergeCell ref="H17:I17"/>
    <mergeCell ref="J17:M17"/>
    <mergeCell ref="N17:O17"/>
    <mergeCell ref="S19:T19"/>
    <mergeCell ref="U19:V19"/>
    <mergeCell ref="J21:M21"/>
    <mergeCell ref="N21:O21"/>
    <mergeCell ref="S21:T21"/>
    <mergeCell ref="U21:V21"/>
    <mergeCell ref="A19:C19"/>
    <mergeCell ref="D19:F19"/>
    <mergeCell ref="H19:I19"/>
    <mergeCell ref="J19:M19"/>
    <mergeCell ref="N19:O19"/>
    <mergeCell ref="P23:Q23"/>
    <mergeCell ref="S23:T23"/>
    <mergeCell ref="A24:B24"/>
    <mergeCell ref="E24:I24"/>
    <mergeCell ref="J24:M24"/>
    <mergeCell ref="N24:O24"/>
    <mergeCell ref="P24:Q24"/>
    <mergeCell ref="S24:T24"/>
    <mergeCell ref="B22:C22"/>
    <mergeCell ref="D22:M22"/>
    <mergeCell ref="A23:B23"/>
    <mergeCell ref="E23:I23"/>
    <mergeCell ref="J23:M23"/>
    <mergeCell ref="N23:O23"/>
    <mergeCell ref="S25:T25"/>
    <mergeCell ref="U25:V25"/>
    <mergeCell ref="A26:C26"/>
    <mergeCell ref="D26:F26"/>
    <mergeCell ref="H26:I26"/>
    <mergeCell ref="J26:M26"/>
    <mergeCell ref="N26:O26"/>
    <mergeCell ref="S26:T26"/>
    <mergeCell ref="U26:V26"/>
    <mergeCell ref="A25:C25"/>
    <mergeCell ref="D25:F25"/>
    <mergeCell ref="H25:I25"/>
    <mergeCell ref="J25:M25"/>
    <mergeCell ref="N25:O25"/>
    <mergeCell ref="S27:T27"/>
    <mergeCell ref="U27:V27"/>
    <mergeCell ref="A28:C28"/>
    <mergeCell ref="D28:F28"/>
    <mergeCell ref="H28:I28"/>
    <mergeCell ref="J28:M28"/>
    <mergeCell ref="N28:O28"/>
    <mergeCell ref="S28:T28"/>
    <mergeCell ref="U28:V28"/>
    <mergeCell ref="A27:C27"/>
    <mergeCell ref="D27:F27"/>
    <mergeCell ref="H27:I27"/>
    <mergeCell ref="J27:M27"/>
    <mergeCell ref="N27:O27"/>
    <mergeCell ref="S29:T29"/>
    <mergeCell ref="U29:V29"/>
    <mergeCell ref="A30:C30"/>
    <mergeCell ref="D30:F30"/>
    <mergeCell ref="H30:I30"/>
    <mergeCell ref="J30:M30"/>
    <mergeCell ref="N30:O30"/>
    <mergeCell ref="S30:T30"/>
    <mergeCell ref="U30:V30"/>
    <mergeCell ref="A29:C29"/>
    <mergeCell ref="D29:F29"/>
    <mergeCell ref="H29:I29"/>
    <mergeCell ref="J29:M29"/>
    <mergeCell ref="N29:O29"/>
    <mergeCell ref="S31:T31"/>
    <mergeCell ref="U31:V31"/>
    <mergeCell ref="A32:C32"/>
    <mergeCell ref="D32:F32"/>
    <mergeCell ref="H32:I32"/>
    <mergeCell ref="J32:M32"/>
    <mergeCell ref="N32:O32"/>
    <mergeCell ref="S32:T32"/>
    <mergeCell ref="U32:V32"/>
    <mergeCell ref="A31:C31"/>
    <mergeCell ref="D31:F31"/>
    <mergeCell ref="H31:I31"/>
    <mergeCell ref="J31:M31"/>
    <mergeCell ref="N31:O31"/>
    <mergeCell ref="A35:C35"/>
    <mergeCell ref="D35:F35"/>
    <mergeCell ref="H35:I35"/>
    <mergeCell ref="J35:M35"/>
    <mergeCell ref="N35:O35"/>
    <mergeCell ref="S33:T33"/>
    <mergeCell ref="U33:V33"/>
    <mergeCell ref="A34:C34"/>
    <mergeCell ref="D34:F34"/>
    <mergeCell ref="H34:I34"/>
    <mergeCell ref="J34:M34"/>
    <mergeCell ref="N34:O34"/>
    <mergeCell ref="S34:T34"/>
    <mergeCell ref="U34:V34"/>
    <mergeCell ref="A33:C33"/>
    <mergeCell ref="D33:F33"/>
    <mergeCell ref="H33:I33"/>
    <mergeCell ref="J33:M33"/>
    <mergeCell ref="N33:O33"/>
    <mergeCell ref="N39:O39"/>
    <mergeCell ref="S39:T39"/>
    <mergeCell ref="U39:V39"/>
    <mergeCell ref="S35:T35"/>
    <mergeCell ref="U35:V35"/>
    <mergeCell ref="J37:M37"/>
    <mergeCell ref="N37:O37"/>
    <mergeCell ref="S37:T37"/>
    <mergeCell ref="U37:V37"/>
    <mergeCell ref="A40:B41"/>
    <mergeCell ref="C40:K40"/>
    <mergeCell ref="B42:C42"/>
    <mergeCell ref="D42:M42"/>
    <mergeCell ref="A43:B43"/>
    <mergeCell ref="E43:I43"/>
    <mergeCell ref="J43:M43"/>
    <mergeCell ref="A39:H39"/>
    <mergeCell ref="J39:M39"/>
    <mergeCell ref="N43:O43"/>
    <mergeCell ref="P43:Q43"/>
    <mergeCell ref="S43:T43"/>
    <mergeCell ref="A44:B44"/>
    <mergeCell ref="E44:I44"/>
    <mergeCell ref="J44:M44"/>
    <mergeCell ref="N44:O44"/>
    <mergeCell ref="P44:Q44"/>
    <mergeCell ref="S44:T44"/>
    <mergeCell ref="S45:T45"/>
    <mergeCell ref="U45:V45"/>
    <mergeCell ref="A46:C46"/>
    <mergeCell ref="D46:F46"/>
    <mergeCell ref="H46:I46"/>
    <mergeCell ref="J46:M46"/>
    <mergeCell ref="N46:O46"/>
    <mergeCell ref="S46:T46"/>
    <mergeCell ref="U46:V46"/>
    <mergeCell ref="A45:C45"/>
    <mergeCell ref="D45:F45"/>
    <mergeCell ref="H45:I45"/>
    <mergeCell ref="J45:M45"/>
    <mergeCell ref="N45:O45"/>
    <mergeCell ref="S47:T47"/>
    <mergeCell ref="U47:V47"/>
    <mergeCell ref="A48:C48"/>
    <mergeCell ref="D48:F48"/>
    <mergeCell ref="H48:I48"/>
    <mergeCell ref="J48:M48"/>
    <mergeCell ref="N48:O48"/>
    <mergeCell ref="S48:T48"/>
    <mergeCell ref="U48:V48"/>
    <mergeCell ref="A47:C47"/>
    <mergeCell ref="D47:F47"/>
    <mergeCell ref="H47:I47"/>
    <mergeCell ref="J47:M47"/>
    <mergeCell ref="N47:O47"/>
    <mergeCell ref="S49:T49"/>
    <mergeCell ref="U49:V49"/>
    <mergeCell ref="J51:M51"/>
    <mergeCell ref="N51:O51"/>
    <mergeCell ref="S51:T51"/>
    <mergeCell ref="U51:V51"/>
    <mergeCell ref="A49:C49"/>
    <mergeCell ref="D49:F49"/>
    <mergeCell ref="H49:I49"/>
    <mergeCell ref="J49:M49"/>
    <mergeCell ref="N49:O49"/>
    <mergeCell ref="P53:Q53"/>
    <mergeCell ref="S53:T53"/>
    <mergeCell ref="A54:B54"/>
    <mergeCell ref="E54:I54"/>
    <mergeCell ref="J54:M54"/>
    <mergeCell ref="N54:O54"/>
    <mergeCell ref="P54:Q54"/>
    <mergeCell ref="S54:T54"/>
    <mergeCell ref="B52:C52"/>
    <mergeCell ref="D52:M52"/>
    <mergeCell ref="A53:B53"/>
    <mergeCell ref="E53:I53"/>
    <mergeCell ref="J53:M53"/>
    <mergeCell ref="N53:O53"/>
    <mergeCell ref="S55:T55"/>
    <mergeCell ref="U55:V55"/>
    <mergeCell ref="A56:C56"/>
    <mergeCell ref="D56:F56"/>
    <mergeCell ref="H56:I56"/>
    <mergeCell ref="J56:M56"/>
    <mergeCell ref="N56:O56"/>
    <mergeCell ref="S56:T56"/>
    <mergeCell ref="U56:V56"/>
    <mergeCell ref="A55:C55"/>
    <mergeCell ref="D55:F55"/>
    <mergeCell ref="H55:I55"/>
    <mergeCell ref="J55:M55"/>
    <mergeCell ref="N55:O55"/>
    <mergeCell ref="A59:C59"/>
    <mergeCell ref="D59:F59"/>
    <mergeCell ref="H59:I59"/>
    <mergeCell ref="J59:M59"/>
    <mergeCell ref="N59:O59"/>
    <mergeCell ref="S57:T57"/>
    <mergeCell ref="U57:V57"/>
    <mergeCell ref="A58:C58"/>
    <mergeCell ref="D58:F58"/>
    <mergeCell ref="H58:I58"/>
    <mergeCell ref="J58:M58"/>
    <mergeCell ref="N58:O58"/>
    <mergeCell ref="S58:T58"/>
    <mergeCell ref="U58:V58"/>
    <mergeCell ref="A57:C57"/>
    <mergeCell ref="D57:F57"/>
    <mergeCell ref="H57:I57"/>
    <mergeCell ref="J57:M57"/>
    <mergeCell ref="N57:O57"/>
    <mergeCell ref="N63:O63"/>
    <mergeCell ref="S63:T63"/>
    <mergeCell ref="U63:V63"/>
    <mergeCell ref="S59:T59"/>
    <mergeCell ref="U59:V59"/>
    <mergeCell ref="J61:M61"/>
    <mergeCell ref="N61:O61"/>
    <mergeCell ref="S61:T61"/>
    <mergeCell ref="U61:V61"/>
    <mergeCell ref="A64:B65"/>
    <mergeCell ref="C64:K64"/>
    <mergeCell ref="B66:C66"/>
    <mergeCell ref="D66:M66"/>
    <mergeCell ref="A67:B67"/>
    <mergeCell ref="E67:I67"/>
    <mergeCell ref="J67:M67"/>
    <mergeCell ref="A63:H63"/>
    <mergeCell ref="J63:M63"/>
    <mergeCell ref="A69:C69"/>
    <mergeCell ref="D69:F69"/>
    <mergeCell ref="H69:I69"/>
    <mergeCell ref="J69:M69"/>
    <mergeCell ref="N69:O69"/>
    <mergeCell ref="N67:O67"/>
    <mergeCell ref="P67:Q67"/>
    <mergeCell ref="S67:T67"/>
    <mergeCell ref="A68:B68"/>
    <mergeCell ref="E68:I68"/>
    <mergeCell ref="J68:M68"/>
    <mergeCell ref="N68:O68"/>
    <mergeCell ref="P68:Q68"/>
    <mergeCell ref="S68:T68"/>
    <mergeCell ref="N73:O73"/>
    <mergeCell ref="S73:T73"/>
    <mergeCell ref="U73:V73"/>
    <mergeCell ref="S69:T69"/>
    <mergeCell ref="U69:V69"/>
    <mergeCell ref="J71:M71"/>
    <mergeCell ref="N71:O71"/>
    <mergeCell ref="S71:T71"/>
    <mergeCell ref="U71:V71"/>
    <mergeCell ref="A74:B75"/>
    <mergeCell ref="C74:K74"/>
    <mergeCell ref="B76:C76"/>
    <mergeCell ref="D76:M76"/>
    <mergeCell ref="A77:B77"/>
    <mergeCell ref="E77:I77"/>
    <mergeCell ref="J77:M77"/>
    <mergeCell ref="A73:H73"/>
    <mergeCell ref="J73:M73"/>
    <mergeCell ref="N77:O77"/>
    <mergeCell ref="P77:Q77"/>
    <mergeCell ref="S77:T77"/>
    <mergeCell ref="A78:B78"/>
    <mergeCell ref="E78:I78"/>
    <mergeCell ref="J78:M78"/>
    <mergeCell ref="N78:O78"/>
    <mergeCell ref="P78:Q78"/>
    <mergeCell ref="S78:T78"/>
    <mergeCell ref="S79:T79"/>
    <mergeCell ref="U79:V79"/>
    <mergeCell ref="A80:C80"/>
    <mergeCell ref="D80:F80"/>
    <mergeCell ref="H80:I80"/>
    <mergeCell ref="J80:M80"/>
    <mergeCell ref="N80:O80"/>
    <mergeCell ref="S80:T80"/>
    <mergeCell ref="U80:V80"/>
    <mergeCell ref="A79:C79"/>
    <mergeCell ref="D79:F79"/>
    <mergeCell ref="H79:I79"/>
    <mergeCell ref="J79:M79"/>
    <mergeCell ref="N79:O79"/>
    <mergeCell ref="S81:T81"/>
    <mergeCell ref="U81:V81"/>
    <mergeCell ref="A82:C82"/>
    <mergeCell ref="D82:F82"/>
    <mergeCell ref="H82:I82"/>
    <mergeCell ref="J82:M82"/>
    <mergeCell ref="N82:O82"/>
    <mergeCell ref="S82:T82"/>
    <mergeCell ref="U82:V82"/>
    <mergeCell ref="A81:C81"/>
    <mergeCell ref="D81:F81"/>
    <mergeCell ref="H81:I81"/>
    <mergeCell ref="J81:M81"/>
    <mergeCell ref="N81:O81"/>
    <mergeCell ref="S83:T83"/>
    <mergeCell ref="U83:V83"/>
    <mergeCell ref="A84:C84"/>
    <mergeCell ref="D84:F84"/>
    <mergeCell ref="H84:I84"/>
    <mergeCell ref="J84:M84"/>
    <mergeCell ref="N84:O84"/>
    <mergeCell ref="S84:T84"/>
    <mergeCell ref="U84:V84"/>
    <mergeCell ref="A83:C83"/>
    <mergeCell ref="D83:F83"/>
    <mergeCell ref="H83:I83"/>
    <mergeCell ref="J83:M83"/>
    <mergeCell ref="N83:O83"/>
    <mergeCell ref="S85:T85"/>
    <mergeCell ref="U85:V85"/>
    <mergeCell ref="A86:C86"/>
    <mergeCell ref="D86:F86"/>
    <mergeCell ref="H86:I86"/>
    <mergeCell ref="J86:M86"/>
    <mergeCell ref="N86:O86"/>
    <mergeCell ref="S86:T86"/>
    <mergeCell ref="U86:V86"/>
    <mergeCell ref="A85:C85"/>
    <mergeCell ref="D85:F85"/>
    <mergeCell ref="H85:I85"/>
    <mergeCell ref="J85:M85"/>
    <mergeCell ref="N85:O85"/>
    <mergeCell ref="S87:T87"/>
    <mergeCell ref="U87:V87"/>
    <mergeCell ref="A88:C88"/>
    <mergeCell ref="D88:F88"/>
    <mergeCell ref="H88:I88"/>
    <mergeCell ref="J88:M88"/>
    <mergeCell ref="N88:O88"/>
    <mergeCell ref="S88:T88"/>
    <mergeCell ref="U88:V88"/>
    <mergeCell ref="A87:C87"/>
    <mergeCell ref="D87:F87"/>
    <mergeCell ref="H87:I87"/>
    <mergeCell ref="J87:M87"/>
    <mergeCell ref="N87:O87"/>
    <mergeCell ref="A91:C91"/>
    <mergeCell ref="D91:F91"/>
    <mergeCell ref="H91:I91"/>
    <mergeCell ref="J91:M91"/>
    <mergeCell ref="N91:O91"/>
    <mergeCell ref="S89:T89"/>
    <mergeCell ref="U89:V89"/>
    <mergeCell ref="A90:C90"/>
    <mergeCell ref="D90:F90"/>
    <mergeCell ref="H90:I90"/>
    <mergeCell ref="J90:M90"/>
    <mergeCell ref="N90:O90"/>
    <mergeCell ref="S90:T90"/>
    <mergeCell ref="U90:V90"/>
    <mergeCell ref="A89:C89"/>
    <mergeCell ref="D89:F89"/>
    <mergeCell ref="H89:I89"/>
    <mergeCell ref="J89:M89"/>
    <mergeCell ref="N89:O89"/>
    <mergeCell ref="N95:O95"/>
    <mergeCell ref="S95:T95"/>
    <mergeCell ref="U95:V95"/>
    <mergeCell ref="S91:T91"/>
    <mergeCell ref="U91:V91"/>
    <mergeCell ref="J93:M93"/>
    <mergeCell ref="N93:O93"/>
    <mergeCell ref="S93:T93"/>
    <mergeCell ref="U93:V93"/>
    <mergeCell ref="A96:B97"/>
    <mergeCell ref="C96:K96"/>
    <mergeCell ref="B98:C98"/>
    <mergeCell ref="D98:M98"/>
    <mergeCell ref="A99:B99"/>
    <mergeCell ref="E99:I99"/>
    <mergeCell ref="J99:M99"/>
    <mergeCell ref="A95:H95"/>
    <mergeCell ref="J95:M95"/>
    <mergeCell ref="N99:O99"/>
    <mergeCell ref="P99:Q99"/>
    <mergeCell ref="S99:T99"/>
    <mergeCell ref="A100:B100"/>
    <mergeCell ref="E100:I100"/>
    <mergeCell ref="J100:M100"/>
    <mergeCell ref="N100:O100"/>
    <mergeCell ref="P100:Q100"/>
    <mergeCell ref="S100:T100"/>
    <mergeCell ref="S101:T101"/>
    <mergeCell ref="U101:V101"/>
    <mergeCell ref="A102:C102"/>
    <mergeCell ref="D102:F102"/>
    <mergeCell ref="H102:I102"/>
    <mergeCell ref="J102:M102"/>
    <mergeCell ref="N102:O102"/>
    <mergeCell ref="S102:T102"/>
    <mergeCell ref="U102:V102"/>
    <mergeCell ref="A101:C101"/>
    <mergeCell ref="D101:F101"/>
    <mergeCell ref="H101:I101"/>
    <mergeCell ref="J101:M101"/>
    <mergeCell ref="N101:O101"/>
    <mergeCell ref="S103:T103"/>
    <mergeCell ref="U103:V103"/>
    <mergeCell ref="A104:C104"/>
    <mergeCell ref="D104:F104"/>
    <mergeCell ref="H104:I104"/>
    <mergeCell ref="J104:M104"/>
    <mergeCell ref="N104:O104"/>
    <mergeCell ref="S104:T104"/>
    <mergeCell ref="U104:V104"/>
    <mergeCell ref="A103:C103"/>
    <mergeCell ref="D103:F103"/>
    <mergeCell ref="H103:I103"/>
    <mergeCell ref="J103:M103"/>
    <mergeCell ref="N103:O103"/>
    <mergeCell ref="S105:T105"/>
    <mergeCell ref="U105:V105"/>
    <mergeCell ref="A106:C106"/>
    <mergeCell ref="D106:F106"/>
    <mergeCell ref="H106:I106"/>
    <mergeCell ref="J106:M106"/>
    <mergeCell ref="N106:O106"/>
    <mergeCell ref="S106:T106"/>
    <mergeCell ref="U106:V106"/>
    <mergeCell ref="A105:C105"/>
    <mergeCell ref="D105:F105"/>
    <mergeCell ref="H105:I105"/>
    <mergeCell ref="J105:M105"/>
    <mergeCell ref="N105:O105"/>
    <mergeCell ref="S107:T107"/>
    <mergeCell ref="U107:V107"/>
    <mergeCell ref="A108:C108"/>
    <mergeCell ref="D108:F108"/>
    <mergeCell ref="H108:I108"/>
    <mergeCell ref="J108:M108"/>
    <mergeCell ref="N108:O108"/>
    <mergeCell ref="S108:T108"/>
    <mergeCell ref="U108:V108"/>
    <mergeCell ref="A107:C107"/>
    <mergeCell ref="D107:F107"/>
    <mergeCell ref="H107:I107"/>
    <mergeCell ref="J107:M107"/>
    <mergeCell ref="N107:O107"/>
    <mergeCell ref="S109:T109"/>
    <mergeCell ref="U109:V109"/>
    <mergeCell ref="A110:C110"/>
    <mergeCell ref="D110:F110"/>
    <mergeCell ref="H110:I110"/>
    <mergeCell ref="J110:M110"/>
    <mergeCell ref="N110:O110"/>
    <mergeCell ref="S110:T110"/>
    <mergeCell ref="U110:V110"/>
    <mergeCell ref="A109:C109"/>
    <mergeCell ref="D109:F109"/>
    <mergeCell ref="H109:I109"/>
    <mergeCell ref="J109:M109"/>
    <mergeCell ref="N109:O109"/>
    <mergeCell ref="S111:T111"/>
    <mergeCell ref="U111:V111"/>
    <mergeCell ref="A112:C112"/>
    <mergeCell ref="D112:F112"/>
    <mergeCell ref="H112:I112"/>
    <mergeCell ref="J112:M112"/>
    <mergeCell ref="N112:O112"/>
    <mergeCell ref="S112:T112"/>
    <mergeCell ref="U112:V112"/>
    <mergeCell ref="A111:C111"/>
    <mergeCell ref="D111:F111"/>
    <mergeCell ref="H111:I111"/>
    <mergeCell ref="J111:M111"/>
    <mergeCell ref="N111:O111"/>
    <mergeCell ref="S113:T113"/>
    <mergeCell ref="U113:V113"/>
    <mergeCell ref="J115:M115"/>
    <mergeCell ref="N115:O115"/>
    <mergeCell ref="S115:T115"/>
    <mergeCell ref="U115:V115"/>
    <mergeCell ref="A113:C113"/>
    <mergeCell ref="D113:F113"/>
    <mergeCell ref="H113:I113"/>
    <mergeCell ref="J113:M113"/>
    <mergeCell ref="N113:O113"/>
    <mergeCell ref="P117:Q117"/>
    <mergeCell ref="S117:T117"/>
    <mergeCell ref="A118:B118"/>
    <mergeCell ref="E118:I118"/>
    <mergeCell ref="J118:M118"/>
    <mergeCell ref="N118:O118"/>
    <mergeCell ref="P118:Q118"/>
    <mergeCell ref="S118:T118"/>
    <mergeCell ref="B116:C116"/>
    <mergeCell ref="D116:M116"/>
    <mergeCell ref="A117:B117"/>
    <mergeCell ref="E117:I117"/>
    <mergeCell ref="J117:M117"/>
    <mergeCell ref="N117:O117"/>
    <mergeCell ref="S119:T119"/>
    <mergeCell ref="U119:V119"/>
    <mergeCell ref="A120:C120"/>
    <mergeCell ref="D120:F120"/>
    <mergeCell ref="H120:I120"/>
    <mergeCell ref="J120:M120"/>
    <mergeCell ref="N120:O120"/>
    <mergeCell ref="S120:T120"/>
    <mergeCell ref="U120:V120"/>
    <mergeCell ref="A119:C119"/>
    <mergeCell ref="D119:F119"/>
    <mergeCell ref="H119:I119"/>
    <mergeCell ref="J119:M119"/>
    <mergeCell ref="N119:O119"/>
    <mergeCell ref="S121:T121"/>
    <mergeCell ref="U121:V121"/>
    <mergeCell ref="A122:C122"/>
    <mergeCell ref="D122:F122"/>
    <mergeCell ref="H122:I122"/>
    <mergeCell ref="J122:M122"/>
    <mergeCell ref="N122:O122"/>
    <mergeCell ref="S122:T122"/>
    <mergeCell ref="U122:V122"/>
    <mergeCell ref="A121:C121"/>
    <mergeCell ref="D121:F121"/>
    <mergeCell ref="H121:I121"/>
    <mergeCell ref="J121:M121"/>
    <mergeCell ref="N121:O121"/>
    <mergeCell ref="S123:T123"/>
    <mergeCell ref="U123:V123"/>
    <mergeCell ref="A124:C124"/>
    <mergeCell ref="D124:F124"/>
    <mergeCell ref="H124:I124"/>
    <mergeCell ref="J124:M124"/>
    <mergeCell ref="N124:O124"/>
    <mergeCell ref="S124:T124"/>
    <mergeCell ref="U124:V124"/>
    <mergeCell ref="A123:C123"/>
    <mergeCell ref="D123:F123"/>
    <mergeCell ref="H123:I123"/>
    <mergeCell ref="J123:M123"/>
    <mergeCell ref="N123:O123"/>
    <mergeCell ref="S125:T125"/>
    <mergeCell ref="U125:V125"/>
    <mergeCell ref="A126:C126"/>
    <mergeCell ref="D126:F126"/>
    <mergeCell ref="H126:I126"/>
    <mergeCell ref="J126:M126"/>
    <mergeCell ref="N126:O126"/>
    <mergeCell ref="S126:T126"/>
    <mergeCell ref="U126:V126"/>
    <mergeCell ref="A125:C125"/>
    <mergeCell ref="D125:F125"/>
    <mergeCell ref="H125:I125"/>
    <mergeCell ref="J125:M125"/>
    <mergeCell ref="N125:O125"/>
    <mergeCell ref="S127:T127"/>
    <mergeCell ref="U127:V127"/>
    <mergeCell ref="A128:C128"/>
    <mergeCell ref="D128:F128"/>
    <mergeCell ref="H128:I128"/>
    <mergeCell ref="J128:M128"/>
    <mergeCell ref="N128:O128"/>
    <mergeCell ref="S128:T128"/>
    <mergeCell ref="U128:V128"/>
    <mergeCell ref="A127:C127"/>
    <mergeCell ref="D127:F127"/>
    <mergeCell ref="H127:I127"/>
    <mergeCell ref="J127:M127"/>
    <mergeCell ref="N127:O127"/>
    <mergeCell ref="A131:C131"/>
    <mergeCell ref="D131:F131"/>
    <mergeCell ref="H131:I131"/>
    <mergeCell ref="J131:M131"/>
    <mergeCell ref="N131:O131"/>
    <mergeCell ref="S129:T129"/>
    <mergeCell ref="U129:V129"/>
    <mergeCell ref="A130:C130"/>
    <mergeCell ref="D130:F130"/>
    <mergeCell ref="H130:I130"/>
    <mergeCell ref="J130:M130"/>
    <mergeCell ref="N130:O130"/>
    <mergeCell ref="S130:T130"/>
    <mergeCell ref="U130:V130"/>
    <mergeCell ref="A129:C129"/>
    <mergeCell ref="D129:F129"/>
    <mergeCell ref="H129:I129"/>
    <mergeCell ref="J129:M129"/>
    <mergeCell ref="N129:O129"/>
    <mergeCell ref="N135:O135"/>
    <mergeCell ref="S135:T135"/>
    <mergeCell ref="U135:V135"/>
    <mergeCell ref="S131:T131"/>
    <mergeCell ref="U131:V131"/>
    <mergeCell ref="J133:M133"/>
    <mergeCell ref="N133:O133"/>
    <mergeCell ref="S133:T133"/>
    <mergeCell ref="U133:V133"/>
    <mergeCell ref="A136:B137"/>
    <mergeCell ref="C136:K136"/>
    <mergeCell ref="B138:C138"/>
    <mergeCell ref="D138:M138"/>
    <mergeCell ref="A139:B139"/>
    <mergeCell ref="E139:I139"/>
    <mergeCell ref="J139:M139"/>
    <mergeCell ref="A135:H135"/>
    <mergeCell ref="J135:M135"/>
    <mergeCell ref="N139:O139"/>
    <mergeCell ref="P139:Q139"/>
    <mergeCell ref="S139:T139"/>
    <mergeCell ref="A140:B140"/>
    <mergeCell ref="E140:I140"/>
    <mergeCell ref="J140:M140"/>
    <mergeCell ref="N140:O140"/>
    <mergeCell ref="P140:Q140"/>
    <mergeCell ref="S140:T140"/>
    <mergeCell ref="S141:T141"/>
    <mergeCell ref="U141:V141"/>
    <mergeCell ref="A142:C142"/>
    <mergeCell ref="D142:F142"/>
    <mergeCell ref="H142:I142"/>
    <mergeCell ref="J142:M142"/>
    <mergeCell ref="N142:O142"/>
    <mergeCell ref="S142:T142"/>
    <mergeCell ref="U142:V142"/>
    <mergeCell ref="A141:C141"/>
    <mergeCell ref="D141:F141"/>
    <mergeCell ref="H141:I141"/>
    <mergeCell ref="J141:M141"/>
    <mergeCell ref="N141:O141"/>
    <mergeCell ref="S145:T145"/>
    <mergeCell ref="U145:V145"/>
    <mergeCell ref="A145:C145"/>
    <mergeCell ref="D145:F145"/>
    <mergeCell ref="H145:I145"/>
    <mergeCell ref="J145:M145"/>
    <mergeCell ref="N145:O145"/>
    <mergeCell ref="S143:T143"/>
    <mergeCell ref="U143:V143"/>
    <mergeCell ref="A144:C144"/>
    <mergeCell ref="D144:F144"/>
    <mergeCell ref="H144:I144"/>
    <mergeCell ref="J144:M144"/>
    <mergeCell ref="N144:O144"/>
    <mergeCell ref="S144:T144"/>
    <mergeCell ref="U144:V144"/>
    <mergeCell ref="A143:C143"/>
    <mergeCell ref="D143:F143"/>
    <mergeCell ref="H143:I143"/>
    <mergeCell ref="J143:M143"/>
    <mergeCell ref="N143:O143"/>
    <mergeCell ref="A152:C152"/>
    <mergeCell ref="D152:F152"/>
    <mergeCell ref="H152:I152"/>
    <mergeCell ref="J152:M152"/>
    <mergeCell ref="N152:O152"/>
    <mergeCell ref="S152:T152"/>
    <mergeCell ref="U152:V152"/>
    <mergeCell ref="J151:M151"/>
    <mergeCell ref="N151:O151"/>
    <mergeCell ref="S153:T153"/>
    <mergeCell ref="U153:V153"/>
    <mergeCell ref="A154:C154"/>
    <mergeCell ref="D154:F154"/>
    <mergeCell ref="H154:I154"/>
    <mergeCell ref="J154:M154"/>
    <mergeCell ref="N154:O154"/>
    <mergeCell ref="S154:T154"/>
    <mergeCell ref="U154:V154"/>
    <mergeCell ref="A153:C153"/>
    <mergeCell ref="D153:F153"/>
    <mergeCell ref="H153:I153"/>
    <mergeCell ref="J153:M153"/>
    <mergeCell ref="N153:O153"/>
    <mergeCell ref="P164:Q164"/>
    <mergeCell ref="S164:T164"/>
    <mergeCell ref="S155:T155"/>
    <mergeCell ref="U155:V155"/>
    <mergeCell ref="S156:T156"/>
    <mergeCell ref="U156:V156"/>
    <mergeCell ref="A155:C155"/>
    <mergeCell ref="D155:F155"/>
    <mergeCell ref="H155:I155"/>
    <mergeCell ref="J155:M155"/>
    <mergeCell ref="N155:O155"/>
    <mergeCell ref="J158:M158"/>
    <mergeCell ref="N158:O158"/>
    <mergeCell ref="S158:T158"/>
    <mergeCell ref="U158:V158"/>
    <mergeCell ref="A160:H160"/>
    <mergeCell ref="J160:M160"/>
    <mergeCell ref="N160:O160"/>
    <mergeCell ref="S160:T160"/>
    <mergeCell ref="A156:C156"/>
    <mergeCell ref="D156:F156"/>
    <mergeCell ref="H156:I156"/>
    <mergeCell ref="J156:M156"/>
    <mergeCell ref="N156:O156"/>
    <mergeCell ref="S179:T179"/>
    <mergeCell ref="U179:V179"/>
    <mergeCell ref="A180:C180"/>
    <mergeCell ref="D180:F180"/>
    <mergeCell ref="H180:I180"/>
    <mergeCell ref="J180:M180"/>
    <mergeCell ref="N180:O180"/>
    <mergeCell ref="S180:T180"/>
    <mergeCell ref="U180:V180"/>
    <mergeCell ref="A179:C179"/>
    <mergeCell ref="D179:F179"/>
    <mergeCell ref="H179:I179"/>
    <mergeCell ref="J179:M179"/>
    <mergeCell ref="N179:O179"/>
    <mergeCell ref="S148:T148"/>
    <mergeCell ref="U148:V148"/>
    <mergeCell ref="B149:C149"/>
    <mergeCell ref="D149:M149"/>
    <mergeCell ref="A151:B151"/>
    <mergeCell ref="E151:I151"/>
    <mergeCell ref="P151:Q151"/>
    <mergeCell ref="A146:C146"/>
    <mergeCell ref="D146:F146"/>
    <mergeCell ref="H146:I146"/>
    <mergeCell ref="J146:M146"/>
    <mergeCell ref="N146:O146"/>
    <mergeCell ref="S146:T146"/>
    <mergeCell ref="U146:V146"/>
    <mergeCell ref="J148:M148"/>
    <mergeCell ref="S151:T151"/>
    <mergeCell ref="A150:B150"/>
    <mergeCell ref="E150:I150"/>
    <mergeCell ref="J150:M150"/>
    <mergeCell ref="N150:O150"/>
    <mergeCell ref="P150:Q150"/>
    <mergeCell ref="S150:T150"/>
    <mergeCell ref="N148:O148"/>
    <mergeCell ref="A171:H171"/>
    <mergeCell ref="A172:B173"/>
    <mergeCell ref="C172:K172"/>
    <mergeCell ref="B174:C174"/>
    <mergeCell ref="D174:M174"/>
    <mergeCell ref="A167:C167"/>
    <mergeCell ref="D167:F167"/>
    <mergeCell ref="H167:I167"/>
    <mergeCell ref="J167:M167"/>
    <mergeCell ref="N167:O167"/>
    <mergeCell ref="A166:C166"/>
    <mergeCell ref="D166:F166"/>
    <mergeCell ref="H166:I166"/>
    <mergeCell ref="J166:M166"/>
    <mergeCell ref="N166:O166"/>
    <mergeCell ref="J165:M165"/>
    <mergeCell ref="N165:O165"/>
    <mergeCell ref="A164:B164"/>
    <mergeCell ref="E164:I164"/>
    <mergeCell ref="J164:M164"/>
    <mergeCell ref="E175:I175"/>
    <mergeCell ref="J175:M175"/>
    <mergeCell ref="U160:V160"/>
    <mergeCell ref="A161:B162"/>
    <mergeCell ref="C161:K161"/>
    <mergeCell ref="B163:C163"/>
    <mergeCell ref="D163:M163"/>
    <mergeCell ref="A165:B165"/>
    <mergeCell ref="E165:I165"/>
    <mergeCell ref="P165:Q165"/>
    <mergeCell ref="S169:T169"/>
    <mergeCell ref="U169:V169"/>
    <mergeCell ref="J171:M171"/>
    <mergeCell ref="N171:O171"/>
    <mergeCell ref="S171:T171"/>
    <mergeCell ref="U171:V171"/>
    <mergeCell ref="J169:M169"/>
    <mergeCell ref="N169:O169"/>
    <mergeCell ref="S167:T167"/>
    <mergeCell ref="U167:V167"/>
    <mergeCell ref="S165:T165"/>
    <mergeCell ref="S166:T166"/>
    <mergeCell ref="U166:V166"/>
    <mergeCell ref="N164:O164"/>
    <mergeCell ref="U177:V177"/>
    <mergeCell ref="A178:C178"/>
    <mergeCell ref="D178:F178"/>
    <mergeCell ref="H178:I178"/>
    <mergeCell ref="U178:V178"/>
    <mergeCell ref="N175:O175"/>
    <mergeCell ref="P175:Q175"/>
    <mergeCell ref="S175:T175"/>
    <mergeCell ref="A176:B176"/>
    <mergeCell ref="E176:I176"/>
    <mergeCell ref="J176:M176"/>
    <mergeCell ref="N176:O176"/>
    <mergeCell ref="P176:Q176"/>
    <mergeCell ref="S176:T176"/>
    <mergeCell ref="N177:O177"/>
    <mergeCell ref="S177:T177"/>
    <mergeCell ref="J178:M178"/>
    <mergeCell ref="N178:O178"/>
    <mergeCell ref="S178:T178"/>
    <mergeCell ref="A177:C177"/>
    <mergeCell ref="J177:M177"/>
    <mergeCell ref="D177:F177"/>
    <mergeCell ref="H177:I177"/>
    <mergeCell ref="A175:B175"/>
    <mergeCell ref="A185:H185"/>
    <mergeCell ref="J185:M185"/>
    <mergeCell ref="N185:O185"/>
    <mergeCell ref="S185:T185"/>
    <mergeCell ref="U185:V185"/>
    <mergeCell ref="S181:T181"/>
    <mergeCell ref="U181:V181"/>
    <mergeCell ref="J183:M183"/>
    <mergeCell ref="N183:O183"/>
    <mergeCell ref="S183:T183"/>
    <mergeCell ref="U183:V183"/>
    <mergeCell ref="A181:C181"/>
    <mergeCell ref="D181:F181"/>
    <mergeCell ref="H181:I181"/>
    <mergeCell ref="J181:M181"/>
    <mergeCell ref="N181:O181"/>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I40"/>
  <sheetViews>
    <sheetView zoomScalePageLayoutView="0" workbookViewId="0" topLeftCell="A1">
      <selection activeCell="A6" sqref="A6"/>
    </sheetView>
  </sheetViews>
  <sheetFormatPr defaultColWidth="9.33203125" defaultRowHeight="10.5"/>
  <cols>
    <col min="1" max="1" width="46.16015625" style="0" customWidth="1"/>
    <col min="2" max="8" width="14.83203125" style="0" customWidth="1"/>
  </cols>
  <sheetData>
    <row r="1" spans="1:8" ht="10.5">
      <c r="A1" s="579" t="s">
        <v>179</v>
      </c>
      <c r="B1" s="579"/>
      <c r="C1" s="579"/>
      <c r="D1" s="579"/>
      <c r="E1" s="579"/>
      <c r="F1" s="579"/>
      <c r="G1" s="579"/>
      <c r="H1" s="579"/>
    </row>
    <row r="2" spans="1:8" ht="10.5">
      <c r="A2" s="592" t="s">
        <v>180</v>
      </c>
      <c r="B2" s="593"/>
      <c r="C2" s="593"/>
      <c r="D2" s="593"/>
      <c r="E2" s="593"/>
      <c r="F2" s="593"/>
      <c r="G2" s="593"/>
      <c r="H2" s="593"/>
    </row>
    <row r="3" spans="1:8" ht="10.5">
      <c r="A3" s="592" t="s">
        <v>455</v>
      </c>
      <c r="B3" s="593"/>
      <c r="C3" s="593"/>
      <c r="D3" s="593"/>
      <c r="E3" s="593"/>
      <c r="F3" s="593"/>
      <c r="G3" s="593"/>
      <c r="H3" s="593"/>
    </row>
    <row r="4" ht="10.5">
      <c r="A4" s="180" t="s">
        <v>99</v>
      </c>
    </row>
    <row r="5" spans="1:7" s="98" customFormat="1" ht="10.5">
      <c r="A5" s="180"/>
      <c r="B5" s="453">
        <f>B14/H14</f>
        <v>0.02890728150885445</v>
      </c>
      <c r="C5" s="453">
        <f>C14/H14</f>
        <v>0.04794175801573154</v>
      </c>
      <c r="D5" s="453">
        <f>D14/H14</f>
        <v>0.5069075907772312</v>
      </c>
      <c r="E5" s="453">
        <f>E14/H14</f>
        <v>0.34962663863466964</v>
      </c>
      <c r="F5" s="453">
        <f>F14/H14</f>
        <v>0.03740870153593517</v>
      </c>
      <c r="G5" s="453">
        <f>G14/H14</f>
        <v>0.029208029527577915</v>
      </c>
    </row>
    <row r="6" spans="1:8" ht="10.5">
      <c r="A6" s="159" t="s">
        <v>99</v>
      </c>
      <c r="B6" s="295" t="s">
        <v>13</v>
      </c>
      <c r="C6" s="295" t="s">
        <v>13</v>
      </c>
      <c r="D6" s="310" t="s">
        <v>340</v>
      </c>
      <c r="E6" s="310" t="s">
        <v>343</v>
      </c>
      <c r="F6" s="310" t="s">
        <v>344</v>
      </c>
      <c r="G6" s="310" t="s">
        <v>344</v>
      </c>
      <c r="H6" s="295" t="s">
        <v>345</v>
      </c>
    </row>
    <row r="7" spans="2:8" ht="10.5" hidden="1">
      <c r="B7" s="295" t="s">
        <v>111</v>
      </c>
      <c r="C7" s="295" t="s">
        <v>76</v>
      </c>
      <c r="D7" s="310" t="s">
        <v>86</v>
      </c>
      <c r="E7" s="313" t="s">
        <v>93</v>
      </c>
      <c r="F7" s="313" t="s">
        <v>95</v>
      </c>
      <c r="G7" s="313" t="s">
        <v>97</v>
      </c>
      <c r="H7" s="164" t="s">
        <v>5</v>
      </c>
    </row>
    <row r="8" spans="1:8" ht="11.25" thickBot="1">
      <c r="A8" s="297"/>
      <c r="B8" s="299" t="s">
        <v>342</v>
      </c>
      <c r="C8" s="299" t="s">
        <v>235</v>
      </c>
      <c r="D8" s="311" t="s">
        <v>341</v>
      </c>
      <c r="E8" s="311" t="s">
        <v>386</v>
      </c>
      <c r="F8" s="311" t="s">
        <v>341</v>
      </c>
      <c r="G8" s="311" t="s">
        <v>386</v>
      </c>
      <c r="H8" s="298"/>
    </row>
    <row r="9" spans="1:8" s="98" customFormat="1" ht="5.25" customHeight="1">
      <c r="A9" s="274"/>
      <c r="B9" s="443"/>
      <c r="C9" s="443"/>
      <c r="D9" s="443"/>
      <c r="E9" s="443"/>
      <c r="F9" s="443"/>
      <c r="G9" s="443"/>
      <c r="H9" s="247"/>
    </row>
    <row r="10" spans="1:8" s="98" customFormat="1" ht="10.5">
      <c r="A10" s="300" t="s">
        <v>197</v>
      </c>
      <c r="B10" s="303">
        <v>771054.87</v>
      </c>
      <c r="C10" s="303">
        <v>772873.89</v>
      </c>
      <c r="D10" s="303">
        <v>4838533.23</v>
      </c>
      <c r="E10" s="303">
        <v>3114297.55</v>
      </c>
      <c r="F10" s="303">
        <v>226393.8</v>
      </c>
      <c r="G10" s="303">
        <v>154883.38</v>
      </c>
      <c r="H10" s="304">
        <f>SUM(B10:G10)</f>
        <v>9878036.72</v>
      </c>
    </row>
    <row r="11" spans="1:8" s="98" customFormat="1" ht="10.5">
      <c r="A11" s="300" t="s">
        <v>198</v>
      </c>
      <c r="B11" s="303">
        <v>-1316700.8</v>
      </c>
      <c r="C11" s="303">
        <v>-500000</v>
      </c>
      <c r="D11" s="303">
        <v>54678</v>
      </c>
      <c r="E11" s="303">
        <v>-52559</v>
      </c>
      <c r="F11" s="303">
        <f>563142+269806</f>
        <v>832948</v>
      </c>
      <c r="G11" s="303">
        <v>672231.31</v>
      </c>
      <c r="H11" s="304">
        <f>SUM(B11:G11)</f>
        <v>-309402.49</v>
      </c>
    </row>
    <row r="12" spans="1:8" s="98" customFormat="1" ht="10.5">
      <c r="A12" s="300" t="s">
        <v>200</v>
      </c>
      <c r="B12" s="303">
        <v>1034284.29</v>
      </c>
      <c r="C12" s="303">
        <v>1084743.62</v>
      </c>
      <c r="D12" s="303">
        <f>9448795.02+12632.58</f>
        <v>9461427.6</v>
      </c>
      <c r="E12" s="303">
        <f>6822359.07+16650</f>
        <v>6839009.07</v>
      </c>
      <c r="F12" s="303">
        <v>0</v>
      </c>
      <c r="G12" s="303">
        <v>0</v>
      </c>
      <c r="H12" s="304">
        <f>SUM(B12:G12)</f>
        <v>18419464.58</v>
      </c>
    </row>
    <row r="13" spans="1:8" s="98" customFormat="1" ht="10.5">
      <c r="A13" s="301" t="s">
        <v>199</v>
      </c>
      <c r="B13" s="305">
        <v>329959.73</v>
      </c>
      <c r="C13" s="305">
        <v>0</v>
      </c>
      <c r="D13" s="305">
        <v>0</v>
      </c>
      <c r="E13" s="305">
        <v>0</v>
      </c>
      <c r="F13" s="305">
        <v>0</v>
      </c>
      <c r="G13" s="305">
        <v>0</v>
      </c>
      <c r="H13" s="306">
        <f>SUM(B13:G13)</f>
        <v>329959.73</v>
      </c>
    </row>
    <row r="14" spans="1:8" s="98" customFormat="1" ht="10.5">
      <c r="A14" s="302" t="s">
        <v>433</v>
      </c>
      <c r="B14" s="303">
        <f aca="true" t="shared" si="0" ref="B14:G14">SUM(B10:B13)</f>
        <v>818598.09</v>
      </c>
      <c r="C14" s="303">
        <f t="shared" si="0"/>
        <v>1357617.5100000002</v>
      </c>
      <c r="D14" s="303">
        <f t="shared" si="0"/>
        <v>14354638.83</v>
      </c>
      <c r="E14" s="303">
        <f t="shared" si="0"/>
        <v>9900747.620000001</v>
      </c>
      <c r="F14" s="303">
        <f t="shared" si="0"/>
        <v>1059341.8</v>
      </c>
      <c r="G14" s="303">
        <f t="shared" si="0"/>
        <v>827114.6900000001</v>
      </c>
      <c r="H14" s="304">
        <f>SUM(B14:G14)</f>
        <v>28318058.540000003</v>
      </c>
    </row>
    <row r="15" spans="2:8" s="98" customFormat="1" ht="10.5">
      <c r="B15" s="223"/>
      <c r="C15" s="223"/>
      <c r="D15" s="228"/>
      <c r="E15" s="228"/>
      <c r="F15" s="228"/>
      <c r="G15" s="228"/>
      <c r="H15" s="224"/>
    </row>
    <row r="16" spans="1:8" s="98" customFormat="1" ht="10.5">
      <c r="A16" s="160" t="s">
        <v>434</v>
      </c>
      <c r="B16" s="225">
        <f>B18+B20</f>
        <v>628999.24</v>
      </c>
      <c r="C16" s="225">
        <f>C18+C20</f>
        <v>410476.6</v>
      </c>
      <c r="D16" s="225">
        <f>D18+D20</f>
        <v>12082973.45</v>
      </c>
      <c r="E16" s="225">
        <f>E18+E20</f>
        <v>6653433.72</v>
      </c>
      <c r="F16" s="225">
        <f>F18+F20</f>
        <v>937441.91</v>
      </c>
      <c r="G16" s="225">
        <f>G18+G20</f>
        <v>457678.49</v>
      </c>
      <c r="H16" s="226">
        <f>SUM(B16:G16)</f>
        <v>21171003.409999996</v>
      </c>
    </row>
    <row r="17" spans="2:8" s="98" customFormat="1" ht="10.5">
      <c r="B17" s="223"/>
      <c r="C17" s="223"/>
      <c r="D17" s="228"/>
      <c r="E17" s="228"/>
      <c r="F17" s="228"/>
      <c r="G17" s="228"/>
      <c r="H17" s="224"/>
    </row>
    <row r="18" spans="1:8" s="98" customFormat="1" ht="10.5">
      <c r="A18" s="160" t="s">
        <v>435</v>
      </c>
      <c r="B18" s="225">
        <f>559564.88+69255+179.36</f>
        <v>628999.24</v>
      </c>
      <c r="C18" s="225">
        <v>410476.6</v>
      </c>
      <c r="D18" s="312">
        <v>12082973.45</v>
      </c>
      <c r="E18" s="312">
        <v>6653433.72</v>
      </c>
      <c r="F18" s="312">
        <v>937441.91</v>
      </c>
      <c r="G18" s="312">
        <v>457678.49</v>
      </c>
      <c r="H18" s="226">
        <f>SUM(B18:G18)</f>
        <v>21171003.409999996</v>
      </c>
    </row>
    <row r="19" spans="2:8" s="98" customFormat="1" ht="10.5">
      <c r="B19" s="223"/>
      <c r="C19" s="223"/>
      <c r="D19" s="228"/>
      <c r="E19" s="228"/>
      <c r="F19" s="228"/>
      <c r="G19" s="228"/>
      <c r="H19" s="224"/>
    </row>
    <row r="20" spans="1:8" s="98" customFormat="1" ht="10.5">
      <c r="A20" s="160" t="s">
        <v>437</v>
      </c>
      <c r="B20" s="225">
        <f>'Obligations 15-17 at 12-31-17'!P76+'Obligations 15-17 at 12-31-17'!P192</f>
        <v>0</v>
      </c>
      <c r="C20" s="225">
        <f>'Obligations 15-17 at 12-31-17'!P138+'Obligations 15-17 at 12-31-17'!P176+'Obligations 15-17 at 12-31-17'!P184</f>
        <v>0</v>
      </c>
      <c r="D20" s="312">
        <f>'Obligations 15-17 at 12-31-17'!P152+'Obligations 15-17 at 12-31-17'!P162</f>
        <v>0</v>
      </c>
      <c r="E20" s="312">
        <f>'Obligations 15-17 at 12-31-17'!P98+'Obligations 15-17 at 12-31-17'!P116</f>
        <v>0</v>
      </c>
      <c r="F20" s="312">
        <f>'Obligations 15-17 at 12-31-17'!P56+'Obligations 15-17 at 12-31-17'!P66</f>
        <v>0</v>
      </c>
      <c r="G20" s="312">
        <f>'Obligations 15-17 at 12-31-17'!P25+'Obligations 15-17 at 12-31-17'!P42</f>
        <v>0</v>
      </c>
      <c r="H20" s="225">
        <f>SUM(B20:G20)</f>
        <v>0</v>
      </c>
    </row>
    <row r="21" spans="2:8" s="98" customFormat="1" ht="10.5">
      <c r="B21" s="223"/>
      <c r="C21" s="223"/>
      <c r="D21" s="228"/>
      <c r="E21" s="228"/>
      <c r="F21" s="228"/>
      <c r="G21" s="228"/>
      <c r="H21" s="224"/>
    </row>
    <row r="22" spans="1:8" s="98" customFormat="1" ht="11.25" thickBot="1">
      <c r="A22" s="307" t="s">
        <v>181</v>
      </c>
      <c r="B22" s="308">
        <f>B14-B16</f>
        <v>189598.84999999998</v>
      </c>
      <c r="C22" s="308">
        <f>C14-C16</f>
        <v>947140.9100000003</v>
      </c>
      <c r="D22" s="308">
        <f>D14-D16</f>
        <v>2271665.380000001</v>
      </c>
      <c r="E22" s="308">
        <f>E14-E16</f>
        <v>3247313.9000000013</v>
      </c>
      <c r="F22" s="308">
        <f>F14-F16</f>
        <v>121899.89000000001</v>
      </c>
      <c r="G22" s="308">
        <f>G14-G16</f>
        <v>369436.20000000007</v>
      </c>
      <c r="H22" s="309">
        <f>SUM(B22:G22)</f>
        <v>7147055.130000003</v>
      </c>
    </row>
    <row r="23" spans="2:8" s="98" customFormat="1" ht="11.25" thickTop="1">
      <c r="B23" s="223"/>
      <c r="C23" s="223"/>
      <c r="D23" s="228"/>
      <c r="E23" s="228"/>
      <c r="F23" s="228"/>
      <c r="G23" s="228"/>
      <c r="H23" s="224"/>
    </row>
    <row r="24" spans="1:8" s="98" customFormat="1" ht="11.25" thickBot="1">
      <c r="A24" s="307" t="s">
        <v>436</v>
      </c>
      <c r="B24" s="308">
        <f>B14-B18</f>
        <v>189598.84999999998</v>
      </c>
      <c r="C24" s="308">
        <f>C14-C18</f>
        <v>947140.9100000003</v>
      </c>
      <c r="D24" s="308">
        <f>D14-D18</f>
        <v>2271665.380000001</v>
      </c>
      <c r="E24" s="308">
        <f>E14-E18</f>
        <v>3247313.9000000013</v>
      </c>
      <c r="F24" s="308">
        <f>F14-F18</f>
        <v>121899.89000000001</v>
      </c>
      <c r="G24" s="308">
        <f>G14-G18</f>
        <v>369436.20000000007</v>
      </c>
      <c r="H24" s="309">
        <f>SUM(B24:G24)</f>
        <v>7147055.130000003</v>
      </c>
    </row>
    <row r="25" spans="1:8" s="98" customFormat="1" ht="12.75" thickTop="1">
      <c r="A25" s="445" t="s">
        <v>438</v>
      </c>
      <c r="B25" s="450">
        <f>B18/H18</f>
        <v>0.02971041229452998</v>
      </c>
      <c r="C25" s="446" t="s">
        <v>99</v>
      </c>
      <c r="D25" s="446" t="s">
        <v>99</v>
      </c>
      <c r="E25" s="446" t="s">
        <v>99</v>
      </c>
      <c r="F25" s="446" t="s">
        <v>99</v>
      </c>
      <c r="G25" s="446" t="s">
        <v>99</v>
      </c>
      <c r="H25" s="446" t="s">
        <v>99</v>
      </c>
    </row>
    <row r="26" spans="1:8" ht="12">
      <c r="A26" s="447" t="s">
        <v>439</v>
      </c>
      <c r="B26" s="448"/>
      <c r="C26" s="448"/>
      <c r="D26" s="448"/>
      <c r="E26" s="448"/>
      <c r="F26" s="448"/>
      <c r="G26" s="448"/>
      <c r="H26" s="449">
        <f>H24/H14</f>
        <v>0.25238506799131727</v>
      </c>
    </row>
    <row r="27" ht="10.5">
      <c r="B27" t="s">
        <v>99</v>
      </c>
    </row>
    <row r="29" spans="1:9" ht="10.5">
      <c r="A29" s="98"/>
      <c r="B29" s="98" t="s">
        <v>99</v>
      </c>
      <c r="C29" s="98"/>
      <c r="D29" s="98"/>
      <c r="E29" s="98"/>
      <c r="F29" s="98"/>
      <c r="G29" s="98"/>
      <c r="H29" s="98"/>
      <c r="I29" s="98"/>
    </row>
    <row r="30" spans="1:9" ht="10.5">
      <c r="A30" s="227" t="s">
        <v>424</v>
      </c>
      <c r="B30" s="98"/>
      <c r="C30" s="98"/>
      <c r="D30" s="98"/>
      <c r="E30" s="98"/>
      <c r="F30" s="98"/>
      <c r="G30" s="98"/>
      <c r="H30" s="98"/>
      <c r="I30" s="98"/>
    </row>
    <row r="31" spans="1:9" ht="10.5">
      <c r="A31" s="160" t="s">
        <v>425</v>
      </c>
      <c r="B31" s="98"/>
      <c r="C31" s="98"/>
      <c r="D31" s="98"/>
      <c r="E31" s="98"/>
      <c r="F31" s="98"/>
      <c r="G31" s="98"/>
      <c r="H31" s="98"/>
      <c r="I31" s="98"/>
    </row>
    <row r="32" spans="1:9" ht="10.5">
      <c r="A32" s="160" t="s">
        <v>426</v>
      </c>
      <c r="B32" s="98"/>
      <c r="C32" s="98"/>
      <c r="D32" s="98"/>
      <c r="E32" s="98"/>
      <c r="F32" s="98"/>
      <c r="G32" s="98"/>
      <c r="H32" s="98"/>
      <c r="I32" s="98"/>
    </row>
    <row r="33" spans="1:9" ht="10.5">
      <c r="A33" s="160" t="s">
        <v>427</v>
      </c>
      <c r="B33" s="98"/>
      <c r="C33" s="98"/>
      <c r="D33" s="98"/>
      <c r="E33" s="98"/>
      <c r="F33" s="98"/>
      <c r="G33" s="98"/>
      <c r="H33" s="98"/>
      <c r="I33" s="98"/>
    </row>
    <row r="34" spans="1:9" ht="10.5">
      <c r="A34" s="98"/>
      <c r="B34" s="98"/>
      <c r="C34" s="98"/>
      <c r="D34" s="98"/>
      <c r="E34" s="98"/>
      <c r="F34" s="98"/>
      <c r="G34" s="98"/>
      <c r="H34" s="98"/>
      <c r="I34" s="98"/>
    </row>
    <row r="35" spans="1:9" ht="10.5">
      <c r="A35" s="98"/>
      <c r="B35" s="98"/>
      <c r="C35" s="98"/>
      <c r="D35" s="98"/>
      <c r="E35" s="98"/>
      <c r="F35" s="98"/>
      <c r="G35" s="98"/>
      <c r="H35" s="98"/>
      <c r="I35" s="98"/>
    </row>
    <row r="36" spans="1:9" ht="10.5">
      <c r="A36" s="227" t="s">
        <v>428</v>
      </c>
      <c r="B36" s="98"/>
      <c r="C36" s="98"/>
      <c r="D36" s="98"/>
      <c r="E36" s="98"/>
      <c r="F36" s="98"/>
      <c r="G36" s="98"/>
      <c r="H36" s="98"/>
      <c r="I36" s="98"/>
    </row>
    <row r="37" spans="1:9" ht="10.5">
      <c r="A37" s="160" t="s">
        <v>429</v>
      </c>
      <c r="B37" s="98"/>
      <c r="C37" s="98"/>
      <c r="D37" s="98"/>
      <c r="E37" s="98"/>
      <c r="F37" s="98"/>
      <c r="G37" s="98"/>
      <c r="H37" s="98"/>
      <c r="I37" s="98"/>
    </row>
    <row r="38" spans="1:9" ht="10.5">
      <c r="A38" s="160" t="s">
        <v>430</v>
      </c>
      <c r="B38" s="98"/>
      <c r="C38" s="98"/>
      <c r="D38" s="98"/>
      <c r="E38" s="98"/>
      <c r="F38" s="98"/>
      <c r="G38" s="98"/>
      <c r="H38" s="98"/>
      <c r="I38" s="98"/>
    </row>
    <row r="39" spans="1:9" ht="10.5">
      <c r="A39" s="160" t="s">
        <v>431</v>
      </c>
      <c r="B39" s="98"/>
      <c r="C39" s="98"/>
      <c r="D39" s="98"/>
      <c r="E39" s="98"/>
      <c r="F39" s="98"/>
      <c r="G39" s="98"/>
      <c r="H39" s="98"/>
      <c r="I39" s="98"/>
    </row>
    <row r="40" spans="1:9" ht="10.5">
      <c r="A40" s="98"/>
      <c r="B40" s="98"/>
      <c r="C40" s="98"/>
      <c r="D40" s="98"/>
      <c r="E40" s="98"/>
      <c r="F40" s="98"/>
      <c r="G40" s="98"/>
      <c r="H40" s="98"/>
      <c r="I40" s="98"/>
    </row>
  </sheetData>
  <sheetProtection/>
  <mergeCells count="3">
    <mergeCell ref="A1:H1"/>
    <mergeCell ref="A2:H2"/>
    <mergeCell ref="A3:H3"/>
  </mergeCells>
  <printOptions/>
  <pageMargins left="0.7" right="0.7" top="0.75" bottom="0.75" header="0.3" footer="0.3"/>
  <pageSetup horizontalDpi="600" verticalDpi="600" orientation="landscape" r:id="rId1"/>
  <headerFooter>
    <oddFooter>&amp;C&amp;Z&amp;F</oddFooter>
  </headerFooter>
  <ignoredErrors>
    <ignoredError sqref="H18 B20:G20 G22:H22 G24:H24 B14:H14 B22:F22 B24:F24 B16:C16 H10:H13 H20 B25 H26 H16 D16:G16 B5:G5 C11:D11 F11 D12:E12 B18" unlockedFormula="1"/>
  </ignoredErrors>
</worksheet>
</file>

<file path=xl/worksheets/sheet15.xml><?xml version="1.0" encoding="utf-8"?>
<worksheet xmlns="http://schemas.openxmlformats.org/spreadsheetml/2006/main" xmlns:r="http://schemas.openxmlformats.org/officeDocument/2006/relationships">
  <sheetPr>
    <pageSetUpPr fitToPage="1"/>
  </sheetPr>
  <dimension ref="A1:I267"/>
  <sheetViews>
    <sheetView zoomScalePageLayoutView="0" workbookViewId="0" topLeftCell="A1">
      <selection activeCell="D6" sqref="D6"/>
    </sheetView>
  </sheetViews>
  <sheetFormatPr defaultColWidth="9.33203125" defaultRowHeight="10.5" outlineLevelRow="1"/>
  <cols>
    <col min="1" max="1" width="68.16015625" style="63" bestFit="1" customWidth="1"/>
    <col min="2" max="2" width="22.33203125" style="61" customWidth="1"/>
    <col min="3" max="3" width="21.16015625" style="62" customWidth="1"/>
    <col min="4" max="4" width="23.83203125" style="66" bestFit="1" customWidth="1"/>
    <col min="5" max="5" width="9.33203125" style="63" customWidth="1"/>
    <col min="6" max="6" width="15.33203125" style="64" hidden="1" customWidth="1"/>
    <col min="7" max="7" width="17.66015625" style="65" hidden="1" customWidth="1"/>
    <col min="8" max="8" width="10.66015625" style="63" bestFit="1" customWidth="1"/>
    <col min="9" max="16384" width="9.33203125" style="63" customWidth="1"/>
  </cols>
  <sheetData>
    <row r="1" spans="1:4" ht="13.5" customHeight="1">
      <c r="A1" s="533" t="s">
        <v>121</v>
      </c>
      <c r="B1" s="533"/>
      <c r="C1" s="533"/>
      <c r="D1" s="533"/>
    </row>
    <row r="2" spans="1:4" ht="13.5" customHeight="1">
      <c r="A2" s="533" t="s">
        <v>122</v>
      </c>
      <c r="B2" s="533"/>
      <c r="C2" s="533"/>
      <c r="D2" s="533"/>
    </row>
    <row r="3" spans="1:4" ht="13.5" customHeight="1">
      <c r="A3" s="533" t="s">
        <v>457</v>
      </c>
      <c r="B3" s="533"/>
      <c r="C3" s="533"/>
      <c r="D3" s="533"/>
    </row>
    <row r="4" ht="13.5" customHeight="1"/>
    <row r="5" ht="13.5" customHeight="1">
      <c r="A5" s="58"/>
    </row>
    <row r="6" spans="1:4" ht="13.5" customHeight="1">
      <c r="A6" s="28" t="s">
        <v>201</v>
      </c>
      <c r="C6" s="61"/>
      <c r="D6" s="66">
        <f>'PPC ECHO WX GMR'!H10</f>
        <v>9878036.72</v>
      </c>
    </row>
    <row r="7" ht="13.5" customHeight="1"/>
    <row r="8" ht="13.5" customHeight="1"/>
    <row r="9" spans="1:4" ht="13.5" customHeight="1">
      <c r="A9" s="534" t="s">
        <v>123</v>
      </c>
      <c r="B9" s="534"/>
      <c r="C9" s="534"/>
      <c r="D9" s="534"/>
    </row>
    <row r="10" ht="13.5" customHeight="1">
      <c r="A10" s="67" t="s">
        <v>458</v>
      </c>
    </row>
    <row r="11" spans="1:2" ht="13.5" customHeight="1">
      <c r="A11" s="68" t="s">
        <v>2</v>
      </c>
      <c r="B11" s="61">
        <f>'Cash Flow 15-17'!AD8</f>
        <v>9333621.689999996</v>
      </c>
    </row>
    <row r="12" spans="1:2" ht="13.5" customHeight="1">
      <c r="A12" s="68" t="s">
        <v>69</v>
      </c>
      <c r="B12" s="61">
        <f>'Cash Flow 15-17'!AD15</f>
        <v>29282.58</v>
      </c>
    </row>
    <row r="13" spans="1:6" ht="13.5" customHeight="1">
      <c r="A13" s="68" t="str">
        <f>'Cash Flow 15-17'!B16</f>
        <v>Move within Indenture</v>
      </c>
      <c r="B13" s="61">
        <f>'Cash Flow 15-17'!AD16</f>
        <v>-309402.49</v>
      </c>
      <c r="F13" s="69"/>
    </row>
    <row r="14" spans="1:6" ht="13.5" customHeight="1">
      <c r="A14" s="68" t="str">
        <f>'Cash Flow 15-17'!B17</f>
        <v>Treasury Interest</v>
      </c>
      <c r="B14" s="70">
        <f>'Cash Flow 15-17'!AD17</f>
        <v>329959.73</v>
      </c>
      <c r="F14" s="69"/>
    </row>
    <row r="15" spans="1:7" ht="13.5" customHeight="1">
      <c r="A15" s="71" t="s">
        <v>5</v>
      </c>
      <c r="C15" s="61">
        <f>SUM(B11:B14)</f>
        <v>9383461.509999996</v>
      </c>
      <c r="F15" s="72"/>
      <c r="G15" s="72"/>
    </row>
    <row r="16" spans="1:6" ht="13.5" customHeight="1">
      <c r="A16" s="73"/>
      <c r="F16" s="65"/>
    </row>
    <row r="17" spans="1:6" ht="13.5" customHeight="1">
      <c r="A17" s="74" t="s">
        <v>202</v>
      </c>
      <c r="F17" s="65"/>
    </row>
    <row r="18" spans="1:6" ht="13.5" customHeight="1">
      <c r="A18" s="68" t="s">
        <v>2</v>
      </c>
      <c r="B18" s="61">
        <f>'Cash Flow 15-17'!AE8</f>
        <v>0</v>
      </c>
      <c r="F18" s="65"/>
    </row>
    <row r="19" spans="1:6" ht="13.5" customHeight="1">
      <c r="A19" s="68" t="str">
        <f>A13</f>
        <v>Move within Indenture</v>
      </c>
      <c r="B19" s="61">
        <f>'Cash Flow 15-17'!AE16</f>
        <v>0</v>
      </c>
      <c r="F19" s="65"/>
    </row>
    <row r="20" spans="1:6" ht="13.5" customHeight="1">
      <c r="A20" s="68" t="str">
        <f>A14</f>
        <v>Treasury Interest</v>
      </c>
      <c r="B20" s="70">
        <f>'Cash Flow 15-17'!AE17</f>
        <v>0</v>
      </c>
      <c r="F20" s="65"/>
    </row>
    <row r="21" spans="1:7" ht="13.5" customHeight="1">
      <c r="A21" s="71" t="s">
        <v>5</v>
      </c>
      <c r="C21" s="70">
        <f>SUM(B18:B20)</f>
        <v>0</v>
      </c>
      <c r="D21" s="77"/>
      <c r="F21" s="75"/>
      <c r="G21" s="72"/>
    </row>
    <row r="22" spans="1:6" ht="13.5" customHeight="1">
      <c r="A22" s="71"/>
      <c r="F22" s="65"/>
    </row>
    <row r="23" spans="1:7" ht="13.5" customHeight="1">
      <c r="A23" s="76" t="s">
        <v>177</v>
      </c>
      <c r="D23" s="66">
        <f>D6+C15+C21</f>
        <v>19261498.229999997</v>
      </c>
      <c r="F23" s="75">
        <f>'Cash Flow 15-17'!AC18</f>
        <v>28288775.959999997</v>
      </c>
      <c r="G23" s="72">
        <f>D23-F23</f>
        <v>-9027277.73</v>
      </c>
    </row>
    <row r="24" spans="1:6" ht="13.5" customHeight="1">
      <c r="A24" s="76"/>
      <c r="D24" s="216"/>
      <c r="F24" s="65"/>
    </row>
    <row r="25" spans="1:6" ht="13.5" customHeight="1">
      <c r="A25" s="71"/>
      <c r="F25" s="65"/>
    </row>
    <row r="26" spans="1:6" ht="13.5" customHeight="1">
      <c r="A26" s="534" t="s">
        <v>14</v>
      </c>
      <c r="B26" s="534"/>
      <c r="C26" s="534"/>
      <c r="D26" s="534"/>
      <c r="F26" s="65"/>
    </row>
    <row r="27" spans="1:6" ht="13.5" customHeight="1">
      <c r="A27" s="67" t="str">
        <f>A10</f>
        <v>Actuals   7/1/15 thru 06/30/17</v>
      </c>
      <c r="F27" s="65"/>
    </row>
    <row r="28" spans="1:6" ht="13.5" customHeight="1" hidden="1" outlineLevel="1">
      <c r="A28" s="214" t="s">
        <v>445</v>
      </c>
      <c r="B28" s="214">
        <v>89.83000000000001</v>
      </c>
      <c r="F28" s="65"/>
    </row>
    <row r="29" spans="1:6" ht="13.5" customHeight="1" hidden="1" outlineLevel="1">
      <c r="A29" s="214" t="s">
        <v>125</v>
      </c>
      <c r="B29" s="214">
        <v>2621.6000000000045</v>
      </c>
      <c r="F29" s="65"/>
    </row>
    <row r="30" spans="1:6" ht="13.5" customHeight="1" hidden="1" outlineLevel="1">
      <c r="A30" s="214" t="s">
        <v>126</v>
      </c>
      <c r="B30" s="214">
        <v>553.7799999999999</v>
      </c>
      <c r="F30" s="65"/>
    </row>
    <row r="31" spans="1:6" ht="13.5" customHeight="1" hidden="1" outlineLevel="1">
      <c r="A31" s="214" t="s">
        <v>127</v>
      </c>
      <c r="B31" s="214">
        <v>15563.469999999988</v>
      </c>
      <c r="F31" s="65"/>
    </row>
    <row r="32" spans="1:6" ht="13.5" customHeight="1" hidden="1" outlineLevel="1">
      <c r="A32" s="214" t="s">
        <v>440</v>
      </c>
      <c r="B32" s="214">
        <v>89.34</v>
      </c>
      <c r="F32" s="65"/>
    </row>
    <row r="33" spans="1:6" ht="13.5" customHeight="1" hidden="1" outlineLevel="1">
      <c r="A33" s="214" t="s">
        <v>339</v>
      </c>
      <c r="B33" s="214">
        <v>100</v>
      </c>
      <c r="F33" s="65"/>
    </row>
    <row r="34" spans="1:6" ht="13.5" customHeight="1" hidden="1" outlineLevel="1">
      <c r="A34" s="214" t="s">
        <v>444</v>
      </c>
      <c r="B34" s="214">
        <v>9.670000000000002</v>
      </c>
      <c r="F34" s="65"/>
    </row>
    <row r="35" spans="1:6" ht="13.5" customHeight="1" hidden="1" outlineLevel="1">
      <c r="A35" s="214" t="s">
        <v>447</v>
      </c>
      <c r="B35" s="214">
        <v>638.71</v>
      </c>
      <c r="F35" s="65"/>
    </row>
    <row r="36" spans="1:6" ht="13.5" customHeight="1" hidden="1" outlineLevel="1">
      <c r="A36" s="214" t="s">
        <v>128</v>
      </c>
      <c r="B36" s="214">
        <v>65.24000000000008</v>
      </c>
      <c r="F36" s="65"/>
    </row>
    <row r="37" spans="1:6" ht="13.5" customHeight="1" hidden="1" outlineLevel="1">
      <c r="A37" s="214" t="s">
        <v>129</v>
      </c>
      <c r="B37" s="214">
        <v>222.79999999999998</v>
      </c>
      <c r="F37" s="65"/>
    </row>
    <row r="38" spans="1:6" ht="13.5" customHeight="1" hidden="1" outlineLevel="1">
      <c r="A38" s="214" t="s">
        <v>331</v>
      </c>
      <c r="B38" s="214">
        <v>252.43</v>
      </c>
      <c r="F38" s="65"/>
    </row>
    <row r="39" spans="1:6" ht="13.5" customHeight="1" hidden="1" outlineLevel="1">
      <c r="A39" s="214" t="s">
        <v>130</v>
      </c>
      <c r="B39" s="214">
        <v>482.4899999999999</v>
      </c>
      <c r="F39" s="65"/>
    </row>
    <row r="40" spans="1:6" ht="13.5" customHeight="1" hidden="1" outlineLevel="1">
      <c r="A40" s="214" t="s">
        <v>131</v>
      </c>
      <c r="B40" s="214">
        <f>398.54+152.64</f>
        <v>551.1800000000001</v>
      </c>
      <c r="F40" s="65"/>
    </row>
    <row r="41" spans="1:6" ht="13.5" customHeight="1" hidden="1" outlineLevel="1">
      <c r="A41" s="214" t="s">
        <v>332</v>
      </c>
      <c r="B41" s="214">
        <v>838.0999999999999</v>
      </c>
      <c r="F41" s="65"/>
    </row>
    <row r="42" spans="1:6" ht="13.5" customHeight="1" hidden="1" outlineLevel="1">
      <c r="A42" s="214" t="s">
        <v>333</v>
      </c>
      <c r="B42" s="214">
        <v>213.57999999999998</v>
      </c>
      <c r="F42" s="65"/>
    </row>
    <row r="43" spans="1:6" ht="13.5" customHeight="1" hidden="1" outlineLevel="1">
      <c r="A43" s="214" t="s">
        <v>441</v>
      </c>
      <c r="B43" s="214">
        <v>4.07</v>
      </c>
      <c r="F43" s="65"/>
    </row>
    <row r="44" spans="1:6" ht="13.5" customHeight="1" hidden="1" outlineLevel="1">
      <c r="A44" s="214" t="s">
        <v>132</v>
      </c>
      <c r="B44" s="214">
        <f>434.88+26.72</f>
        <v>461.6</v>
      </c>
      <c r="F44" s="65"/>
    </row>
    <row r="45" spans="1:6" ht="13.5" customHeight="1" hidden="1" outlineLevel="1">
      <c r="A45" s="214" t="s">
        <v>133</v>
      </c>
      <c r="B45" s="214">
        <v>546.9099999999993</v>
      </c>
      <c r="F45" s="65"/>
    </row>
    <row r="46" spans="1:6" ht="13.5" customHeight="1" hidden="1" outlineLevel="1">
      <c r="A46" s="214" t="s">
        <v>367</v>
      </c>
      <c r="B46" s="214">
        <v>420.55000000000007</v>
      </c>
      <c r="F46" s="65"/>
    </row>
    <row r="47" spans="1:6" ht="13.5" customHeight="1" hidden="1" outlineLevel="1">
      <c r="A47" s="214" t="s">
        <v>134</v>
      </c>
      <c r="B47" s="214">
        <v>86.42</v>
      </c>
      <c r="F47" s="65"/>
    </row>
    <row r="48" spans="1:6" ht="13.5" customHeight="1" hidden="1" outlineLevel="1">
      <c r="A48" s="214" t="s">
        <v>368</v>
      </c>
      <c r="B48" s="214">
        <v>227.70000000000005</v>
      </c>
      <c r="F48" s="65"/>
    </row>
    <row r="49" spans="1:6" ht="13.5" customHeight="1" hidden="1" outlineLevel="1">
      <c r="A49" s="214" t="s">
        <v>448</v>
      </c>
      <c r="B49" s="214">
        <v>9.094947017729282E-13</v>
      </c>
      <c r="F49" s="65"/>
    </row>
    <row r="50" spans="1:6" ht="13.5" customHeight="1" hidden="1" outlineLevel="1">
      <c r="A50" s="214" t="s">
        <v>421</v>
      </c>
      <c r="B50" s="214">
        <v>57.25</v>
      </c>
      <c r="F50" s="65"/>
    </row>
    <row r="51" spans="1:6" ht="13.5" customHeight="1" hidden="1" outlineLevel="1">
      <c r="A51" s="214" t="s">
        <v>373</v>
      </c>
      <c r="B51" s="214">
        <v>758.2600000000001</v>
      </c>
      <c r="F51" s="65"/>
    </row>
    <row r="52" spans="1:6" ht="13.5" customHeight="1" hidden="1" outlineLevel="1">
      <c r="A52" s="214" t="s">
        <v>334</v>
      </c>
      <c r="B52" s="214">
        <v>352.21</v>
      </c>
      <c r="F52" s="65"/>
    </row>
    <row r="53" spans="1:6" ht="13.5" customHeight="1" hidden="1" outlineLevel="1">
      <c r="A53" s="214" t="s">
        <v>446</v>
      </c>
      <c r="B53" s="214">
        <v>49</v>
      </c>
      <c r="F53" s="65"/>
    </row>
    <row r="54" spans="1:6" ht="13.5" customHeight="1" hidden="1" outlineLevel="1">
      <c r="A54" s="214" t="s">
        <v>335</v>
      </c>
      <c r="B54" s="214">
        <v>576.09</v>
      </c>
      <c r="F54" s="65"/>
    </row>
    <row r="55" spans="1:6" ht="13.5" customHeight="1" hidden="1" outlineLevel="1">
      <c r="A55" s="214" t="s">
        <v>442</v>
      </c>
      <c r="B55" s="214">
        <v>151.35</v>
      </c>
      <c r="F55" s="65"/>
    </row>
    <row r="56" spans="1:6" ht="13.5" customHeight="1" hidden="1" outlineLevel="1">
      <c r="A56" s="214" t="s">
        <v>336</v>
      </c>
      <c r="B56" s="214">
        <v>183.54000000000002</v>
      </c>
      <c r="F56" s="65"/>
    </row>
    <row r="57" spans="1:6" ht="13.5" customHeight="1" hidden="1" outlineLevel="1">
      <c r="A57" s="214" t="s">
        <v>135</v>
      </c>
      <c r="B57" s="214">
        <v>45903.66999999999</v>
      </c>
      <c r="F57" s="65"/>
    </row>
    <row r="58" spans="1:6" ht="13.5" customHeight="1" hidden="1" outlineLevel="1">
      <c r="A58" s="214" t="s">
        <v>136</v>
      </c>
      <c r="B58" s="214">
        <v>377.73000000000013</v>
      </c>
      <c r="F58" s="65"/>
    </row>
    <row r="59" spans="1:6" ht="13.5" customHeight="1" hidden="1" outlineLevel="1">
      <c r="A59" s="214" t="s">
        <v>137</v>
      </c>
      <c r="B59" s="214">
        <v>202738.09000000026</v>
      </c>
      <c r="F59" s="65"/>
    </row>
    <row r="60" spans="1:6" ht="13.5" customHeight="1" hidden="1" outlineLevel="1">
      <c r="A60" s="214" t="s">
        <v>138</v>
      </c>
      <c r="B60" s="214">
        <v>12125.62000000002</v>
      </c>
      <c r="F60" s="65"/>
    </row>
    <row r="61" spans="1:6" ht="13.5" customHeight="1" hidden="1" outlineLevel="1">
      <c r="A61" s="214" t="s">
        <v>369</v>
      </c>
      <c r="B61" s="214">
        <v>989.9799999999998</v>
      </c>
      <c r="F61" s="65"/>
    </row>
    <row r="62" spans="1:6" ht="13.5" customHeight="1" hidden="1" outlineLevel="1">
      <c r="A62" s="214" t="s">
        <v>374</v>
      </c>
      <c r="B62" s="214">
        <v>411</v>
      </c>
      <c r="F62" s="65"/>
    </row>
    <row r="63" spans="1:6" ht="13.5" customHeight="1" hidden="1" outlineLevel="1">
      <c r="A63" s="214" t="s">
        <v>139</v>
      </c>
      <c r="B63" s="214">
        <v>1002.0099999999995</v>
      </c>
      <c r="F63" s="65"/>
    </row>
    <row r="64" spans="1:6" ht="13.5" customHeight="1" hidden="1" outlineLevel="1">
      <c r="A64" s="214" t="s">
        <v>370</v>
      </c>
      <c r="B64" s="214">
        <v>2.34</v>
      </c>
      <c r="F64" s="65"/>
    </row>
    <row r="65" spans="1:6" ht="13.5" customHeight="1" hidden="1" outlineLevel="1">
      <c r="A65" s="214" t="s">
        <v>140</v>
      </c>
      <c r="B65" s="214">
        <v>30121.87</v>
      </c>
      <c r="F65" s="65"/>
    </row>
    <row r="66" spans="1:6" ht="13.5" customHeight="1" hidden="1" outlineLevel="1">
      <c r="A66" s="214" t="s">
        <v>371</v>
      </c>
      <c r="B66" s="214">
        <v>1993.3600000000001</v>
      </c>
      <c r="F66" s="65"/>
    </row>
    <row r="67" spans="1:6" ht="13.5" customHeight="1" hidden="1" outlineLevel="1">
      <c r="A67" s="214" t="s">
        <v>141</v>
      </c>
      <c r="B67" s="214">
        <v>42.65</v>
      </c>
      <c r="F67" s="65"/>
    </row>
    <row r="68" spans="1:6" ht="13.5" customHeight="1" hidden="1" outlineLevel="1">
      <c r="A68" s="214" t="s">
        <v>372</v>
      </c>
      <c r="B68" s="214">
        <v>456.5999999999999</v>
      </c>
      <c r="F68" s="65"/>
    </row>
    <row r="69" spans="1:6" ht="13.5" customHeight="1" hidden="1" outlineLevel="1">
      <c r="A69" s="214" t="s">
        <v>142</v>
      </c>
      <c r="B69" s="214">
        <v>1647.35</v>
      </c>
      <c r="F69" s="65"/>
    </row>
    <row r="70" spans="1:6" ht="13.5" customHeight="1" hidden="1" outlineLevel="1">
      <c r="A70" s="214" t="s">
        <v>422</v>
      </c>
      <c r="B70" s="214">
        <v>18.369999999999997</v>
      </c>
      <c r="F70" s="65"/>
    </row>
    <row r="71" spans="1:6" ht="13.5" customHeight="1" hidden="1" outlineLevel="1">
      <c r="A71" s="214" t="s">
        <v>143</v>
      </c>
      <c r="B71" s="214">
        <v>1588.0399999999993</v>
      </c>
      <c r="F71" s="65"/>
    </row>
    <row r="72" spans="1:6" ht="13.5" customHeight="1" hidden="1" outlineLevel="1">
      <c r="A72" s="214" t="s">
        <v>144</v>
      </c>
      <c r="B72" s="214">
        <v>1019.899999999999</v>
      </c>
      <c r="F72" s="65"/>
    </row>
    <row r="73" spans="1:6" ht="13.5" customHeight="1" hidden="1" outlineLevel="1">
      <c r="A73" s="214" t="s">
        <v>145</v>
      </c>
      <c r="B73" s="214">
        <v>2172.899999999999</v>
      </c>
      <c r="F73" s="65"/>
    </row>
    <row r="74" spans="1:6" ht="13.5" customHeight="1" hidden="1" outlineLevel="1">
      <c r="A74" s="214" t="s">
        <v>146</v>
      </c>
      <c r="B74" s="214">
        <v>663.1400000000002</v>
      </c>
      <c r="F74" s="65"/>
    </row>
    <row r="75" spans="1:6" ht="13.5" customHeight="1" hidden="1" outlineLevel="1">
      <c r="A75" s="214" t="s">
        <v>147</v>
      </c>
      <c r="B75" s="214">
        <v>3033.920000000001</v>
      </c>
      <c r="F75" s="65"/>
    </row>
    <row r="76" spans="1:6" ht="13.5" customHeight="1" hidden="1" outlineLevel="1">
      <c r="A76" s="214" t="s">
        <v>148</v>
      </c>
      <c r="B76" s="214">
        <v>112.33</v>
      </c>
      <c r="F76" s="65"/>
    </row>
    <row r="77" spans="1:6" ht="13.5" customHeight="1" hidden="1" outlineLevel="1">
      <c r="A77" s="214" t="s">
        <v>149</v>
      </c>
      <c r="B77" s="214">
        <v>647.4800000000001</v>
      </c>
      <c r="F77" s="65"/>
    </row>
    <row r="78" spans="1:6" ht="13.5" customHeight="1" hidden="1" outlineLevel="1">
      <c r="A78" s="214" t="s">
        <v>432</v>
      </c>
      <c r="B78" s="214">
        <v>146.95000000000002</v>
      </c>
      <c r="F78" s="65"/>
    </row>
    <row r="79" spans="1:6" ht="13.5" customHeight="1" hidden="1" outlineLevel="1">
      <c r="A79" s="214" t="s">
        <v>150</v>
      </c>
      <c r="B79" s="214">
        <v>20471.129999999997</v>
      </c>
      <c r="F79" s="65"/>
    </row>
    <row r="80" spans="1:6" ht="13.5" customHeight="1" hidden="1" outlineLevel="1">
      <c r="A80" s="214" t="s">
        <v>151</v>
      </c>
      <c r="B80" s="214">
        <v>3571.1000000000017</v>
      </c>
      <c r="F80" s="65"/>
    </row>
    <row r="81" spans="1:6" ht="13.5" customHeight="1" hidden="1" outlineLevel="1">
      <c r="A81" s="214" t="s">
        <v>449</v>
      </c>
      <c r="B81" s="214">
        <v>0</v>
      </c>
      <c r="F81" s="65"/>
    </row>
    <row r="82" spans="1:6" ht="13.5" customHeight="1" hidden="1" outlineLevel="1">
      <c r="A82" s="214" t="s">
        <v>152</v>
      </c>
      <c r="B82" s="214">
        <v>15698.140000000034</v>
      </c>
      <c r="F82" s="65"/>
    </row>
    <row r="83" spans="1:6" ht="13.5" customHeight="1" hidden="1" outlineLevel="1">
      <c r="A83" s="214" t="s">
        <v>153</v>
      </c>
      <c r="B83" s="214">
        <v>184312.98</v>
      </c>
      <c r="F83" s="65"/>
    </row>
    <row r="84" spans="1:6" ht="13.5" customHeight="1" hidden="1" outlineLevel="1">
      <c r="A84" s="214" t="s">
        <v>154</v>
      </c>
      <c r="B84" s="214">
        <v>750.28</v>
      </c>
      <c r="F84" s="65"/>
    </row>
    <row r="85" spans="1:6" ht="13.5" customHeight="1" hidden="1" outlineLevel="1">
      <c r="A85" s="214" t="s">
        <v>337</v>
      </c>
      <c r="B85" s="214">
        <v>0.27</v>
      </c>
      <c r="F85" s="65"/>
    </row>
    <row r="86" spans="1:6" ht="13.5" customHeight="1" hidden="1" outlineLevel="1">
      <c r="A86" s="214" t="s">
        <v>338</v>
      </c>
      <c r="B86" s="214">
        <v>1466.1900000000007</v>
      </c>
      <c r="F86" s="65"/>
    </row>
    <row r="87" spans="1:6" ht="13.5" customHeight="1" hidden="1" outlineLevel="1">
      <c r="A87" s="214" t="s">
        <v>155</v>
      </c>
      <c r="B87" s="214">
        <v>91.68000000000016</v>
      </c>
      <c r="F87" s="65"/>
    </row>
    <row r="88" spans="1:6" ht="13.5" customHeight="1" collapsed="1">
      <c r="A88" s="215" t="s">
        <v>124</v>
      </c>
      <c r="B88" s="61">
        <f>SUM(B28:B87)</f>
        <v>559744.2400000003</v>
      </c>
      <c r="F88" s="65"/>
    </row>
    <row r="89" spans="1:6" ht="13.5" customHeight="1" hidden="1" outlineLevel="1">
      <c r="A89" s="213" t="s">
        <v>157</v>
      </c>
      <c r="B89" s="214">
        <v>69255</v>
      </c>
      <c r="F89" s="65"/>
    </row>
    <row r="90" spans="1:6" ht="13.5" customHeight="1" collapsed="1">
      <c r="A90" s="215" t="s">
        <v>156</v>
      </c>
      <c r="B90" s="61">
        <f>SUM(B89)</f>
        <v>69255</v>
      </c>
      <c r="F90" s="65"/>
    </row>
    <row r="91" spans="1:6" ht="13.5" customHeight="1" hidden="1" outlineLevel="1">
      <c r="A91" s="214" t="s">
        <v>445</v>
      </c>
      <c r="B91" s="214">
        <v>8.15</v>
      </c>
      <c r="F91" s="65"/>
    </row>
    <row r="92" spans="1:6" ht="13.5" customHeight="1" hidden="1" outlineLevel="1">
      <c r="A92" s="214" t="s">
        <v>125</v>
      </c>
      <c r="B92" s="214">
        <v>1714.3599999999997</v>
      </c>
      <c r="F92" s="65"/>
    </row>
    <row r="93" spans="1:6" ht="13.5" customHeight="1" hidden="1" outlineLevel="1">
      <c r="A93" s="214" t="s">
        <v>126</v>
      </c>
      <c r="B93" s="214">
        <v>306.19</v>
      </c>
      <c r="F93" s="65"/>
    </row>
    <row r="94" spans="1:6" ht="13.5" customHeight="1" hidden="1" outlineLevel="1">
      <c r="A94" s="214" t="s">
        <v>127</v>
      </c>
      <c r="B94" s="214">
        <v>7290.470000000002</v>
      </c>
      <c r="F94" s="65"/>
    </row>
    <row r="95" spans="1:6" ht="13.5" customHeight="1" hidden="1" outlineLevel="1">
      <c r="A95" s="214" t="s">
        <v>440</v>
      </c>
      <c r="B95" s="214">
        <v>20.929999999999996</v>
      </c>
      <c r="F95" s="65"/>
    </row>
    <row r="96" spans="1:6" ht="13.5" customHeight="1" hidden="1" outlineLevel="1">
      <c r="A96" s="214" t="s">
        <v>444</v>
      </c>
      <c r="B96" s="214">
        <v>1.22</v>
      </c>
      <c r="F96" s="65"/>
    </row>
    <row r="97" spans="1:6" ht="13.5" customHeight="1" hidden="1" outlineLevel="1">
      <c r="A97" s="214" t="s">
        <v>128</v>
      </c>
      <c r="B97" s="214">
        <v>41.08</v>
      </c>
      <c r="F97" s="65"/>
    </row>
    <row r="98" spans="1:6" ht="13.5" customHeight="1" hidden="1" outlineLevel="1">
      <c r="A98" s="214" t="s">
        <v>129</v>
      </c>
      <c r="B98" s="214">
        <v>60.670000000000016</v>
      </c>
      <c r="F98" s="65"/>
    </row>
    <row r="99" spans="1:6" ht="13.5" customHeight="1" hidden="1" outlineLevel="1">
      <c r="A99" s="214" t="s">
        <v>331</v>
      </c>
      <c r="B99" s="214">
        <v>127.21000000000001</v>
      </c>
      <c r="F99" s="65"/>
    </row>
    <row r="100" spans="1:6" ht="13.5" customHeight="1" hidden="1" outlineLevel="1">
      <c r="A100" s="214" t="s">
        <v>130</v>
      </c>
      <c r="B100" s="214">
        <v>1065.16</v>
      </c>
      <c r="F100" s="65"/>
    </row>
    <row r="101" spans="1:6" ht="13.5" customHeight="1" hidden="1" outlineLevel="1">
      <c r="A101" s="214" t="s">
        <v>131</v>
      </c>
      <c r="B101" s="214">
        <v>3030.940000000001</v>
      </c>
      <c r="F101" s="65"/>
    </row>
    <row r="102" spans="1:6" ht="13.5" customHeight="1" hidden="1" outlineLevel="1">
      <c r="A102" s="214" t="s">
        <v>332</v>
      </c>
      <c r="B102" s="214">
        <v>1886.5100000000004</v>
      </c>
      <c r="F102" s="65"/>
    </row>
    <row r="103" spans="1:6" ht="13.5" customHeight="1" hidden="1" outlineLevel="1">
      <c r="A103" s="214" t="s">
        <v>333</v>
      </c>
      <c r="B103" s="214">
        <v>28.310000000000002</v>
      </c>
      <c r="F103" s="65"/>
    </row>
    <row r="104" spans="1:6" ht="13.5" customHeight="1" hidden="1" outlineLevel="1">
      <c r="A104" s="214" t="s">
        <v>441</v>
      </c>
      <c r="B104" s="214">
        <v>0.49</v>
      </c>
      <c r="F104" s="65"/>
    </row>
    <row r="105" spans="1:6" ht="13.5" customHeight="1" hidden="1" outlineLevel="1">
      <c r="A105" s="214" t="s">
        <v>132</v>
      </c>
      <c r="B105" s="214">
        <v>430.19</v>
      </c>
      <c r="F105" s="65"/>
    </row>
    <row r="106" spans="1:6" ht="13.5" customHeight="1" hidden="1" outlineLevel="1">
      <c r="A106" s="214" t="s">
        <v>133</v>
      </c>
      <c r="B106" s="214">
        <v>234.50000000000003</v>
      </c>
      <c r="F106" s="65"/>
    </row>
    <row r="107" spans="1:6" ht="13.5" customHeight="1" hidden="1" outlineLevel="1">
      <c r="A107" s="214" t="s">
        <v>367</v>
      </c>
      <c r="B107" s="214">
        <v>108.89</v>
      </c>
      <c r="F107" s="65"/>
    </row>
    <row r="108" spans="1:6" ht="13.5" customHeight="1" hidden="1" outlineLevel="1">
      <c r="A108" s="214" t="s">
        <v>134</v>
      </c>
      <c r="B108" s="214">
        <v>6.729999999999999</v>
      </c>
      <c r="F108" s="65"/>
    </row>
    <row r="109" spans="1:6" ht="13.5" customHeight="1" hidden="1" outlineLevel="1">
      <c r="A109" s="214" t="s">
        <v>368</v>
      </c>
      <c r="B109" s="214">
        <v>1.8099999999999996</v>
      </c>
      <c r="F109" s="65"/>
    </row>
    <row r="110" spans="1:6" ht="13.5" customHeight="1" hidden="1" outlineLevel="1">
      <c r="A110" s="214" t="s">
        <v>448</v>
      </c>
      <c r="B110" s="214">
        <v>0</v>
      </c>
      <c r="F110" s="65"/>
    </row>
    <row r="111" spans="1:6" ht="13.5" customHeight="1" hidden="1" outlineLevel="1">
      <c r="A111" s="214" t="s">
        <v>421</v>
      </c>
      <c r="B111" s="214">
        <v>4.290000000000001</v>
      </c>
      <c r="F111" s="65"/>
    </row>
    <row r="112" spans="1:6" ht="13.5" customHeight="1" hidden="1" outlineLevel="1">
      <c r="A112" s="214" t="s">
        <v>373</v>
      </c>
      <c r="B112" s="214">
        <v>1338.5900000000001</v>
      </c>
      <c r="F112" s="65"/>
    </row>
    <row r="113" spans="1:6" ht="13.5" customHeight="1" hidden="1" outlineLevel="1">
      <c r="A113" s="214" t="s">
        <v>334</v>
      </c>
      <c r="B113" s="214">
        <v>689.82</v>
      </c>
      <c r="F113" s="65"/>
    </row>
    <row r="114" spans="1:6" ht="13.5" customHeight="1" hidden="1" outlineLevel="1">
      <c r="A114" s="214" t="s">
        <v>446</v>
      </c>
      <c r="B114" s="214">
        <v>41</v>
      </c>
      <c r="F114" s="65"/>
    </row>
    <row r="115" spans="1:6" ht="13.5" customHeight="1" hidden="1" outlineLevel="1">
      <c r="A115" s="214" t="s">
        <v>335</v>
      </c>
      <c r="B115" s="214">
        <v>169.81000000000003</v>
      </c>
      <c r="F115" s="65"/>
    </row>
    <row r="116" spans="1:6" ht="13.5" customHeight="1" hidden="1" outlineLevel="1">
      <c r="A116" s="214" t="s">
        <v>336</v>
      </c>
      <c r="B116" s="214">
        <v>165.35000000000002</v>
      </c>
      <c r="F116" s="65"/>
    </row>
    <row r="117" spans="1:6" ht="13.5" customHeight="1" hidden="1" outlineLevel="1">
      <c r="A117" s="214" t="s">
        <v>135</v>
      </c>
      <c r="B117" s="214">
        <v>28955.19</v>
      </c>
      <c r="F117" s="65"/>
    </row>
    <row r="118" spans="1:6" ht="13.5" customHeight="1" hidden="1" outlineLevel="1">
      <c r="A118" s="214" t="s">
        <v>136</v>
      </c>
      <c r="B118" s="214">
        <v>144.74999999999997</v>
      </c>
      <c r="F118" s="65"/>
    </row>
    <row r="119" spans="1:6" ht="13.5" customHeight="1" hidden="1" outlineLevel="1">
      <c r="A119" s="214" t="s">
        <v>137</v>
      </c>
      <c r="B119" s="214">
        <v>127873.41999999998</v>
      </c>
      <c r="F119" s="65"/>
    </row>
    <row r="120" spans="1:6" ht="13.5" customHeight="1" hidden="1" outlineLevel="1">
      <c r="A120" s="214" t="s">
        <v>138</v>
      </c>
      <c r="B120" s="214">
        <v>7775.020000000001</v>
      </c>
      <c r="F120" s="65"/>
    </row>
    <row r="121" spans="1:6" ht="13.5" customHeight="1" hidden="1" outlineLevel="1">
      <c r="A121" s="214" t="s">
        <v>369</v>
      </c>
      <c r="B121" s="214">
        <v>3943.44</v>
      </c>
      <c r="F121" s="65"/>
    </row>
    <row r="122" spans="1:6" ht="13.5" customHeight="1" hidden="1" outlineLevel="1">
      <c r="A122" s="214" t="s">
        <v>374</v>
      </c>
      <c r="B122" s="214">
        <v>1020.83</v>
      </c>
      <c r="F122" s="65"/>
    </row>
    <row r="123" spans="1:6" ht="13.5" customHeight="1" hidden="1" outlineLevel="1">
      <c r="A123" s="214" t="s">
        <v>139</v>
      </c>
      <c r="B123" s="214">
        <v>466.53</v>
      </c>
      <c r="F123" s="65"/>
    </row>
    <row r="124" spans="1:6" ht="13.5" customHeight="1" hidden="1" outlineLevel="1">
      <c r="A124" s="214" t="s">
        <v>140</v>
      </c>
      <c r="B124" s="214">
        <v>19703.440000000002</v>
      </c>
      <c r="F124" s="65"/>
    </row>
    <row r="125" spans="1:6" ht="13.5" customHeight="1" hidden="1" outlineLevel="1">
      <c r="A125" s="214" t="s">
        <v>371</v>
      </c>
      <c r="B125" s="214">
        <v>429.31999999999994</v>
      </c>
      <c r="F125" s="65"/>
    </row>
    <row r="126" spans="1:6" ht="13.5" customHeight="1" hidden="1" outlineLevel="1">
      <c r="A126" s="214" t="s">
        <v>141</v>
      </c>
      <c r="B126" s="214">
        <v>15.870000000000001</v>
      </c>
      <c r="F126" s="65"/>
    </row>
    <row r="127" spans="1:6" ht="13.5" customHeight="1" hidden="1" outlineLevel="1">
      <c r="A127" s="214" t="s">
        <v>372</v>
      </c>
      <c r="B127" s="214">
        <v>130.04000000000002</v>
      </c>
      <c r="F127" s="65"/>
    </row>
    <row r="128" spans="1:6" ht="13.5" customHeight="1" hidden="1" outlineLevel="1">
      <c r="A128" s="214" t="s">
        <v>142</v>
      </c>
      <c r="B128" s="214">
        <v>751.98</v>
      </c>
      <c r="F128" s="65"/>
    </row>
    <row r="129" spans="1:6" ht="13.5" customHeight="1" hidden="1" outlineLevel="1">
      <c r="A129" s="214" t="s">
        <v>422</v>
      </c>
      <c r="B129" s="214">
        <v>7.510000000000001</v>
      </c>
      <c r="F129" s="65"/>
    </row>
    <row r="130" spans="1:6" ht="13.5" customHeight="1" hidden="1" outlineLevel="1">
      <c r="A130" s="214" t="s">
        <v>143</v>
      </c>
      <c r="B130" s="214">
        <v>694.35</v>
      </c>
      <c r="F130" s="65"/>
    </row>
    <row r="131" spans="1:6" ht="13.5" customHeight="1" hidden="1" outlineLevel="1">
      <c r="A131" s="214" t="s">
        <v>144</v>
      </c>
      <c r="B131" s="214">
        <v>467.0000000000002</v>
      </c>
      <c r="F131" s="65"/>
    </row>
    <row r="132" spans="1:6" ht="13.5" customHeight="1" hidden="1" outlineLevel="1">
      <c r="A132" s="214" t="s">
        <v>145</v>
      </c>
      <c r="B132" s="214">
        <v>887.14</v>
      </c>
      <c r="F132" s="65"/>
    </row>
    <row r="133" spans="1:6" ht="13.5" customHeight="1" hidden="1" outlineLevel="1">
      <c r="A133" s="214" t="s">
        <v>146</v>
      </c>
      <c r="B133" s="214">
        <v>361.9100000000001</v>
      </c>
      <c r="F133" s="65"/>
    </row>
    <row r="134" spans="1:6" ht="13.5" customHeight="1" hidden="1" outlineLevel="1">
      <c r="A134" s="214" t="s">
        <v>147</v>
      </c>
      <c r="B134" s="214">
        <v>1311.4599999999996</v>
      </c>
      <c r="F134" s="65"/>
    </row>
    <row r="135" spans="1:6" ht="13.5" customHeight="1" hidden="1" outlineLevel="1">
      <c r="A135" s="214" t="s">
        <v>148</v>
      </c>
      <c r="B135" s="214">
        <v>62.94000000000001</v>
      </c>
      <c r="F135" s="65"/>
    </row>
    <row r="136" spans="1:6" ht="13.5" customHeight="1" hidden="1" outlineLevel="1">
      <c r="A136" s="214" t="s">
        <v>149</v>
      </c>
      <c r="B136" s="214">
        <v>272.4200000000001</v>
      </c>
      <c r="F136" s="65"/>
    </row>
    <row r="137" spans="1:6" ht="13.5" customHeight="1" hidden="1" outlineLevel="1">
      <c r="A137" s="214" t="s">
        <v>432</v>
      </c>
      <c r="B137" s="214">
        <v>42.260000000000005</v>
      </c>
      <c r="F137" s="65"/>
    </row>
    <row r="138" spans="1:6" ht="13.5" customHeight="1" hidden="1" outlineLevel="1">
      <c r="A138" s="214" t="s">
        <v>150</v>
      </c>
      <c r="B138" s="214">
        <v>9674.500000000004</v>
      </c>
      <c r="F138" s="65"/>
    </row>
    <row r="139" spans="1:6" ht="13.5" customHeight="1" hidden="1" outlineLevel="1">
      <c r="A139" s="214" t="s">
        <v>151</v>
      </c>
      <c r="B139" s="214">
        <v>1772.969999999999</v>
      </c>
      <c r="F139" s="65"/>
    </row>
    <row r="140" spans="1:6" ht="13.5" customHeight="1" hidden="1" outlineLevel="1">
      <c r="A140" s="214" t="s">
        <v>449</v>
      </c>
      <c r="B140" s="214">
        <v>0</v>
      </c>
      <c r="F140" s="65"/>
    </row>
    <row r="141" spans="1:6" ht="13.5" customHeight="1" hidden="1" outlineLevel="1">
      <c r="A141" s="214" t="s">
        <v>152</v>
      </c>
      <c r="B141" s="214">
        <v>9853.809999999996</v>
      </c>
      <c r="F141" s="65"/>
    </row>
    <row r="142" spans="1:6" ht="13.5" customHeight="1" hidden="1" outlineLevel="1">
      <c r="A142" s="214" t="s">
        <v>423</v>
      </c>
      <c r="B142" s="214">
        <v>625</v>
      </c>
      <c r="F142" s="65"/>
    </row>
    <row r="143" spans="1:6" ht="13.5" customHeight="1" hidden="1" outlineLevel="1">
      <c r="A143" s="214" t="s">
        <v>153</v>
      </c>
      <c r="B143" s="214">
        <v>18940.440000000002</v>
      </c>
      <c r="F143" s="65"/>
    </row>
    <row r="144" spans="1:6" ht="13.5" customHeight="1" hidden="1" outlineLevel="1">
      <c r="A144" s="214" t="s">
        <v>154</v>
      </c>
      <c r="B144" s="214">
        <v>383.39000000000004</v>
      </c>
      <c r="F144" s="65"/>
    </row>
    <row r="145" spans="1:6" ht="13.5" customHeight="1" hidden="1" outlineLevel="1">
      <c r="A145" s="214" t="s">
        <v>337</v>
      </c>
      <c r="B145" s="214">
        <v>0.02</v>
      </c>
      <c r="F145" s="65"/>
    </row>
    <row r="146" spans="1:6" ht="13.5" customHeight="1" hidden="1" outlineLevel="1">
      <c r="A146" s="214" t="s">
        <v>338</v>
      </c>
      <c r="B146" s="214">
        <v>211.1700000000001</v>
      </c>
      <c r="F146" s="65"/>
    </row>
    <row r="147" spans="1:6" ht="13.5" customHeight="1" hidden="1" outlineLevel="1">
      <c r="A147" s="214" t="s">
        <v>155</v>
      </c>
      <c r="B147" s="214">
        <v>58.28000000000002</v>
      </c>
      <c r="F147" s="65"/>
    </row>
    <row r="148" spans="1:6" ht="13.5" customHeight="1" collapsed="1">
      <c r="A148" s="215" t="s">
        <v>158</v>
      </c>
      <c r="B148" s="61">
        <f>SUM(B91:B147)</f>
        <v>255609.07000000004</v>
      </c>
      <c r="F148" s="65"/>
    </row>
    <row r="149" spans="1:6" ht="13.5" customHeight="1" hidden="1" outlineLevel="1">
      <c r="A149" s="214" t="s">
        <v>324</v>
      </c>
      <c r="B149" s="214">
        <v>7628</v>
      </c>
      <c r="F149" s="65"/>
    </row>
    <row r="150" spans="1:6" ht="13.5" customHeight="1" hidden="1" outlineLevel="1">
      <c r="A150" s="214" t="s">
        <v>328</v>
      </c>
      <c r="B150" s="214">
        <v>29487</v>
      </c>
      <c r="F150" s="65"/>
    </row>
    <row r="151" spans="1:6" ht="13.5" customHeight="1" hidden="1" outlineLevel="1">
      <c r="A151" s="214" t="s">
        <v>157</v>
      </c>
      <c r="B151" s="214">
        <v>13651</v>
      </c>
      <c r="F151" s="65"/>
    </row>
    <row r="152" spans="1:6" ht="13.5" customHeight="1" hidden="1" outlineLevel="1">
      <c r="A152" s="214" t="s">
        <v>160</v>
      </c>
      <c r="B152" s="214">
        <v>3630</v>
      </c>
      <c r="F152" s="65"/>
    </row>
    <row r="153" spans="1:6" ht="13.5" customHeight="1" hidden="1" outlineLevel="1">
      <c r="A153" s="214" t="s">
        <v>325</v>
      </c>
      <c r="B153" s="214">
        <v>5728.76</v>
      </c>
      <c r="F153" s="65"/>
    </row>
    <row r="154" spans="1:6" ht="13.5" customHeight="1" hidden="1" outlineLevel="1">
      <c r="A154" s="214" t="s">
        <v>326</v>
      </c>
      <c r="B154" s="214">
        <v>214</v>
      </c>
      <c r="F154" s="65"/>
    </row>
    <row r="155" spans="1:6" ht="13.5" customHeight="1" hidden="1" outlineLevel="1">
      <c r="A155" s="214" t="s">
        <v>161</v>
      </c>
      <c r="B155" s="214">
        <v>3924</v>
      </c>
      <c r="F155" s="65"/>
    </row>
    <row r="156" spans="1:6" ht="13.5" customHeight="1" hidden="1" outlineLevel="1">
      <c r="A156" s="214" t="s">
        <v>162</v>
      </c>
      <c r="B156" s="214">
        <v>16670.56</v>
      </c>
      <c r="F156" s="65"/>
    </row>
    <row r="157" spans="1:6" ht="13.5" customHeight="1" hidden="1" outlineLevel="1">
      <c r="A157" s="214" t="s">
        <v>329</v>
      </c>
      <c r="B157" s="214">
        <v>376</v>
      </c>
      <c r="F157" s="65"/>
    </row>
    <row r="158" spans="1:6" ht="13.5" customHeight="1" hidden="1" outlineLevel="1">
      <c r="A158" s="214" t="s">
        <v>163</v>
      </c>
      <c r="B158" s="214">
        <v>35822.03999999999</v>
      </c>
      <c r="F158" s="65"/>
    </row>
    <row r="159" spans="1:6" ht="13.5" customHeight="1" hidden="1" outlineLevel="1">
      <c r="A159" s="214" t="s">
        <v>164</v>
      </c>
      <c r="B159" s="214">
        <v>340.12</v>
      </c>
      <c r="F159" s="65"/>
    </row>
    <row r="160" spans="1:6" ht="13.5" customHeight="1" hidden="1" outlineLevel="1">
      <c r="A160" s="214" t="s">
        <v>327</v>
      </c>
      <c r="B160" s="214">
        <v>15769</v>
      </c>
      <c r="F160" s="65"/>
    </row>
    <row r="161" spans="1:6" ht="13.5" customHeight="1" hidden="1" outlineLevel="1">
      <c r="A161" s="214" t="s">
        <v>165</v>
      </c>
      <c r="B161" s="214">
        <v>2785</v>
      </c>
      <c r="F161" s="65"/>
    </row>
    <row r="162" spans="1:6" ht="13.5" customHeight="1" hidden="1" outlineLevel="1">
      <c r="A162" s="214" t="s">
        <v>166</v>
      </c>
      <c r="B162" s="214">
        <v>5450</v>
      </c>
      <c r="F162" s="65"/>
    </row>
    <row r="163" spans="1:6" ht="13.5" customHeight="1" hidden="1" outlineLevel="1">
      <c r="A163" s="214" t="s">
        <v>330</v>
      </c>
      <c r="B163" s="214">
        <v>1790</v>
      </c>
      <c r="F163" s="65"/>
    </row>
    <row r="164" spans="1:6" ht="13.5" customHeight="1" hidden="1" outlineLevel="1">
      <c r="A164" s="214" t="s">
        <v>167</v>
      </c>
      <c r="B164" s="214">
        <v>5128</v>
      </c>
      <c r="F164" s="65"/>
    </row>
    <row r="165" spans="1:6" ht="13.5" customHeight="1" hidden="1" outlineLevel="1">
      <c r="A165" s="214" t="s">
        <v>168</v>
      </c>
      <c r="B165" s="214">
        <v>6474.049999999999</v>
      </c>
      <c r="F165" s="65"/>
    </row>
    <row r="166" spans="1:6" ht="13.5" customHeight="1" collapsed="1">
      <c r="A166" s="215" t="s">
        <v>159</v>
      </c>
      <c r="B166" s="61">
        <f>SUM(B149:B165)</f>
        <v>154867.52999999997</v>
      </c>
      <c r="F166" s="65"/>
    </row>
    <row r="167" spans="1:6" ht="13.5" customHeight="1" hidden="1" outlineLevel="1">
      <c r="A167" s="214" t="s">
        <v>328</v>
      </c>
      <c r="B167" s="214">
        <v>204196</v>
      </c>
      <c r="F167" s="65"/>
    </row>
    <row r="168" spans="1:6" ht="13.5" customHeight="1" hidden="1" outlineLevel="1">
      <c r="A168" s="214" t="s">
        <v>162</v>
      </c>
      <c r="B168" s="214">
        <v>238315.50999999998</v>
      </c>
      <c r="F168" s="65"/>
    </row>
    <row r="169" spans="1:6" ht="13.5" customHeight="1" hidden="1" outlineLevel="1">
      <c r="A169" s="214" t="s">
        <v>163</v>
      </c>
      <c r="B169" s="214">
        <v>234515.09999999998</v>
      </c>
      <c r="F169" s="65"/>
    </row>
    <row r="170" spans="1:6" ht="13.5" customHeight="1" hidden="1" outlineLevel="1">
      <c r="A170" s="214" t="s">
        <v>327</v>
      </c>
      <c r="B170" s="214">
        <v>136914</v>
      </c>
      <c r="F170" s="65"/>
    </row>
    <row r="171" spans="1:6" ht="13.5" customHeight="1" hidden="1" outlineLevel="1">
      <c r="A171" s="214" t="s">
        <v>168</v>
      </c>
      <c r="B171" s="214">
        <v>40505.61000000001</v>
      </c>
      <c r="F171" s="65"/>
    </row>
    <row r="172" spans="1:6" ht="13.5" customHeight="1" collapsed="1">
      <c r="A172" s="215" t="s">
        <v>169</v>
      </c>
      <c r="B172" s="61">
        <f>SUM(B167:B171)</f>
        <v>854446.22</v>
      </c>
      <c r="F172" s="65"/>
    </row>
    <row r="173" spans="1:6" ht="13.5" customHeight="1" hidden="1" outlineLevel="1">
      <c r="A173" s="214" t="s">
        <v>328</v>
      </c>
      <c r="B173" s="214">
        <v>3191780</v>
      </c>
      <c r="F173" s="65"/>
    </row>
    <row r="174" spans="1:6" ht="13.5" customHeight="1" hidden="1" outlineLevel="1">
      <c r="A174" s="214" t="s">
        <v>162</v>
      </c>
      <c r="B174" s="214">
        <v>2251363.45</v>
      </c>
      <c r="F174" s="65"/>
    </row>
    <row r="175" spans="1:6" ht="13.5" customHeight="1" hidden="1" outlineLevel="1">
      <c r="A175" s="214" t="s">
        <v>163</v>
      </c>
      <c r="B175" s="214">
        <v>4041733.6300000004</v>
      </c>
      <c r="F175" s="65"/>
    </row>
    <row r="176" spans="1:6" ht="13.5" customHeight="1" hidden="1" outlineLevel="1">
      <c r="A176" s="214" t="s">
        <v>327</v>
      </c>
      <c r="B176" s="214">
        <v>1433246</v>
      </c>
      <c r="F176" s="65"/>
    </row>
    <row r="177" spans="1:6" ht="13.5" customHeight="1" hidden="1" outlineLevel="1">
      <c r="A177" s="214" t="s">
        <v>168</v>
      </c>
      <c r="B177" s="214">
        <v>310404.1500000001</v>
      </c>
      <c r="F177" s="65"/>
    </row>
    <row r="178" spans="1:6" ht="13.5" customHeight="1" collapsed="1">
      <c r="A178" s="215" t="s">
        <v>170</v>
      </c>
      <c r="B178" s="61">
        <f>SUM(B173:B177)</f>
        <v>11228527.23</v>
      </c>
      <c r="F178" s="65"/>
    </row>
    <row r="179" spans="1:6" ht="13.5" customHeight="1" hidden="1" outlineLevel="1">
      <c r="A179" s="214" t="s">
        <v>324</v>
      </c>
      <c r="B179" s="214">
        <v>108714.23000000001</v>
      </c>
      <c r="F179" s="65"/>
    </row>
    <row r="180" spans="1:6" ht="13.5" customHeight="1" hidden="1" outlineLevel="1">
      <c r="A180" s="214" t="s">
        <v>160</v>
      </c>
      <c r="B180" s="214">
        <v>17413.79</v>
      </c>
      <c r="F180" s="65"/>
    </row>
    <row r="181" spans="1:6" ht="13.5" customHeight="1" hidden="1" outlineLevel="1">
      <c r="A181" s="214" t="s">
        <v>325</v>
      </c>
      <c r="B181" s="214">
        <v>26037</v>
      </c>
      <c r="F181" s="65"/>
    </row>
    <row r="182" spans="1:6" ht="13.5" customHeight="1" hidden="1" outlineLevel="1">
      <c r="A182" s="214" t="s">
        <v>326</v>
      </c>
      <c r="B182" s="214">
        <v>4194</v>
      </c>
      <c r="F182" s="65"/>
    </row>
    <row r="183" spans="1:6" ht="13.5" customHeight="1" hidden="1" outlineLevel="1">
      <c r="A183" s="214" t="s">
        <v>161</v>
      </c>
      <c r="B183" s="214">
        <v>60137</v>
      </c>
      <c r="F183" s="65"/>
    </row>
    <row r="184" spans="1:6" ht="13.5" customHeight="1" hidden="1" outlineLevel="1">
      <c r="A184" s="214" t="s">
        <v>329</v>
      </c>
      <c r="B184" s="214">
        <v>11030.02</v>
      </c>
      <c r="F184" s="65"/>
    </row>
    <row r="185" spans="1:6" ht="13.5" customHeight="1" hidden="1" outlineLevel="1">
      <c r="A185" s="214" t="s">
        <v>163</v>
      </c>
      <c r="B185" s="214">
        <v>57901.53</v>
      </c>
      <c r="F185" s="65"/>
    </row>
    <row r="186" spans="1:6" ht="13.5" customHeight="1" hidden="1" outlineLevel="1">
      <c r="A186" s="214" t="s">
        <v>164</v>
      </c>
      <c r="B186" s="214">
        <v>5860.580000000001</v>
      </c>
      <c r="F186" s="65"/>
    </row>
    <row r="187" spans="1:6" ht="13.5" customHeight="1" hidden="1" outlineLevel="1">
      <c r="A187" s="214" t="s">
        <v>327</v>
      </c>
      <c r="B187" s="214">
        <v>26120</v>
      </c>
      <c r="F187" s="65"/>
    </row>
    <row r="188" spans="1:6" ht="13.5" customHeight="1" hidden="1" outlineLevel="1">
      <c r="A188" s="214" t="s">
        <v>165</v>
      </c>
      <c r="B188" s="214">
        <v>52578</v>
      </c>
      <c r="F188" s="65"/>
    </row>
    <row r="189" spans="1:6" ht="13.5" customHeight="1" hidden="1" outlineLevel="1">
      <c r="A189" s="214" t="s">
        <v>166</v>
      </c>
      <c r="B189" s="214">
        <v>13777</v>
      </c>
      <c r="F189" s="65"/>
    </row>
    <row r="190" spans="1:6" ht="13.5" customHeight="1" hidden="1" outlineLevel="1">
      <c r="A190" s="214" t="s">
        <v>330</v>
      </c>
      <c r="B190" s="214">
        <v>47357.06000000001</v>
      </c>
      <c r="F190" s="65"/>
    </row>
    <row r="191" spans="1:6" ht="13.5" customHeight="1" hidden="1" outlineLevel="1">
      <c r="A191" s="214" t="s">
        <v>167</v>
      </c>
      <c r="B191" s="214">
        <v>91095</v>
      </c>
      <c r="F191" s="65"/>
    </row>
    <row r="192" spans="1:6" ht="13.5" customHeight="1" collapsed="1">
      <c r="A192" s="215" t="s">
        <v>171</v>
      </c>
      <c r="B192" s="61">
        <f>SUM(B179:B191)</f>
        <v>522215.21</v>
      </c>
      <c r="F192" s="65"/>
    </row>
    <row r="193" spans="1:6" ht="13.5" customHeight="1" hidden="1" outlineLevel="1">
      <c r="A193" s="214" t="s">
        <v>324</v>
      </c>
      <c r="B193" s="214">
        <v>1306464.8299999998</v>
      </c>
      <c r="F193" s="65"/>
    </row>
    <row r="194" spans="1:6" ht="13.5" customHeight="1" hidden="1" outlineLevel="1">
      <c r="A194" s="214" t="s">
        <v>160</v>
      </c>
      <c r="B194" s="214">
        <v>140470.76</v>
      </c>
      <c r="F194" s="65"/>
    </row>
    <row r="195" spans="1:6" ht="13.5" customHeight="1" hidden="1" outlineLevel="1">
      <c r="A195" s="214" t="s">
        <v>325</v>
      </c>
      <c r="B195" s="214">
        <v>247684.22</v>
      </c>
      <c r="F195" s="65"/>
    </row>
    <row r="196" spans="1:6" ht="13.5" customHeight="1" hidden="1" outlineLevel="1">
      <c r="A196" s="214" t="s">
        <v>326</v>
      </c>
      <c r="B196" s="214">
        <v>51437</v>
      </c>
      <c r="F196" s="65"/>
    </row>
    <row r="197" spans="1:6" ht="13.5" customHeight="1" hidden="1" outlineLevel="1">
      <c r="A197" s="214" t="s">
        <v>161</v>
      </c>
      <c r="B197" s="214">
        <v>816179</v>
      </c>
      <c r="F197" s="65"/>
    </row>
    <row r="198" spans="1:6" ht="13.5" customHeight="1" hidden="1" outlineLevel="1">
      <c r="A198" s="214" t="s">
        <v>329</v>
      </c>
      <c r="B198" s="214">
        <v>108243.46</v>
      </c>
      <c r="F198" s="65"/>
    </row>
    <row r="199" spans="1:6" ht="13.5" customHeight="1" hidden="1" outlineLevel="1">
      <c r="A199" s="214" t="s">
        <v>163</v>
      </c>
      <c r="B199" s="214">
        <v>881679.8199999998</v>
      </c>
      <c r="F199" s="65"/>
    </row>
    <row r="200" spans="1:6" ht="13.5" customHeight="1" hidden="1" outlineLevel="1">
      <c r="A200" s="214" t="s">
        <v>164</v>
      </c>
      <c r="B200" s="214">
        <v>67066.79000000001</v>
      </c>
      <c r="F200" s="65"/>
    </row>
    <row r="201" spans="1:6" ht="13.5" customHeight="1" hidden="1" outlineLevel="1">
      <c r="A201" s="214" t="s">
        <v>327</v>
      </c>
      <c r="B201" s="214">
        <v>264031</v>
      </c>
      <c r="F201" s="65"/>
    </row>
    <row r="202" spans="1:6" ht="13.5" customHeight="1" hidden="1" outlineLevel="1">
      <c r="A202" s="214" t="s">
        <v>165</v>
      </c>
      <c r="B202" s="214">
        <v>892769</v>
      </c>
      <c r="F202" s="65"/>
    </row>
    <row r="203" spans="1:6" ht="13.5" customHeight="1" hidden="1" outlineLevel="1">
      <c r="A203" s="214" t="s">
        <v>166</v>
      </c>
      <c r="B203" s="214">
        <v>186335</v>
      </c>
      <c r="F203" s="65"/>
    </row>
    <row r="204" spans="1:6" ht="13.5" customHeight="1" hidden="1" outlineLevel="1">
      <c r="A204" s="214" t="s">
        <v>330</v>
      </c>
      <c r="B204" s="214">
        <v>529976.63</v>
      </c>
      <c r="F204" s="65"/>
    </row>
    <row r="205" spans="1:6" ht="13.5" customHeight="1" hidden="1" outlineLevel="1">
      <c r="A205" s="214" t="s">
        <v>167</v>
      </c>
      <c r="B205" s="214">
        <v>638881</v>
      </c>
      <c r="F205" s="65"/>
    </row>
    <row r="206" spans="1:6" ht="13.5" customHeight="1" collapsed="1">
      <c r="A206" s="215" t="s">
        <v>172</v>
      </c>
      <c r="B206" s="61">
        <f>SUM(B193:B205)</f>
        <v>6131218.509999999</v>
      </c>
      <c r="F206" s="65"/>
    </row>
    <row r="207" spans="1:6" ht="13.5" customHeight="1" hidden="1" outlineLevel="1">
      <c r="A207" s="214" t="s">
        <v>328</v>
      </c>
      <c r="B207" s="214">
        <v>29786</v>
      </c>
      <c r="F207" s="65"/>
    </row>
    <row r="208" spans="1:6" ht="13.5" customHeight="1" hidden="1" outlineLevel="1">
      <c r="A208" s="214" t="s">
        <v>162</v>
      </c>
      <c r="B208" s="214">
        <v>22056.52</v>
      </c>
      <c r="F208" s="65"/>
    </row>
    <row r="209" spans="1:6" ht="13.5" customHeight="1" hidden="1" outlineLevel="1">
      <c r="A209" s="214" t="s">
        <v>163</v>
      </c>
      <c r="B209" s="214">
        <v>4203.09</v>
      </c>
      <c r="F209" s="65"/>
    </row>
    <row r="210" spans="1:6" ht="13.5" customHeight="1" hidden="1" outlineLevel="1">
      <c r="A210" s="214" t="s">
        <v>327</v>
      </c>
      <c r="B210" s="214">
        <v>2235</v>
      </c>
      <c r="F210" s="65"/>
    </row>
    <row r="211" spans="1:6" ht="13.5" customHeight="1" hidden="1" outlineLevel="1">
      <c r="A211" s="214" t="s">
        <v>168</v>
      </c>
      <c r="B211" s="214">
        <v>11369.84</v>
      </c>
      <c r="F211" s="65"/>
    </row>
    <row r="212" spans="1:6" ht="13.5" customHeight="1" collapsed="1">
      <c r="A212" s="215" t="s">
        <v>174</v>
      </c>
      <c r="B212" s="61">
        <f>SUM(B207:B211)</f>
        <v>69650.45</v>
      </c>
      <c r="F212" s="65"/>
    </row>
    <row r="213" spans="1:6" ht="13.5" customHeight="1" hidden="1" outlineLevel="1">
      <c r="A213" s="214" t="s">
        <v>328</v>
      </c>
      <c r="B213" s="214">
        <v>484462</v>
      </c>
      <c r="F213" s="65"/>
    </row>
    <row r="214" spans="1:6" ht="13.5" customHeight="1" hidden="1" outlineLevel="1">
      <c r="A214" s="214" t="s">
        <v>162</v>
      </c>
      <c r="B214" s="214">
        <v>194320.98</v>
      </c>
      <c r="F214" s="65"/>
    </row>
    <row r="215" spans="1:6" ht="13.5" customHeight="1" hidden="1" outlineLevel="1">
      <c r="A215" s="214" t="s">
        <v>163</v>
      </c>
      <c r="B215" s="214">
        <v>72498.04000000001</v>
      </c>
      <c r="F215" s="65"/>
    </row>
    <row r="216" spans="1:6" ht="13.5" customHeight="1" hidden="1" outlineLevel="1">
      <c r="A216" s="214" t="s">
        <v>327</v>
      </c>
      <c r="B216" s="214">
        <v>26680</v>
      </c>
      <c r="F216" s="65"/>
    </row>
    <row r="217" spans="1:6" ht="13.5" customHeight="1" hidden="1" outlineLevel="1">
      <c r="A217" s="214" t="s">
        <v>168</v>
      </c>
      <c r="B217" s="214">
        <v>89830.43999999999</v>
      </c>
      <c r="F217" s="65"/>
    </row>
    <row r="218" spans="1:6" ht="13.5" customHeight="1" collapsed="1">
      <c r="A218" s="215" t="s">
        <v>175</v>
      </c>
      <c r="B218" s="61">
        <f>SUM(B213:B217)</f>
        <v>867791.46</v>
      </c>
      <c r="F218" s="65"/>
    </row>
    <row r="219" spans="1:6" ht="13.5" customHeight="1" hidden="1" outlineLevel="1">
      <c r="A219" s="214" t="s">
        <v>324</v>
      </c>
      <c r="B219" s="214">
        <v>16147</v>
      </c>
      <c r="F219" s="65"/>
    </row>
    <row r="220" spans="1:6" ht="13.5" customHeight="1" hidden="1" outlineLevel="1">
      <c r="A220" s="214" t="s">
        <v>160</v>
      </c>
      <c r="B220" s="214">
        <v>839.2199999999999</v>
      </c>
      <c r="F220" s="65"/>
    </row>
    <row r="221" spans="1:6" ht="13.5" customHeight="1" hidden="1" outlineLevel="1">
      <c r="A221" s="214" t="s">
        <v>325</v>
      </c>
      <c r="B221" s="214">
        <v>2379</v>
      </c>
      <c r="F221" s="65"/>
    </row>
    <row r="222" spans="1:6" ht="13.5" customHeight="1" hidden="1" outlineLevel="1">
      <c r="A222" s="214" t="s">
        <v>326</v>
      </c>
      <c r="B222" s="214">
        <v>1518</v>
      </c>
      <c r="F222" s="65"/>
    </row>
    <row r="223" spans="1:6" ht="13.5" customHeight="1" hidden="1" outlineLevel="1">
      <c r="A223" s="214" t="s">
        <v>161</v>
      </c>
      <c r="B223" s="214">
        <v>7544</v>
      </c>
      <c r="F223" s="65"/>
    </row>
    <row r="224" spans="1:6" ht="13.5" customHeight="1" hidden="1" outlineLevel="1">
      <c r="A224" s="214" t="s">
        <v>329</v>
      </c>
      <c r="B224" s="214">
        <v>183</v>
      </c>
      <c r="F224" s="65"/>
    </row>
    <row r="225" spans="1:6" ht="13.5" customHeight="1" hidden="1" outlineLevel="1">
      <c r="A225" s="214" t="s">
        <v>163</v>
      </c>
      <c r="B225" s="214">
        <v>2614.54</v>
      </c>
      <c r="F225" s="65"/>
    </row>
    <row r="226" spans="1:6" ht="13.5" customHeight="1" hidden="1" outlineLevel="1">
      <c r="A226" s="214" t="s">
        <v>164</v>
      </c>
      <c r="B226" s="214">
        <v>114</v>
      </c>
      <c r="F226" s="65"/>
    </row>
    <row r="227" spans="1:6" ht="13.5" customHeight="1" hidden="1" outlineLevel="1">
      <c r="A227" s="214" t="s">
        <v>327</v>
      </c>
      <c r="B227" s="214">
        <v>1556</v>
      </c>
      <c r="F227" s="65"/>
    </row>
    <row r="228" spans="1:6" ht="13.5" customHeight="1" hidden="1" outlineLevel="1">
      <c r="A228" s="214" t="s">
        <v>165</v>
      </c>
      <c r="B228" s="214">
        <v>4697</v>
      </c>
      <c r="F228" s="65"/>
    </row>
    <row r="229" spans="1:6" ht="13.5" customHeight="1" hidden="1" outlineLevel="1">
      <c r="A229" s="214" t="s">
        <v>166</v>
      </c>
      <c r="B229" s="214">
        <v>4576</v>
      </c>
      <c r="F229" s="65"/>
    </row>
    <row r="230" spans="1:6" ht="13.5" customHeight="1" hidden="1" outlineLevel="1">
      <c r="A230" s="214" t="s">
        <v>167</v>
      </c>
      <c r="B230" s="214">
        <v>3322</v>
      </c>
      <c r="F230" s="65"/>
    </row>
    <row r="231" spans="1:6" ht="13.5" customHeight="1" collapsed="1">
      <c r="A231" s="215" t="s">
        <v>173</v>
      </c>
      <c r="B231" s="61">
        <f>SUM(B219:B230)</f>
        <v>45489.76</v>
      </c>
      <c r="F231" s="65"/>
    </row>
    <row r="232" spans="1:6" ht="13.5" customHeight="1" hidden="1" outlineLevel="1">
      <c r="A232" s="214" t="s">
        <v>324</v>
      </c>
      <c r="B232" s="214">
        <v>97700</v>
      </c>
      <c r="F232" s="65"/>
    </row>
    <row r="233" spans="1:6" ht="13.5" customHeight="1" hidden="1" outlineLevel="1">
      <c r="A233" s="214" t="s">
        <v>160</v>
      </c>
      <c r="B233" s="214">
        <v>9554.720000000001</v>
      </c>
      <c r="F233" s="65"/>
    </row>
    <row r="234" spans="1:6" ht="13.5" customHeight="1" hidden="1" outlineLevel="1">
      <c r="A234" s="214" t="s">
        <v>325</v>
      </c>
      <c r="B234" s="214">
        <v>46168.97</v>
      </c>
      <c r="F234" s="65"/>
    </row>
    <row r="235" spans="1:6" ht="13.5" customHeight="1" hidden="1" outlineLevel="1">
      <c r="A235" s="214" t="s">
        <v>326</v>
      </c>
      <c r="B235" s="214">
        <v>17945</v>
      </c>
      <c r="F235" s="65"/>
    </row>
    <row r="236" spans="1:6" ht="13.5" customHeight="1" hidden="1" outlineLevel="1">
      <c r="A236" s="214" t="s">
        <v>161</v>
      </c>
      <c r="B236" s="214">
        <v>65621</v>
      </c>
      <c r="F236" s="65"/>
    </row>
    <row r="237" spans="1:6" ht="13.5" customHeight="1" hidden="1" outlineLevel="1">
      <c r="A237" s="214" t="s">
        <v>329</v>
      </c>
      <c r="B237" s="214">
        <v>1486.31</v>
      </c>
      <c r="F237" s="65"/>
    </row>
    <row r="238" spans="1:6" ht="13.5" customHeight="1" hidden="1" outlineLevel="1">
      <c r="A238" s="214" t="s">
        <v>163</v>
      </c>
      <c r="B238" s="214">
        <v>37048.04</v>
      </c>
      <c r="F238" s="65"/>
    </row>
    <row r="239" spans="1:6" ht="13.5" customHeight="1" hidden="1" outlineLevel="1">
      <c r="A239" s="214" t="s">
        <v>164</v>
      </c>
      <c r="B239" s="214">
        <v>395.68999999999994</v>
      </c>
      <c r="F239" s="65"/>
    </row>
    <row r="240" spans="1:6" ht="13.5" customHeight="1" hidden="1" outlineLevel="1">
      <c r="A240" s="214" t="s">
        <v>327</v>
      </c>
      <c r="B240" s="214">
        <v>17478</v>
      </c>
      <c r="F240" s="65"/>
    </row>
    <row r="241" spans="1:6" ht="13.5" customHeight="1" hidden="1" outlineLevel="1">
      <c r="A241" s="214" t="s">
        <v>165</v>
      </c>
      <c r="B241" s="214">
        <v>31545</v>
      </c>
      <c r="F241" s="65"/>
    </row>
    <row r="242" spans="1:6" ht="13.5" customHeight="1" hidden="1" outlineLevel="1">
      <c r="A242" s="214" t="s">
        <v>166</v>
      </c>
      <c r="B242" s="214">
        <v>51797</v>
      </c>
      <c r="F242" s="65"/>
    </row>
    <row r="243" spans="1:6" ht="13.5" customHeight="1" hidden="1" outlineLevel="1">
      <c r="A243" s="214" t="s">
        <v>167</v>
      </c>
      <c r="B243" s="214">
        <v>35449</v>
      </c>
      <c r="F243" s="65"/>
    </row>
    <row r="244" spans="1:6" ht="13.5" customHeight="1" collapsed="1">
      <c r="A244" s="215" t="s">
        <v>176</v>
      </c>
      <c r="B244" s="70">
        <f>SUM(B232:B243)</f>
        <v>412188.73</v>
      </c>
      <c r="F244" s="65"/>
    </row>
    <row r="245" spans="1:7" ht="13.5" customHeight="1">
      <c r="A245" s="71" t="s">
        <v>5</v>
      </c>
      <c r="C245" s="61">
        <f>B88+B90+B148+B166+B172+B178+B192+B206+B212+B218+B231+B244</f>
        <v>21171003.410000004</v>
      </c>
      <c r="F245" s="72"/>
      <c r="G245" s="72"/>
    </row>
    <row r="246" ht="13.5" customHeight="1">
      <c r="A246" s="71"/>
    </row>
    <row r="247" spans="1:8" ht="13.5" customHeight="1">
      <c r="A247" s="76"/>
      <c r="G247" s="72"/>
      <c r="H247" s="78"/>
    </row>
    <row r="248" spans="1:8" ht="13.5" customHeight="1">
      <c r="A248" s="74" t="s">
        <v>382</v>
      </c>
      <c r="F248" s="79"/>
      <c r="G248" s="80"/>
      <c r="H248" s="81"/>
    </row>
    <row r="249" spans="1:8" ht="13.5" customHeight="1">
      <c r="A249" s="63" t="s">
        <v>375</v>
      </c>
      <c r="B249" s="61">
        <f>'Obligations 15-17 at 12-31-17'!P138+'Obligations 15-17 at 12-31-17'!P176+'Obligations 15-17 at 12-31-17'!P184</f>
        <v>0</v>
      </c>
      <c r="G249" s="64"/>
      <c r="H249" s="78"/>
    </row>
    <row r="250" spans="1:8" ht="13.5" customHeight="1">
      <c r="A250" s="63" t="s">
        <v>376</v>
      </c>
      <c r="B250" s="61">
        <f>'Obligations 15-17 at 12-31-17'!P152</f>
        <v>0</v>
      </c>
      <c r="G250" s="64"/>
      <c r="H250" s="78"/>
    </row>
    <row r="251" spans="1:8" ht="13.5" customHeight="1">
      <c r="A251" s="63" t="s">
        <v>377</v>
      </c>
      <c r="B251" s="61">
        <f>'Obligations 15-17 at 12-31-17'!P162</f>
        <v>0</v>
      </c>
      <c r="G251" s="64"/>
      <c r="H251" s="78"/>
    </row>
    <row r="252" spans="1:8" ht="13.5" customHeight="1">
      <c r="A252" s="63" t="s">
        <v>378</v>
      </c>
      <c r="B252" s="61">
        <f>'Obligations 15-17 at 12-31-17'!P98</f>
        <v>0</v>
      </c>
      <c r="G252" s="64"/>
      <c r="H252" s="78"/>
    </row>
    <row r="253" spans="1:8" ht="13.5" customHeight="1">
      <c r="A253" s="63" t="s">
        <v>379</v>
      </c>
      <c r="B253" s="61">
        <f>'Obligations 15-17 at 12-31-17'!P116</f>
        <v>0</v>
      </c>
      <c r="G253" s="64"/>
      <c r="H253" s="78"/>
    </row>
    <row r="254" spans="1:8" ht="13.5" customHeight="1">
      <c r="A254" s="63" t="s">
        <v>380</v>
      </c>
      <c r="B254" s="61">
        <f>'Obligations 15-17 at 12-31-17'!P56</f>
        <v>0</v>
      </c>
      <c r="G254" s="64"/>
      <c r="H254" s="78"/>
    </row>
    <row r="255" spans="1:8" ht="13.5" customHeight="1">
      <c r="A255" s="63" t="s">
        <v>380</v>
      </c>
      <c r="B255" s="61">
        <f>'Obligations 15-17 at 12-31-17'!P66</f>
        <v>0</v>
      </c>
      <c r="G255" s="64"/>
      <c r="H255" s="78"/>
    </row>
    <row r="256" spans="1:8" ht="13.5" customHeight="1">
      <c r="A256" s="63" t="s">
        <v>381</v>
      </c>
      <c r="B256" s="61">
        <f>'Obligations 15-17 at 12-31-17'!P25</f>
        <v>0</v>
      </c>
      <c r="G256" s="64"/>
      <c r="H256" s="78"/>
    </row>
    <row r="257" spans="1:8" ht="13.5" customHeight="1">
      <c r="A257" s="63" t="s">
        <v>381</v>
      </c>
      <c r="B257" s="61">
        <f>'Obligations 15-17 at 12-31-17'!P42</f>
        <v>0</v>
      </c>
      <c r="G257" s="64"/>
      <c r="H257" s="78"/>
    </row>
    <row r="258" spans="1:8" ht="13.5" customHeight="1">
      <c r="A258" s="73" t="s">
        <v>451</v>
      </c>
      <c r="B258" s="60">
        <f>'Obligations 15-17 at 12-31-17'!P74+'Obligations 15-17 at 12-31-17'!P192</f>
        <v>0</v>
      </c>
      <c r="C258" s="220"/>
      <c r="D258" s="216"/>
      <c r="F258" s="79"/>
      <c r="G258" s="82"/>
      <c r="H258" s="78"/>
    </row>
    <row r="259" spans="1:7" ht="13.5" customHeight="1">
      <c r="A259" s="222" t="s">
        <v>178</v>
      </c>
      <c r="B259" s="218"/>
      <c r="C259" s="219">
        <f>SUM(B249:B258)</f>
        <v>0</v>
      </c>
      <c r="D259" s="77" t="s">
        <v>99</v>
      </c>
      <c r="E259" s="83"/>
      <c r="F259" s="84"/>
      <c r="G259" s="72"/>
    </row>
    <row r="260" spans="1:9" ht="13.5" customHeight="1">
      <c r="A260" s="76" t="s">
        <v>15</v>
      </c>
      <c r="B260" s="218"/>
      <c r="D260" s="66">
        <f>C245+C259</f>
        <v>21171003.410000004</v>
      </c>
      <c r="G260"/>
      <c r="H260"/>
      <c r="I260"/>
    </row>
    <row r="261" spans="2:9" ht="13.5" customHeight="1">
      <c r="B261" s="218"/>
      <c r="G261" s="98"/>
      <c r="H261" s="98"/>
      <c r="I261" s="98"/>
    </row>
    <row r="262" ht="13.5" customHeight="1">
      <c r="B262" s="59"/>
    </row>
    <row r="263" spans="1:4" ht="13.5" customHeight="1">
      <c r="A263" s="209" t="s">
        <v>459</v>
      </c>
      <c r="B263" s="210"/>
      <c r="C263" s="211"/>
      <c r="D263" s="217">
        <f>D6+C15-C245</f>
        <v>-1909505.1800000072</v>
      </c>
    </row>
    <row r="264" ht="13.5" customHeight="1"/>
    <row r="265" spans="1:4" ht="13.5" customHeight="1">
      <c r="A265" s="221" t="s">
        <v>460</v>
      </c>
      <c r="B265" s="210"/>
      <c r="C265" s="211"/>
      <c r="D265" s="217">
        <f>D6+C15-D260</f>
        <v>-1909505.1800000072</v>
      </c>
    </row>
    <row r="267" spans="1:4" ht="13.5" thickBot="1">
      <c r="A267" s="209" t="s">
        <v>443</v>
      </c>
      <c r="B267" s="210"/>
      <c r="C267" s="211"/>
      <c r="D267" s="212">
        <f>D23-D260</f>
        <v>-1909505.1800000072</v>
      </c>
    </row>
    <row r="268" ht="13.5" thickTop="1"/>
  </sheetData>
  <sheetProtection/>
  <mergeCells count="5">
    <mergeCell ref="A1:D1"/>
    <mergeCell ref="A2:D2"/>
    <mergeCell ref="A3:D3"/>
    <mergeCell ref="A9:D9"/>
    <mergeCell ref="A26:D26"/>
  </mergeCells>
  <printOptions/>
  <pageMargins left="0.7" right="0.7" top="0.75" bottom="0.75" header="0.3" footer="0.3"/>
  <pageSetup fitToHeight="1" fitToWidth="1" horizontalDpi="600" verticalDpi="600" orientation="portrait" scale="84" r:id="rId1"/>
  <ignoredErrors>
    <ignoredError sqref="B11:B12 C15 B18:B20 C21 B88 B90 B148 B166 B172 B192 B206 B231 B244 D23 C245 D263 D267 D265 B13:B14 B218 B212 D6 B249:B255 A13:A14 B256:B258 D260 C259 A19:A20 A27 B178" unlockedFormula="1"/>
  </ignoredErrors>
</worksheet>
</file>

<file path=xl/worksheets/sheet16.xml><?xml version="1.0" encoding="utf-8"?>
<worksheet xmlns="http://schemas.openxmlformats.org/spreadsheetml/2006/main" xmlns:r="http://schemas.openxmlformats.org/officeDocument/2006/relationships">
  <dimension ref="A1:J42"/>
  <sheetViews>
    <sheetView zoomScalePageLayoutView="0" workbookViewId="0" topLeftCell="A1">
      <selection activeCell="A6" sqref="A6"/>
    </sheetView>
  </sheetViews>
  <sheetFormatPr defaultColWidth="9.33203125" defaultRowHeight="10.5"/>
  <cols>
    <col min="1" max="1" width="57.33203125" style="98" customWidth="1"/>
    <col min="2" max="2" width="13.5" style="98" customWidth="1"/>
    <col min="3" max="3" width="14.16015625" style="98" customWidth="1"/>
    <col min="4" max="4" width="13.66015625" style="98" customWidth="1"/>
    <col min="5" max="5" width="12.5" style="98" customWidth="1"/>
    <col min="6" max="6" width="14.16015625" style="98" customWidth="1"/>
    <col min="7" max="7" width="13.83203125" style="98" customWidth="1"/>
    <col min="8" max="8" width="14.16015625" style="98" customWidth="1"/>
    <col min="9" max="16384" width="9.33203125" style="98" customWidth="1"/>
  </cols>
  <sheetData>
    <row r="1" ht="10.5">
      <c r="A1" s="98" t="s">
        <v>13</v>
      </c>
    </row>
    <row r="2" ht="10.5">
      <c r="A2" s="98" t="s">
        <v>113</v>
      </c>
    </row>
    <row r="3" ht="10.5">
      <c r="A3" s="160" t="s">
        <v>318</v>
      </c>
    </row>
    <row r="4" ht="10.5">
      <c r="A4" s="160" t="s">
        <v>319</v>
      </c>
    </row>
    <row r="5" ht="10.5">
      <c r="A5" s="180" t="s">
        <v>99</v>
      </c>
    </row>
    <row r="6" ht="10.5">
      <c r="A6" s="159" t="s">
        <v>323</v>
      </c>
    </row>
    <row r="7" spans="2:8" ht="10.5">
      <c r="B7" s="164" t="s">
        <v>111</v>
      </c>
      <c r="C7" s="164" t="s">
        <v>76</v>
      </c>
      <c r="D7" s="193" t="s">
        <v>86</v>
      </c>
      <c r="E7" s="194" t="s">
        <v>93</v>
      </c>
      <c r="F7" s="193" t="s">
        <v>95</v>
      </c>
      <c r="G7" s="194" t="s">
        <v>97</v>
      </c>
      <c r="H7" s="164" t="s">
        <v>5</v>
      </c>
    </row>
    <row r="8" spans="2:8" ht="10.5">
      <c r="B8" s="175" t="s">
        <v>75</v>
      </c>
      <c r="C8" s="175" t="s">
        <v>77</v>
      </c>
      <c r="D8" s="181" t="s">
        <v>87</v>
      </c>
      <c r="E8" s="187" t="s">
        <v>94</v>
      </c>
      <c r="F8" s="181" t="s">
        <v>96</v>
      </c>
      <c r="G8" s="187" t="s">
        <v>98</v>
      </c>
      <c r="H8" s="195"/>
    </row>
    <row r="9" spans="1:8" ht="11.25" hidden="1">
      <c r="A9" s="163" t="s">
        <v>190</v>
      </c>
      <c r="B9" s="168">
        <f>583331.79</f>
        <v>583331.79</v>
      </c>
      <c r="C9" s="168">
        <v>772873.89</v>
      </c>
      <c r="D9" s="182">
        <v>4838533.23</v>
      </c>
      <c r="E9" s="188">
        <v>3114297.55</v>
      </c>
      <c r="F9" s="182">
        <v>226393.8</v>
      </c>
      <c r="G9" s="188">
        <v>154883.38</v>
      </c>
      <c r="H9" s="168">
        <f>SUM(B9:G9)</f>
        <v>9690313.640000002</v>
      </c>
    </row>
    <row r="10" spans="1:8" ht="11.25" hidden="1">
      <c r="A10" s="161" t="s">
        <v>78</v>
      </c>
      <c r="B10" s="169">
        <v>187723.08</v>
      </c>
      <c r="C10" s="169">
        <v>0</v>
      </c>
      <c r="D10" s="182">
        <v>0</v>
      </c>
      <c r="E10" s="188">
        <v>0</v>
      </c>
      <c r="F10" s="182">
        <v>0</v>
      </c>
      <c r="G10" s="188">
        <v>0</v>
      </c>
      <c r="H10" s="168">
        <f>SUM(B10:G10)</f>
        <v>187723.08</v>
      </c>
    </row>
    <row r="11" spans="1:8" ht="11.25" hidden="1">
      <c r="A11" s="162" t="s">
        <v>79</v>
      </c>
      <c r="B11" s="169">
        <v>0</v>
      </c>
      <c r="C11" s="169">
        <v>0</v>
      </c>
      <c r="D11" s="182">
        <v>0</v>
      </c>
      <c r="E11" s="188">
        <v>0</v>
      </c>
      <c r="F11" s="182">
        <v>0</v>
      </c>
      <c r="G11" s="188">
        <v>0</v>
      </c>
      <c r="H11" s="168">
        <f>SUM(B11:G11)</f>
        <v>0</v>
      </c>
    </row>
    <row r="12" spans="1:8" ht="11.25" hidden="1">
      <c r="A12" s="162" t="s">
        <v>80</v>
      </c>
      <c r="B12" s="170">
        <v>0</v>
      </c>
      <c r="C12" s="170">
        <v>0</v>
      </c>
      <c r="D12" s="183">
        <v>0</v>
      </c>
      <c r="E12" s="189">
        <v>0</v>
      </c>
      <c r="F12" s="183">
        <v>0</v>
      </c>
      <c r="G12" s="189">
        <v>0</v>
      </c>
      <c r="H12" s="171">
        <f>SUM(B12:G12)</f>
        <v>0</v>
      </c>
    </row>
    <row r="13" spans="1:8" ht="11.25">
      <c r="A13" s="162" t="s">
        <v>189</v>
      </c>
      <c r="B13" s="230">
        <f aca="true" t="shared" si="0" ref="B13:H13">B9+B10+B11-B12</f>
        <v>771054.87</v>
      </c>
      <c r="C13" s="230">
        <f t="shared" si="0"/>
        <v>772873.89</v>
      </c>
      <c r="D13" s="231">
        <f t="shared" si="0"/>
        <v>4838533.23</v>
      </c>
      <c r="E13" s="232">
        <f t="shared" si="0"/>
        <v>3114297.55</v>
      </c>
      <c r="F13" s="231">
        <f t="shared" si="0"/>
        <v>226393.8</v>
      </c>
      <c r="G13" s="232">
        <f t="shared" si="0"/>
        <v>154883.38</v>
      </c>
      <c r="H13" s="230">
        <f t="shared" si="0"/>
        <v>9878036.720000003</v>
      </c>
    </row>
    <row r="14" spans="1:7" ht="10.5">
      <c r="A14" s="160"/>
      <c r="B14" s="169"/>
      <c r="C14" s="169"/>
      <c r="D14" s="182"/>
      <c r="E14" s="188"/>
      <c r="F14" s="182"/>
      <c r="G14" s="188"/>
    </row>
    <row r="15" spans="1:7" ht="11.25">
      <c r="A15" s="161" t="s">
        <v>81</v>
      </c>
      <c r="B15" s="168"/>
      <c r="C15" s="168"/>
      <c r="D15" s="182"/>
      <c r="E15" s="188"/>
      <c r="F15" s="182"/>
      <c r="G15" s="188"/>
    </row>
    <row r="16" spans="1:8" ht="11.25">
      <c r="A16" s="165" t="s">
        <v>82</v>
      </c>
      <c r="B16" s="168">
        <v>106782.72</v>
      </c>
      <c r="C16" s="168">
        <v>106782.72</v>
      </c>
      <c r="D16" s="182">
        <v>1601740.72</v>
      </c>
      <c r="E16" s="188"/>
      <c r="F16" s="182"/>
      <c r="G16" s="188"/>
      <c r="H16" s="168">
        <f>SUM(B16:G16)</f>
        <v>1815306.16</v>
      </c>
    </row>
    <row r="17" spans="1:8" ht="11.25">
      <c r="A17" s="165" t="s">
        <v>83</v>
      </c>
      <c r="B17" s="168">
        <v>73719.63</v>
      </c>
      <c r="C17" s="168">
        <v>73719.63</v>
      </c>
      <c r="D17" s="182"/>
      <c r="E17" s="188">
        <v>1105794.51</v>
      </c>
      <c r="F17" s="182"/>
      <c r="G17" s="188"/>
      <c r="H17" s="168">
        <f>SUM(B17:G17)</f>
        <v>1253233.77</v>
      </c>
    </row>
    <row r="18" spans="1:8" ht="11.25">
      <c r="A18" s="165" t="s">
        <v>84</v>
      </c>
      <c r="B18" s="168">
        <v>34552.19</v>
      </c>
      <c r="C18" s="168"/>
      <c r="D18" s="182"/>
      <c r="E18" s="188"/>
      <c r="F18" s="182"/>
      <c r="G18" s="188"/>
      <c r="H18" s="168">
        <f>SUM(B18:G18)</f>
        <v>34552.19</v>
      </c>
    </row>
    <row r="19" spans="1:8" ht="11.25">
      <c r="A19" s="165" t="s">
        <v>191</v>
      </c>
      <c r="B19" s="168"/>
      <c r="C19" s="168"/>
      <c r="D19" s="182">
        <v>9729.68</v>
      </c>
      <c r="E19" s="188"/>
      <c r="F19" s="182"/>
      <c r="G19" s="188"/>
      <c r="H19" s="168">
        <f>SUM(B19:G19)</f>
        <v>9729.68</v>
      </c>
    </row>
    <row r="20" spans="1:8" ht="11.25">
      <c r="A20" s="166" t="s">
        <v>192</v>
      </c>
      <c r="B20" s="168">
        <v>-550000</v>
      </c>
      <c r="C20" s="168">
        <v>-500000</v>
      </c>
      <c r="D20" s="182">
        <v>54678</v>
      </c>
      <c r="E20" s="188">
        <v>-67059</v>
      </c>
      <c r="F20" s="182">
        <v>563142</v>
      </c>
      <c r="G20" s="188">
        <v>499239</v>
      </c>
      <c r="H20" s="168">
        <f>SUM(B20:G20)</f>
        <v>0</v>
      </c>
    </row>
    <row r="21" spans="1:8" ht="11.25" hidden="1">
      <c r="A21" s="166" t="s">
        <v>85</v>
      </c>
      <c r="B21" s="168"/>
      <c r="C21" s="168"/>
      <c r="D21" s="182">
        <v>0</v>
      </c>
      <c r="E21" s="188">
        <v>0</v>
      </c>
      <c r="F21" s="182">
        <v>0</v>
      </c>
      <c r="G21" s="188">
        <v>0</v>
      </c>
      <c r="H21" s="168">
        <f>SUM(B21:G21)</f>
        <v>0</v>
      </c>
    </row>
    <row r="22" spans="2:8" ht="10.5" hidden="1">
      <c r="B22" s="171"/>
      <c r="C22" s="171"/>
      <c r="D22" s="183"/>
      <c r="E22" s="189"/>
      <c r="F22" s="183"/>
      <c r="G22" s="189"/>
      <c r="H22" s="170" t="s">
        <v>99</v>
      </c>
    </row>
    <row r="23" spans="1:8" ht="11.25">
      <c r="A23" s="161" t="s">
        <v>88</v>
      </c>
      <c r="B23" s="233">
        <f aca="true" t="shared" si="1" ref="B23:H23">SUM(B16:B21)</f>
        <v>-334945.45999999996</v>
      </c>
      <c r="C23" s="233">
        <f t="shared" si="1"/>
        <v>-319497.65</v>
      </c>
      <c r="D23" s="234">
        <f t="shared" si="1"/>
        <v>1666148.4</v>
      </c>
      <c r="E23" s="235">
        <f t="shared" si="1"/>
        <v>1038735.51</v>
      </c>
      <c r="F23" s="234">
        <f t="shared" si="1"/>
        <v>563142</v>
      </c>
      <c r="G23" s="235">
        <f t="shared" si="1"/>
        <v>499239</v>
      </c>
      <c r="H23" s="233">
        <f t="shared" si="1"/>
        <v>3112821.8</v>
      </c>
    </row>
    <row r="24" spans="2:7" ht="10.5">
      <c r="B24" s="168"/>
      <c r="C24" s="168"/>
      <c r="D24" s="182"/>
      <c r="E24" s="188"/>
      <c r="F24" s="182"/>
      <c r="G24" s="188"/>
    </row>
    <row r="25" spans="1:7" ht="11.25">
      <c r="A25" s="161" t="s">
        <v>89</v>
      </c>
      <c r="B25" s="168"/>
      <c r="C25" s="168"/>
      <c r="D25" s="182"/>
      <c r="E25" s="188"/>
      <c r="F25" s="182"/>
      <c r="G25" s="188"/>
    </row>
    <row r="26" spans="1:8" ht="11.25">
      <c r="A26" s="165" t="s">
        <v>90</v>
      </c>
      <c r="B26" s="168">
        <f>70117.42+179.36</f>
        <v>70296.78</v>
      </c>
      <c r="C26" s="168">
        <v>70875.16</v>
      </c>
      <c r="D26" s="182">
        <v>166003.01</v>
      </c>
      <c r="E26" s="188">
        <v>87089.87</v>
      </c>
      <c r="F26" s="182">
        <v>7853.39</v>
      </c>
      <c r="G26" s="188">
        <v>5599.2</v>
      </c>
      <c r="H26" s="168">
        <f>SUM(B26:G26)</f>
        <v>407717.41000000003</v>
      </c>
    </row>
    <row r="27" spans="1:8" ht="11.25">
      <c r="A27" s="165" t="s">
        <v>91</v>
      </c>
      <c r="B27" s="168">
        <v>0</v>
      </c>
      <c r="C27" s="168">
        <v>17034.3</v>
      </c>
      <c r="D27" s="182">
        <v>1832457.92</v>
      </c>
      <c r="E27" s="188">
        <v>980952.91</v>
      </c>
      <c r="F27" s="182">
        <v>106303.14</v>
      </c>
      <c r="G27" s="188">
        <v>41301.6</v>
      </c>
      <c r="H27" s="168">
        <f>SUM(B27:G27)</f>
        <v>2978049.87</v>
      </c>
    </row>
    <row r="28" spans="1:8" ht="11.25">
      <c r="A28" s="165" t="s">
        <v>99</v>
      </c>
      <c r="B28" s="171"/>
      <c r="C28" s="171"/>
      <c r="D28" s="183"/>
      <c r="E28" s="189"/>
      <c r="F28" s="183"/>
      <c r="G28" s="189"/>
      <c r="H28" s="167"/>
    </row>
    <row r="29" spans="1:8" ht="11.25">
      <c r="A29" s="161" t="s">
        <v>92</v>
      </c>
      <c r="B29" s="168">
        <f aca="true" t="shared" si="2" ref="B29:G29">SUM(B26:B28)</f>
        <v>70296.78</v>
      </c>
      <c r="C29" s="168">
        <f t="shared" si="2"/>
        <v>87909.46</v>
      </c>
      <c r="D29" s="182">
        <f t="shared" si="2"/>
        <v>1998460.93</v>
      </c>
      <c r="E29" s="188">
        <f t="shared" si="2"/>
        <v>1068042.78</v>
      </c>
      <c r="F29" s="182">
        <f t="shared" si="2"/>
        <v>114156.53</v>
      </c>
      <c r="G29" s="188">
        <f t="shared" si="2"/>
        <v>46900.799999999996</v>
      </c>
      <c r="H29" s="168">
        <f>SUM(B29:G29)</f>
        <v>3385767.28</v>
      </c>
    </row>
    <row r="30" spans="1:7" ht="10.5">
      <c r="A30" s="48"/>
      <c r="D30" s="184"/>
      <c r="E30" s="190"/>
      <c r="F30" s="184"/>
      <c r="G30" s="190"/>
    </row>
    <row r="31" spans="1:8" ht="10.5">
      <c r="A31" s="48"/>
      <c r="B31" s="167"/>
      <c r="C31" s="167"/>
      <c r="D31" s="185"/>
      <c r="E31" s="191"/>
      <c r="F31" s="185"/>
      <c r="G31" s="191"/>
      <c r="H31" s="167"/>
    </row>
    <row r="32" spans="1:10" ht="12" thickBot="1">
      <c r="A32" s="161" t="s">
        <v>320</v>
      </c>
      <c r="B32" s="176">
        <f aca="true" t="shared" si="3" ref="B32:G32">B13+B23-B29</f>
        <v>365812.63</v>
      </c>
      <c r="C32" s="176">
        <f t="shared" si="3"/>
        <v>365466.77999999997</v>
      </c>
      <c r="D32" s="186">
        <f t="shared" si="3"/>
        <v>4506220.700000001</v>
      </c>
      <c r="E32" s="192">
        <f t="shared" si="3"/>
        <v>3084990.2799999993</v>
      </c>
      <c r="F32" s="186">
        <f t="shared" si="3"/>
        <v>675379.27</v>
      </c>
      <c r="G32" s="192">
        <f t="shared" si="3"/>
        <v>607221.58</v>
      </c>
      <c r="H32" s="176">
        <f>SUM(B32:G32)</f>
        <v>9605091.24</v>
      </c>
      <c r="J32" s="98" t="s">
        <v>99</v>
      </c>
    </row>
    <row r="33" spans="4:7" ht="11.25" thickTop="1">
      <c r="D33" s="184"/>
      <c r="E33" s="190"/>
      <c r="F33" s="184"/>
      <c r="G33" s="190"/>
    </row>
    <row r="34" spans="2:7" ht="10.5">
      <c r="B34" s="168"/>
      <c r="C34" s="168"/>
      <c r="D34" s="182"/>
      <c r="E34" s="188"/>
      <c r="F34" s="182"/>
      <c r="G34" s="188"/>
    </row>
    <row r="35" spans="1:8" ht="11.25">
      <c r="A35" s="172" t="s">
        <v>321</v>
      </c>
      <c r="B35" s="168">
        <f>'Obligations 13-15 at 12-31-15'!D101+'Obligations 15-17 at 12-31-17'!D104</f>
        <v>42186</v>
      </c>
      <c r="C35" s="168">
        <f>22998.37+10961+74297.21</f>
        <v>108256.58</v>
      </c>
      <c r="D35" s="182">
        <f>125+424164.22+3607080.5</f>
        <v>4031369.7199999997</v>
      </c>
      <c r="E35" s="188">
        <f>-190+263805.4+2258317.16</f>
        <v>2521932.56</v>
      </c>
      <c r="F35" s="182">
        <f>68672.22+606707.84</f>
        <v>675380.0599999999</v>
      </c>
      <c r="G35" s="188">
        <f>62340.45+544641.45</f>
        <v>606981.8999999999</v>
      </c>
      <c r="H35" s="168">
        <f>SUM(B35:G35)</f>
        <v>7986106.819999998</v>
      </c>
    </row>
    <row r="36" spans="1:8" ht="11.25">
      <c r="A36" s="173" t="s">
        <v>99</v>
      </c>
      <c r="B36" s="170" t="s">
        <v>100</v>
      </c>
      <c r="C36" s="171"/>
      <c r="D36" s="183"/>
      <c r="E36" s="189"/>
      <c r="F36" s="183"/>
      <c r="G36" s="189"/>
      <c r="H36" s="167"/>
    </row>
    <row r="37" spans="1:8" ht="11.25">
      <c r="A37" s="161"/>
      <c r="B37" s="168">
        <f>SUM(B35:B36)</f>
        <v>42186</v>
      </c>
      <c r="C37" s="168">
        <f>SUM(C35:C36)</f>
        <v>108256.58</v>
      </c>
      <c r="D37" s="182">
        <f>SUM(D35:D36)</f>
        <v>4031369.7199999997</v>
      </c>
      <c r="E37" s="188">
        <f>SUM(E35:E36)</f>
        <v>2521932.56</v>
      </c>
      <c r="F37" s="182">
        <f>SUM(F35:F36)</f>
        <v>675380.0599999999</v>
      </c>
      <c r="G37" s="188">
        <f>SUM(G35:G36)</f>
        <v>606981.8999999999</v>
      </c>
      <c r="H37" s="168">
        <f>SUM(B37:G37)</f>
        <v>7986106.819999998</v>
      </c>
    </row>
    <row r="38" spans="1:8" ht="11.25">
      <c r="A38" s="174"/>
      <c r="B38" s="171"/>
      <c r="C38" s="171"/>
      <c r="D38" s="183"/>
      <c r="E38" s="189"/>
      <c r="F38" s="183"/>
      <c r="G38" s="189"/>
      <c r="H38" s="167"/>
    </row>
    <row r="39" spans="1:8" ht="12" thickBot="1">
      <c r="A39" s="161" t="s">
        <v>322</v>
      </c>
      <c r="B39" s="176">
        <f aca="true" t="shared" si="4" ref="B39:G39">B32-B37</f>
        <v>323626.63</v>
      </c>
      <c r="C39" s="176">
        <f t="shared" si="4"/>
        <v>257210.19999999995</v>
      </c>
      <c r="D39" s="186">
        <f t="shared" si="4"/>
        <v>474850.9800000014</v>
      </c>
      <c r="E39" s="192">
        <f t="shared" si="4"/>
        <v>563057.7199999993</v>
      </c>
      <c r="F39" s="186">
        <f t="shared" si="4"/>
        <v>-0.7899999999208376</v>
      </c>
      <c r="G39" s="192">
        <f t="shared" si="4"/>
        <v>239.68000000005122</v>
      </c>
      <c r="H39" s="176">
        <f>SUM(B39:G39)</f>
        <v>1618984.4200000009</v>
      </c>
    </row>
    <row r="40" spans="2:7" ht="11.25" thickTop="1">
      <c r="B40" s="168"/>
      <c r="C40" s="168"/>
      <c r="D40" s="168"/>
      <c r="E40" s="168"/>
      <c r="F40" s="168"/>
      <c r="G40" s="168"/>
    </row>
    <row r="41" spans="2:7" ht="10.5">
      <c r="B41" s="168"/>
      <c r="C41" s="168"/>
      <c r="D41" s="168"/>
      <c r="E41" s="168"/>
      <c r="F41" s="168"/>
      <c r="G41" s="168"/>
    </row>
    <row r="42" ht="10.5">
      <c r="B42" s="98" t="s">
        <v>99</v>
      </c>
    </row>
  </sheetData>
  <sheetProtection/>
  <printOptions/>
  <pageMargins left="0.7" right="0.7" top="0.75" bottom="0.75" header="0.3" footer="0.3"/>
  <pageSetup horizontalDpi="600" verticalDpi="600" orientation="landscape" r:id="rId3"/>
  <headerFooter>
    <oddFooter>&amp;C&amp;Z&amp;F</oddFooter>
  </headerFooter>
  <ignoredErrors>
    <ignoredError sqref="B13:H13 B23:H23 B26 B29:H29 B32:H32 B35:H35 B37:H37 B39:H39 H16:H20 H26:H27" unlockedFormula="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V272"/>
  <sheetViews>
    <sheetView zoomScalePageLayoutView="0" workbookViewId="0" topLeftCell="A1">
      <selection activeCell="B254" sqref="B254"/>
    </sheetView>
  </sheetViews>
  <sheetFormatPr defaultColWidth="9.33203125" defaultRowHeight="10.5" outlineLevelRow="1"/>
  <cols>
    <col min="1" max="1" width="68.16015625" style="63" bestFit="1" customWidth="1"/>
    <col min="2" max="2" width="22.33203125" style="61" customWidth="1"/>
    <col min="3" max="3" width="21.16015625" style="62" customWidth="1"/>
    <col min="4" max="4" width="23.83203125" style="66" bestFit="1" customWidth="1"/>
    <col min="5" max="5" width="9.33203125" style="63" customWidth="1"/>
    <col min="6" max="6" width="15.33203125" style="64" hidden="1" customWidth="1"/>
    <col min="7" max="7" width="17.66015625" style="65" hidden="1" customWidth="1"/>
    <col min="8" max="8" width="10.66015625" style="63" bestFit="1" customWidth="1"/>
    <col min="9" max="16384" width="9.33203125" style="63" customWidth="1"/>
  </cols>
  <sheetData>
    <row r="1" spans="1:4" ht="13.5" customHeight="1">
      <c r="A1" s="533" t="s">
        <v>121</v>
      </c>
      <c r="B1" s="533"/>
      <c r="C1" s="533"/>
      <c r="D1" s="533"/>
    </row>
    <row r="2" spans="1:4" ht="13.5" customHeight="1">
      <c r="A2" s="533" t="s">
        <v>122</v>
      </c>
      <c r="B2" s="533"/>
      <c r="C2" s="533"/>
      <c r="D2" s="533"/>
    </row>
    <row r="3" spans="1:4" ht="13.5" customHeight="1">
      <c r="A3" s="533" t="s">
        <v>522</v>
      </c>
      <c r="B3" s="533"/>
      <c r="C3" s="533"/>
      <c r="D3" s="533"/>
    </row>
    <row r="4" ht="13.5" customHeight="1"/>
    <row r="5" ht="13.5" customHeight="1">
      <c r="A5" s="58"/>
    </row>
    <row r="6" spans="1:4" ht="13.5" customHeight="1">
      <c r="A6" s="123" t="s">
        <v>461</v>
      </c>
      <c r="C6" s="61"/>
      <c r="D6" s="66">
        <f>'PPC ECHO WX GMR 17-19'!H10</f>
        <v>7147055.129999999</v>
      </c>
    </row>
    <row r="7" ht="13.5" customHeight="1"/>
    <row r="8" ht="13.5" customHeight="1"/>
    <row r="9" spans="1:4" ht="13.5" customHeight="1">
      <c r="A9" s="534" t="s">
        <v>123</v>
      </c>
      <c r="B9" s="534"/>
      <c r="C9" s="534"/>
      <c r="D9" s="534"/>
    </row>
    <row r="10" ht="13.5" customHeight="1">
      <c r="A10" s="67" t="s">
        <v>523</v>
      </c>
    </row>
    <row r="11" spans="1:2" ht="13.5" customHeight="1">
      <c r="A11" s="68" t="s">
        <v>2</v>
      </c>
      <c r="B11" s="61">
        <f>'Cash Flow 17-19'!AD8+'Cash Flow 17-19'!AD9+'Cash Flow 17-19'!AD10+'Cash Flow 17-19'!AD11+'Cash Flow 17-19'!AD12+'Cash Flow 17-19'!AD13</f>
        <v>9233599.88</v>
      </c>
    </row>
    <row r="12" spans="1:2" ht="13.5" customHeight="1">
      <c r="A12" s="68" t="s">
        <v>69</v>
      </c>
      <c r="B12" s="61">
        <f>'Cash Flow 17-19'!AD15</f>
        <v>6892.05</v>
      </c>
    </row>
    <row r="13" spans="1:6" ht="13.5" customHeight="1">
      <c r="A13" s="68" t="str">
        <f>'Cash Flow 15-17'!B16</f>
        <v>Move within Indenture</v>
      </c>
      <c r="B13" s="61">
        <f>'Cash Flow 17-19'!AD16</f>
        <v>0</v>
      </c>
      <c r="F13" s="69"/>
    </row>
    <row r="14" spans="1:6" ht="13.5" customHeight="1">
      <c r="A14" s="68" t="str">
        <f>'Cash Flow 15-17'!B17</f>
        <v>Treasury Interest</v>
      </c>
      <c r="B14" s="70">
        <f>'Cash Flow 17-19'!AD17</f>
        <v>298414.41000000003</v>
      </c>
      <c r="F14" s="69"/>
    </row>
    <row r="15" spans="1:7" ht="13.5" customHeight="1">
      <c r="A15" s="71" t="s">
        <v>5</v>
      </c>
      <c r="C15" s="61">
        <f>SUM(B11:B14)</f>
        <v>9538906.340000002</v>
      </c>
      <c r="F15" s="72"/>
      <c r="G15" s="72"/>
    </row>
    <row r="16" spans="1:6" ht="13.5" customHeight="1">
      <c r="A16" s="73"/>
      <c r="F16" s="65"/>
    </row>
    <row r="17" spans="1:6" ht="13.5" customHeight="1">
      <c r="A17" s="74" t="s">
        <v>474</v>
      </c>
      <c r="F17" s="65"/>
    </row>
    <row r="18" spans="1:6" ht="13.5" customHeight="1">
      <c r="A18" s="68" t="s">
        <v>2</v>
      </c>
      <c r="B18" s="61">
        <f>'Cash Flow 15-17'!AE8</f>
        <v>0</v>
      </c>
      <c r="F18" s="65"/>
    </row>
    <row r="19" spans="1:6" ht="13.5" customHeight="1">
      <c r="A19" s="68" t="str">
        <f>A13</f>
        <v>Move within Indenture</v>
      </c>
      <c r="B19" s="61">
        <f>'Cash Flow 15-17'!AE16</f>
        <v>0</v>
      </c>
      <c r="F19" s="65"/>
    </row>
    <row r="20" spans="1:6" ht="13.5" customHeight="1">
      <c r="A20" s="68" t="str">
        <f>A14</f>
        <v>Treasury Interest</v>
      </c>
      <c r="B20" s="70">
        <f>'Cash Flow 15-17'!AE17</f>
        <v>0</v>
      </c>
      <c r="F20" s="65"/>
    </row>
    <row r="21" spans="1:7" ht="13.5" customHeight="1">
      <c r="A21" s="71" t="s">
        <v>5</v>
      </c>
      <c r="C21" s="70">
        <f>SUM(B18:B20)</f>
        <v>0</v>
      </c>
      <c r="D21" s="77"/>
      <c r="F21" s="75"/>
      <c r="G21" s="72"/>
    </row>
    <row r="22" spans="1:6" ht="13.5" customHeight="1">
      <c r="A22" s="71"/>
      <c r="F22" s="65"/>
    </row>
    <row r="23" spans="1:7" ht="13.5" customHeight="1">
      <c r="A23" s="76" t="s">
        <v>177</v>
      </c>
      <c r="D23" s="66">
        <f>D6+C15+C21</f>
        <v>16685961.47</v>
      </c>
      <c r="F23" s="75">
        <f>'Cash Flow 15-17'!AC18</f>
        <v>28288775.959999997</v>
      </c>
      <c r="G23" s="72">
        <f>D23-F23</f>
        <v>-11602814.489999996</v>
      </c>
    </row>
    <row r="24" spans="1:6" ht="13.5" customHeight="1">
      <c r="A24" s="76"/>
      <c r="D24" s="216"/>
      <c r="F24" s="65"/>
    </row>
    <row r="25" spans="1:6" ht="13.5" customHeight="1">
      <c r="A25" s="71"/>
      <c r="F25" s="65"/>
    </row>
    <row r="26" spans="1:6" ht="13.5" customHeight="1">
      <c r="A26" s="534" t="s">
        <v>14</v>
      </c>
      <c r="B26" s="534"/>
      <c r="C26" s="534"/>
      <c r="D26" s="534"/>
      <c r="F26" s="65"/>
    </row>
    <row r="27" spans="1:6" ht="13.5" customHeight="1">
      <c r="A27" s="67" t="str">
        <f>A10</f>
        <v>Actuals   7/1/17 thru 06/30/18</v>
      </c>
      <c r="F27" s="65"/>
    </row>
    <row r="28" spans="1:6" ht="13.5" customHeight="1" hidden="1" outlineLevel="1">
      <c r="A28" s="530" t="s">
        <v>125</v>
      </c>
      <c r="B28" s="530">
        <v>1802.799999999998</v>
      </c>
      <c r="F28" s="65"/>
    </row>
    <row r="29" spans="1:6" ht="13.5" customHeight="1" hidden="1" outlineLevel="1">
      <c r="A29" s="530" t="s">
        <v>126</v>
      </c>
      <c r="B29" s="530">
        <v>1697.95</v>
      </c>
      <c r="F29" s="65"/>
    </row>
    <row r="30" spans="1:6" ht="13.5" customHeight="1" hidden="1" outlineLevel="1">
      <c r="A30" s="530" t="s">
        <v>127</v>
      </c>
      <c r="B30" s="530">
        <v>9721.240000000002</v>
      </c>
      <c r="F30" s="65"/>
    </row>
    <row r="31" spans="1:6" ht="13.5" customHeight="1" hidden="1" outlineLevel="1">
      <c r="A31" s="530" t="s">
        <v>535</v>
      </c>
      <c r="B31" s="530">
        <v>0.08</v>
      </c>
      <c r="F31" s="65"/>
    </row>
    <row r="32" spans="1:6" ht="13.5" customHeight="1" hidden="1" outlineLevel="1">
      <c r="A32" s="530" t="s">
        <v>444</v>
      </c>
      <c r="B32" s="530">
        <v>15.559999999999999</v>
      </c>
      <c r="F32" s="65"/>
    </row>
    <row r="33" spans="1:6" ht="13.5" customHeight="1" hidden="1" outlineLevel="1">
      <c r="A33" s="530" t="s">
        <v>447</v>
      </c>
      <c r="B33" s="530">
        <v>638.7</v>
      </c>
      <c r="F33" s="65"/>
    </row>
    <row r="34" spans="1:6" ht="13.5" customHeight="1" hidden="1" outlineLevel="1">
      <c r="A34" s="530" t="s">
        <v>508</v>
      </c>
      <c r="B34" s="530">
        <v>53.64</v>
      </c>
      <c r="F34" s="65"/>
    </row>
    <row r="35" spans="1:6" ht="13.5" customHeight="1" hidden="1" outlineLevel="1">
      <c r="A35" s="530" t="s">
        <v>128</v>
      </c>
      <c r="B35" s="530">
        <v>50.99999999999996</v>
      </c>
      <c r="F35" s="65"/>
    </row>
    <row r="36" spans="1:6" ht="13.5" customHeight="1" hidden="1" outlineLevel="1">
      <c r="A36" s="530" t="s">
        <v>129</v>
      </c>
      <c r="B36" s="530">
        <v>40.17</v>
      </c>
      <c r="F36" s="65"/>
    </row>
    <row r="37" spans="1:6" ht="13.5" customHeight="1" hidden="1" outlineLevel="1">
      <c r="A37" s="530" t="s">
        <v>331</v>
      </c>
      <c r="B37" s="530">
        <v>35.94</v>
      </c>
      <c r="F37" s="65"/>
    </row>
    <row r="38" spans="1:6" ht="13.5" customHeight="1" hidden="1" outlineLevel="1">
      <c r="A38" s="530" t="s">
        <v>130</v>
      </c>
      <c r="B38" s="530">
        <v>213.07000000000008</v>
      </c>
      <c r="F38" s="65"/>
    </row>
    <row r="39" spans="1:6" ht="13.5" customHeight="1" hidden="1" outlineLevel="1">
      <c r="A39" s="530" t="s">
        <v>131</v>
      </c>
      <c r="B39" s="530">
        <v>394.1100000000001</v>
      </c>
      <c r="F39" s="65"/>
    </row>
    <row r="40" spans="1:6" ht="13.5" customHeight="1" hidden="1" outlineLevel="1">
      <c r="A40" s="530" t="s">
        <v>332</v>
      </c>
      <c r="B40" s="530">
        <v>241.61000000000013</v>
      </c>
      <c r="F40" s="65"/>
    </row>
    <row r="41" spans="1:6" ht="13.5" customHeight="1" hidden="1" outlineLevel="1">
      <c r="A41" s="530" t="s">
        <v>333</v>
      </c>
      <c r="B41" s="530">
        <v>12.83</v>
      </c>
      <c r="F41" s="65"/>
    </row>
    <row r="42" spans="1:6" ht="13.5" customHeight="1" hidden="1" outlineLevel="1">
      <c r="A42" s="530" t="s">
        <v>441</v>
      </c>
      <c r="B42" s="530">
        <v>13.36999999999999</v>
      </c>
      <c r="F42" s="65"/>
    </row>
    <row r="43" spans="1:6" ht="13.5" customHeight="1" hidden="1" outlineLevel="1">
      <c r="A43" s="530" t="s">
        <v>132</v>
      </c>
      <c r="B43" s="530">
        <v>38.619999999999976</v>
      </c>
      <c r="F43" s="65"/>
    </row>
    <row r="44" spans="1:6" ht="13.5" customHeight="1" hidden="1" outlineLevel="1">
      <c r="A44" s="530" t="s">
        <v>133</v>
      </c>
      <c r="B44" s="530">
        <v>605.2299999999998</v>
      </c>
      <c r="F44" s="65"/>
    </row>
    <row r="45" spans="1:6" ht="13.5" customHeight="1" hidden="1" outlineLevel="1">
      <c r="A45" s="530" t="s">
        <v>367</v>
      </c>
      <c r="B45" s="530">
        <v>111.52</v>
      </c>
      <c r="F45" s="65"/>
    </row>
    <row r="46" spans="1:6" ht="13.5" customHeight="1" hidden="1" outlineLevel="1">
      <c r="A46" s="530" t="s">
        <v>134</v>
      </c>
      <c r="B46" s="530">
        <v>18.680000000000003</v>
      </c>
      <c r="F46" s="65"/>
    </row>
    <row r="47" spans="1:6" ht="13.5" customHeight="1" hidden="1" outlineLevel="1">
      <c r="A47" s="530" t="s">
        <v>448</v>
      </c>
      <c r="B47" s="530">
        <v>0</v>
      </c>
      <c r="F47" s="65"/>
    </row>
    <row r="48" spans="1:6" ht="13.5" customHeight="1" hidden="1" outlineLevel="1">
      <c r="A48" s="530" t="s">
        <v>421</v>
      </c>
      <c r="B48" s="530">
        <v>52.07</v>
      </c>
      <c r="F48" s="65"/>
    </row>
    <row r="49" spans="1:6" ht="13.5" customHeight="1" hidden="1" outlineLevel="1">
      <c r="A49" s="530" t="s">
        <v>373</v>
      </c>
      <c r="B49" s="530">
        <v>219.75</v>
      </c>
      <c r="F49" s="65"/>
    </row>
    <row r="50" spans="1:6" ht="13.5" customHeight="1" hidden="1" outlineLevel="1">
      <c r="A50" s="530" t="s">
        <v>334</v>
      </c>
      <c r="B50" s="530">
        <v>1.24</v>
      </c>
      <c r="F50" s="65"/>
    </row>
    <row r="51" spans="1:6" ht="13.5" customHeight="1" hidden="1" outlineLevel="1">
      <c r="A51" s="530" t="s">
        <v>446</v>
      </c>
      <c r="B51" s="530">
        <v>48.74</v>
      </c>
      <c r="F51" s="65"/>
    </row>
    <row r="52" spans="1:6" ht="13.5" customHeight="1" hidden="1" outlineLevel="1">
      <c r="A52" s="530" t="s">
        <v>335</v>
      </c>
      <c r="B52" s="530">
        <v>47.93</v>
      </c>
      <c r="F52" s="65"/>
    </row>
    <row r="53" spans="1:6" ht="13.5" customHeight="1" hidden="1" outlineLevel="1">
      <c r="A53" s="530" t="s">
        <v>509</v>
      </c>
      <c r="B53" s="530">
        <v>23.370000000000005</v>
      </c>
      <c r="F53" s="65"/>
    </row>
    <row r="54" spans="1:6" ht="13.5" customHeight="1" hidden="1" outlineLevel="1">
      <c r="A54" s="530" t="s">
        <v>336</v>
      </c>
      <c r="B54" s="530">
        <v>81.08000000000001</v>
      </c>
      <c r="F54" s="65"/>
    </row>
    <row r="55" spans="1:6" ht="13.5" customHeight="1" hidden="1" outlineLevel="1">
      <c r="A55" s="530" t="s">
        <v>135</v>
      </c>
      <c r="B55" s="530">
        <v>35077.009999999995</v>
      </c>
      <c r="F55" s="65"/>
    </row>
    <row r="56" spans="1:6" ht="13.5" customHeight="1" hidden="1" outlineLevel="1">
      <c r="A56" s="530" t="s">
        <v>136</v>
      </c>
      <c r="B56" s="530">
        <v>526.3</v>
      </c>
      <c r="F56" s="65"/>
    </row>
    <row r="57" spans="1:6" ht="13.5" customHeight="1" hidden="1" outlineLevel="1">
      <c r="A57" s="530" t="s">
        <v>137</v>
      </c>
      <c r="B57" s="530">
        <v>155368.59000000003</v>
      </c>
      <c r="F57" s="65"/>
    </row>
    <row r="58" spans="1:6" ht="13.5" customHeight="1" hidden="1" outlineLevel="1">
      <c r="A58" s="530" t="s">
        <v>138</v>
      </c>
      <c r="B58" s="530">
        <v>9523.619999999999</v>
      </c>
      <c r="F58" s="65"/>
    </row>
    <row r="59" spans="1:6" ht="13.5" customHeight="1" hidden="1" outlineLevel="1">
      <c r="A59" s="530" t="s">
        <v>494</v>
      </c>
      <c r="B59" s="530">
        <v>3358.8599999999997</v>
      </c>
      <c r="F59" s="65"/>
    </row>
    <row r="60" spans="1:6" ht="13.5" customHeight="1" hidden="1" outlineLevel="1">
      <c r="A60" s="530" t="s">
        <v>495</v>
      </c>
      <c r="B60" s="530">
        <v>672.33</v>
      </c>
      <c r="F60" s="65"/>
    </row>
    <row r="61" spans="1:6" ht="13.5" customHeight="1" hidden="1" outlineLevel="1">
      <c r="A61" s="530" t="s">
        <v>496</v>
      </c>
      <c r="B61" s="530">
        <v>628.0899999999998</v>
      </c>
      <c r="F61" s="65"/>
    </row>
    <row r="62" spans="1:6" ht="13.5" customHeight="1" hidden="1" outlineLevel="1">
      <c r="A62" s="530" t="s">
        <v>369</v>
      </c>
      <c r="B62" s="530">
        <v>80</v>
      </c>
      <c r="F62" s="65"/>
    </row>
    <row r="63" spans="1:6" ht="13.5" customHeight="1" hidden="1" outlineLevel="1">
      <c r="A63" s="530" t="s">
        <v>374</v>
      </c>
      <c r="B63" s="530">
        <v>105</v>
      </c>
      <c r="F63" s="65"/>
    </row>
    <row r="64" spans="1:6" ht="13.5" customHeight="1" hidden="1" outlineLevel="1">
      <c r="A64" s="530" t="s">
        <v>139</v>
      </c>
      <c r="B64" s="530">
        <v>2366.5300000000025</v>
      </c>
      <c r="F64" s="65"/>
    </row>
    <row r="65" spans="1:6" ht="13.5" customHeight="1" hidden="1" outlineLevel="1">
      <c r="A65" s="530" t="s">
        <v>140</v>
      </c>
      <c r="B65" s="530">
        <v>20990.900000000016</v>
      </c>
      <c r="F65" s="65"/>
    </row>
    <row r="66" spans="1:6" ht="13.5" customHeight="1" hidden="1" outlineLevel="1">
      <c r="A66" s="530" t="s">
        <v>371</v>
      </c>
      <c r="B66" s="530">
        <v>398.39000000000004</v>
      </c>
      <c r="F66" s="65"/>
    </row>
    <row r="67" spans="1:6" ht="13.5" customHeight="1" hidden="1" outlineLevel="1">
      <c r="A67" s="530" t="s">
        <v>141</v>
      </c>
      <c r="B67" s="530">
        <v>103.95000000000003</v>
      </c>
      <c r="F67" s="65"/>
    </row>
    <row r="68" spans="1:6" ht="13.5" customHeight="1" hidden="1" outlineLevel="1">
      <c r="A68" s="530" t="s">
        <v>372</v>
      </c>
      <c r="B68" s="530">
        <v>94.8</v>
      </c>
      <c r="F68" s="65"/>
    </row>
    <row r="69" spans="1:6" ht="13.5" customHeight="1" hidden="1" outlineLevel="1">
      <c r="A69" s="530" t="s">
        <v>142</v>
      </c>
      <c r="B69" s="530">
        <v>976.4400000000003</v>
      </c>
      <c r="F69" s="65"/>
    </row>
    <row r="70" spans="1:6" ht="13.5" customHeight="1" hidden="1" outlineLevel="1">
      <c r="A70" s="530" t="s">
        <v>422</v>
      </c>
      <c r="B70" s="530">
        <v>25.959999999999997</v>
      </c>
      <c r="F70" s="65"/>
    </row>
    <row r="71" spans="1:6" ht="13.5" customHeight="1" hidden="1" outlineLevel="1">
      <c r="A71" s="530" t="s">
        <v>143</v>
      </c>
      <c r="B71" s="530">
        <v>552.63</v>
      </c>
      <c r="F71" s="65"/>
    </row>
    <row r="72" spans="1:6" ht="13.5" customHeight="1" hidden="1" outlineLevel="1">
      <c r="A72" s="530" t="s">
        <v>144</v>
      </c>
      <c r="B72" s="530">
        <v>622.7399999999996</v>
      </c>
      <c r="F72" s="65"/>
    </row>
    <row r="73" spans="1:6" ht="13.5" customHeight="1" hidden="1" outlineLevel="1">
      <c r="A73" s="530" t="s">
        <v>145</v>
      </c>
      <c r="B73" s="530">
        <v>3954.4500000000003</v>
      </c>
      <c r="F73" s="65"/>
    </row>
    <row r="74" spans="1:6" ht="13.5" customHeight="1" hidden="1" outlineLevel="1">
      <c r="A74" s="530" t="s">
        <v>146</v>
      </c>
      <c r="B74" s="530">
        <v>221.89999999999998</v>
      </c>
      <c r="F74" s="65"/>
    </row>
    <row r="75" spans="1:6" ht="13.5" customHeight="1" hidden="1" outlineLevel="1">
      <c r="A75" s="530" t="s">
        <v>147</v>
      </c>
      <c r="B75" s="530">
        <v>1924.3999999999987</v>
      </c>
      <c r="F75" s="65"/>
    </row>
    <row r="76" spans="1:6" ht="13.5" customHeight="1" hidden="1" outlineLevel="1">
      <c r="A76" s="530" t="s">
        <v>148</v>
      </c>
      <c r="B76" s="530">
        <v>933.04</v>
      </c>
      <c r="F76" s="65"/>
    </row>
    <row r="77" spans="1:6" ht="13.5" customHeight="1" hidden="1" outlineLevel="1">
      <c r="A77" s="530" t="s">
        <v>149</v>
      </c>
      <c r="B77" s="530">
        <v>657.1999999999999</v>
      </c>
      <c r="F77" s="65"/>
    </row>
    <row r="78" spans="1:6" ht="13.5" customHeight="1" hidden="1" outlineLevel="1">
      <c r="A78" s="530" t="s">
        <v>432</v>
      </c>
      <c r="B78" s="530">
        <v>46.07</v>
      </c>
      <c r="F78" s="65"/>
    </row>
    <row r="79" spans="1:6" ht="13.5" customHeight="1" hidden="1" outlineLevel="1">
      <c r="A79" s="530" t="s">
        <v>150</v>
      </c>
      <c r="B79" s="530">
        <v>10000.80000000001</v>
      </c>
      <c r="F79" s="65"/>
    </row>
    <row r="80" spans="1:256" s="65" customFormat="1" ht="13.5" customHeight="1" hidden="1" outlineLevel="1">
      <c r="A80" s="530" t="s">
        <v>151</v>
      </c>
      <c r="B80" s="530">
        <v>1857.339999999999</v>
      </c>
      <c r="C80" s="62"/>
      <c r="D80" s="66"/>
      <c r="E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row>
    <row r="81" spans="1:256" s="65" customFormat="1" ht="13.5" customHeight="1" hidden="1" outlineLevel="1">
      <c r="A81" s="530" t="s">
        <v>449</v>
      </c>
      <c r="B81" s="530">
        <v>0</v>
      </c>
      <c r="C81" s="62"/>
      <c r="D81" s="66"/>
      <c r="E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row>
    <row r="82" spans="1:256" s="65" customFormat="1" ht="13.5" customHeight="1" hidden="1" outlineLevel="1">
      <c r="A82" s="530" t="s">
        <v>152</v>
      </c>
      <c r="B82" s="530">
        <v>11919.299999999997</v>
      </c>
      <c r="C82" s="62"/>
      <c r="D82" s="66"/>
      <c r="E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row>
    <row r="83" spans="1:256" s="65" customFormat="1" ht="13.5" customHeight="1" hidden="1" outlineLevel="1">
      <c r="A83" s="530" t="s">
        <v>423</v>
      </c>
      <c r="B83" s="530">
        <v>800</v>
      </c>
      <c r="C83" s="62"/>
      <c r="D83" s="66"/>
      <c r="E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row>
    <row r="84" spans="1:256" s="65" customFormat="1" ht="13.5" customHeight="1" hidden="1" outlineLevel="1">
      <c r="A84" s="530" t="s">
        <v>153</v>
      </c>
      <c r="B84" s="530">
        <v>22834.610000000004</v>
      </c>
      <c r="C84" s="62"/>
      <c r="D84" s="66"/>
      <c r="E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row>
    <row r="85" spans="1:256" s="65" customFormat="1" ht="13.5" customHeight="1" hidden="1" outlineLevel="1">
      <c r="A85" s="530" t="s">
        <v>497</v>
      </c>
      <c r="B85" s="530">
        <v>878.37</v>
      </c>
      <c r="C85" s="62"/>
      <c r="D85" s="66"/>
      <c r="E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row>
    <row r="86" spans="1:256" s="65" customFormat="1" ht="13.5" customHeight="1" hidden="1" outlineLevel="1">
      <c r="A86" s="530" t="s">
        <v>476</v>
      </c>
      <c r="B86" s="530">
        <v>25.369999999999997</v>
      </c>
      <c r="C86" s="62"/>
      <c r="D86" s="66"/>
      <c r="E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row>
    <row r="87" spans="1:256" s="65" customFormat="1" ht="13.5" customHeight="1" hidden="1" outlineLevel="1">
      <c r="A87" s="530" t="s">
        <v>507</v>
      </c>
      <c r="B87" s="530">
        <v>141.57</v>
      </c>
      <c r="C87" s="62"/>
      <c r="D87" s="66"/>
      <c r="E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row>
    <row r="88" spans="1:256" s="65" customFormat="1" ht="13.5" customHeight="1" hidden="1" outlineLevel="1">
      <c r="A88" s="530" t="s">
        <v>154</v>
      </c>
      <c r="B88" s="530">
        <v>1020.1500000000001</v>
      </c>
      <c r="C88" s="62"/>
      <c r="D88" s="66"/>
      <c r="E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row>
    <row r="89" spans="1:256" s="65" customFormat="1" ht="13.5" customHeight="1" hidden="1" outlineLevel="1">
      <c r="A89" s="530" t="s">
        <v>337</v>
      </c>
      <c r="B89" s="530">
        <v>0</v>
      </c>
      <c r="C89" s="62"/>
      <c r="D89" s="66"/>
      <c r="E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row>
    <row r="90" spans="1:256" s="65" customFormat="1" ht="13.5" customHeight="1" hidden="1" outlineLevel="1">
      <c r="A90" s="530" t="s">
        <v>155</v>
      </c>
      <c r="B90" s="530">
        <v>54.24999999999996</v>
      </c>
      <c r="C90" s="62"/>
      <c r="D90" s="66"/>
      <c r="E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row>
    <row r="91" spans="1:256" s="65" customFormat="1" ht="13.5" customHeight="1" collapsed="1">
      <c r="A91" s="215" t="s">
        <v>124</v>
      </c>
      <c r="B91" s="61">
        <f>SUM(B28:B90)</f>
        <v>304921.26000000007</v>
      </c>
      <c r="C91" s="62"/>
      <c r="D91" s="66"/>
      <c r="E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row>
    <row r="92" spans="1:256" s="65" customFormat="1" ht="13.5" customHeight="1" hidden="1" outlineLevel="1">
      <c r="A92" s="213" t="s">
        <v>157</v>
      </c>
      <c r="B92" s="214">
        <v>40865</v>
      </c>
      <c r="C92" s="62"/>
      <c r="D92" s="66"/>
      <c r="E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row>
    <row r="93" spans="1:256" s="65" customFormat="1" ht="13.5" customHeight="1" collapsed="1">
      <c r="A93" s="215" t="s">
        <v>156</v>
      </c>
      <c r="B93" s="61">
        <f>SUM(B92)</f>
        <v>40865</v>
      </c>
      <c r="C93" s="62"/>
      <c r="D93" s="66"/>
      <c r="E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row>
    <row r="94" spans="1:256" s="65" customFormat="1" ht="13.5" customHeight="1" hidden="1" outlineLevel="1">
      <c r="A94" s="530" t="s">
        <v>125</v>
      </c>
      <c r="B94" s="530">
        <v>1011.61</v>
      </c>
      <c r="C94" s="62"/>
      <c r="D94" s="66"/>
      <c r="E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row>
    <row r="95" spans="1:256" s="65" customFormat="1" ht="13.5" customHeight="1" hidden="1" outlineLevel="1">
      <c r="A95" s="530" t="s">
        <v>126</v>
      </c>
      <c r="B95" s="530">
        <v>337.14999999999986</v>
      </c>
      <c r="C95" s="62"/>
      <c r="D95" s="66"/>
      <c r="E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row>
    <row r="96" spans="1:256" s="65" customFormat="1" ht="13.5" customHeight="1" hidden="1" outlineLevel="1">
      <c r="A96" s="530" t="s">
        <v>127</v>
      </c>
      <c r="B96" s="530">
        <v>7047.5</v>
      </c>
      <c r="C96" s="62"/>
      <c r="D96" s="66"/>
      <c r="E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row>
    <row r="97" spans="1:256" s="65" customFormat="1" ht="13.5" customHeight="1" hidden="1" outlineLevel="1">
      <c r="A97" s="530" t="s">
        <v>444</v>
      </c>
      <c r="B97" s="530">
        <v>1.87</v>
      </c>
      <c r="C97" s="62"/>
      <c r="D97" s="66"/>
      <c r="E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row>
    <row r="98" spans="1:256" s="65" customFormat="1" ht="13.5" customHeight="1" hidden="1" outlineLevel="1">
      <c r="A98" s="530" t="s">
        <v>508</v>
      </c>
      <c r="B98" s="530">
        <v>8.530000000000001</v>
      </c>
      <c r="C98" s="62"/>
      <c r="D98" s="66"/>
      <c r="E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row>
    <row r="99" spans="1:256" s="65" customFormat="1" ht="13.5" customHeight="1" hidden="1" outlineLevel="1">
      <c r="A99" s="530" t="s">
        <v>128</v>
      </c>
      <c r="B99" s="530">
        <v>26.7</v>
      </c>
      <c r="C99" s="62"/>
      <c r="D99" s="66"/>
      <c r="E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row>
    <row r="100" spans="1:256" s="65" customFormat="1" ht="13.5" customHeight="1" hidden="1" outlineLevel="1">
      <c r="A100" s="530" t="s">
        <v>129</v>
      </c>
      <c r="B100" s="530">
        <v>11.86</v>
      </c>
      <c r="C100" s="62"/>
      <c r="D100" s="66"/>
      <c r="E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row>
    <row r="101" spans="1:256" s="65" customFormat="1" ht="13.5" customHeight="1" hidden="1" outlineLevel="1">
      <c r="A101" s="530" t="s">
        <v>331</v>
      </c>
      <c r="B101" s="530">
        <v>8.790000000000001</v>
      </c>
      <c r="C101" s="62"/>
      <c r="D101" s="66"/>
      <c r="E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row>
    <row r="102" spans="1:256" s="65" customFormat="1" ht="13.5" customHeight="1" hidden="1" outlineLevel="1">
      <c r="A102" s="530" t="s">
        <v>130</v>
      </c>
      <c r="B102" s="530">
        <v>907.71</v>
      </c>
      <c r="C102" s="62"/>
      <c r="D102" s="66"/>
      <c r="E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row>
    <row r="103" spans="1:256" s="65" customFormat="1" ht="13.5" customHeight="1" hidden="1" outlineLevel="1">
      <c r="A103" s="530" t="s">
        <v>131</v>
      </c>
      <c r="B103" s="530">
        <v>2025.98</v>
      </c>
      <c r="C103" s="62"/>
      <c r="D103" s="66"/>
      <c r="E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row>
    <row r="104" spans="1:256" s="65" customFormat="1" ht="13.5" customHeight="1" hidden="1" outlineLevel="1">
      <c r="A104" s="530" t="s">
        <v>332</v>
      </c>
      <c r="B104" s="530">
        <v>1239.8400000000001</v>
      </c>
      <c r="C104" s="62"/>
      <c r="D104" s="66"/>
      <c r="E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row>
    <row r="105" spans="1:256" s="65" customFormat="1" ht="13.5" customHeight="1" hidden="1" outlineLevel="1">
      <c r="A105" s="530" t="s">
        <v>441</v>
      </c>
      <c r="B105" s="530">
        <v>106.77</v>
      </c>
      <c r="C105" s="62"/>
      <c r="D105" s="66"/>
      <c r="E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row>
    <row r="106" spans="1:256" s="65" customFormat="1" ht="13.5" customHeight="1" hidden="1" outlineLevel="1">
      <c r="A106" s="530" t="s">
        <v>132</v>
      </c>
      <c r="B106" s="530">
        <v>245.2</v>
      </c>
      <c r="C106" s="62"/>
      <c r="D106" s="66"/>
      <c r="E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row>
    <row r="107" spans="1:256" s="65" customFormat="1" ht="13.5" customHeight="1" hidden="1" outlineLevel="1">
      <c r="A107" s="530" t="s">
        <v>133</v>
      </c>
      <c r="B107" s="530">
        <v>220.68999999999997</v>
      </c>
      <c r="C107" s="62"/>
      <c r="D107" s="66"/>
      <c r="E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row>
    <row r="108" spans="1:256" s="65" customFormat="1" ht="13.5" customHeight="1" hidden="1" outlineLevel="1">
      <c r="A108" s="530" t="s">
        <v>367</v>
      </c>
      <c r="B108" s="530">
        <v>49</v>
      </c>
      <c r="C108" s="62"/>
      <c r="D108" s="66"/>
      <c r="E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row>
    <row r="109" spans="1:256" s="65" customFormat="1" ht="13.5" customHeight="1" hidden="1" outlineLevel="1">
      <c r="A109" s="530" t="s">
        <v>134</v>
      </c>
      <c r="B109" s="530">
        <v>3.2199999999999998</v>
      </c>
      <c r="C109" s="62"/>
      <c r="D109" s="66"/>
      <c r="E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row>
    <row r="110" spans="1:256" s="65" customFormat="1" ht="13.5" customHeight="1" hidden="1" outlineLevel="1">
      <c r="A110" s="530" t="s">
        <v>448</v>
      </c>
      <c r="B110" s="530">
        <v>0</v>
      </c>
      <c r="C110" s="62"/>
      <c r="D110" s="66"/>
      <c r="E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row>
    <row r="111" spans="1:256" s="65" customFormat="1" ht="13.5" customHeight="1" hidden="1" outlineLevel="1">
      <c r="A111" s="530" t="s">
        <v>421</v>
      </c>
      <c r="B111" s="530">
        <v>1.2</v>
      </c>
      <c r="C111" s="62"/>
      <c r="D111" s="66"/>
      <c r="E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row>
    <row r="112" spans="1:256" s="65" customFormat="1" ht="13.5" customHeight="1" hidden="1" outlineLevel="1">
      <c r="A112" s="530" t="s">
        <v>373</v>
      </c>
      <c r="B112" s="530">
        <v>935.5</v>
      </c>
      <c r="C112" s="62"/>
      <c r="D112" s="66"/>
      <c r="E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row>
    <row r="113" spans="1:256" s="65" customFormat="1" ht="13.5" customHeight="1" hidden="1" outlineLevel="1">
      <c r="A113" s="530" t="s">
        <v>334</v>
      </c>
      <c r="B113" s="530">
        <v>639.0699999999999</v>
      </c>
      <c r="C113" s="62"/>
      <c r="D113" s="66"/>
      <c r="E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row>
    <row r="114" spans="1:256" s="65" customFormat="1" ht="13.5" customHeight="1" hidden="1" outlineLevel="1">
      <c r="A114" s="530" t="s">
        <v>446</v>
      </c>
      <c r="B114" s="530">
        <v>43.39</v>
      </c>
      <c r="C114" s="62"/>
      <c r="D114" s="66"/>
      <c r="E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row>
    <row r="115" spans="1:256" s="65" customFormat="1" ht="13.5" customHeight="1" hidden="1" outlineLevel="1">
      <c r="A115" s="530" t="s">
        <v>335</v>
      </c>
      <c r="B115" s="530">
        <v>185.25</v>
      </c>
      <c r="C115" s="62"/>
      <c r="D115" s="66"/>
      <c r="E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row>
    <row r="116" spans="1:256" s="65" customFormat="1" ht="13.5" customHeight="1" hidden="1" outlineLevel="1">
      <c r="A116" s="530" t="s">
        <v>509</v>
      </c>
      <c r="B116" s="530">
        <v>76.06</v>
      </c>
      <c r="C116" s="62"/>
      <c r="D116" s="66"/>
      <c r="E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row>
    <row r="117" spans="1:256" s="65" customFormat="1" ht="13.5" customHeight="1" hidden="1" outlineLevel="1">
      <c r="A117" s="530" t="s">
        <v>336</v>
      </c>
      <c r="B117" s="530">
        <v>319.07</v>
      </c>
      <c r="C117" s="62"/>
      <c r="D117" s="66"/>
      <c r="E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row>
    <row r="118" spans="1:256" s="65" customFormat="1" ht="13.5" customHeight="1" hidden="1" outlineLevel="1">
      <c r="A118" s="530" t="s">
        <v>135</v>
      </c>
      <c r="B118" s="530">
        <v>18529.699999999997</v>
      </c>
      <c r="C118" s="62"/>
      <c r="D118" s="66"/>
      <c r="E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row>
    <row r="119" spans="1:256" s="65" customFormat="1" ht="13.5" customHeight="1" hidden="1" outlineLevel="1">
      <c r="A119" s="530" t="s">
        <v>136</v>
      </c>
      <c r="B119" s="530">
        <v>333.53000000000003</v>
      </c>
      <c r="C119" s="62"/>
      <c r="D119" s="66"/>
      <c r="E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row>
    <row r="120" spans="1:256" s="65" customFormat="1" ht="13.5" customHeight="1" hidden="1" outlineLevel="1">
      <c r="A120" s="530" t="s">
        <v>137</v>
      </c>
      <c r="B120" s="530">
        <v>80962.55</v>
      </c>
      <c r="C120" s="62"/>
      <c r="D120" s="66"/>
      <c r="E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row>
    <row r="121" spans="1:256" s="65" customFormat="1" ht="13.5" customHeight="1" hidden="1" outlineLevel="1">
      <c r="A121" s="530" t="s">
        <v>138</v>
      </c>
      <c r="B121" s="530">
        <v>4992.940000000002</v>
      </c>
      <c r="C121" s="62"/>
      <c r="D121" s="66"/>
      <c r="E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row>
    <row r="122" spans="1:256" s="65" customFormat="1" ht="13.5" customHeight="1" hidden="1" outlineLevel="1">
      <c r="A122" s="530" t="s">
        <v>494</v>
      </c>
      <c r="B122" s="530">
        <v>1694.6199999999997</v>
      </c>
      <c r="C122" s="62"/>
      <c r="D122" s="66"/>
      <c r="E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row>
    <row r="123" spans="1:256" s="65" customFormat="1" ht="13.5" customHeight="1" hidden="1" outlineLevel="1">
      <c r="A123" s="530" t="s">
        <v>495</v>
      </c>
      <c r="B123" s="530">
        <v>355.07999999999987</v>
      </c>
      <c r="C123" s="62"/>
      <c r="D123" s="66"/>
      <c r="E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row>
    <row r="124" spans="1:256" s="65" customFormat="1" ht="13.5" customHeight="1" hidden="1" outlineLevel="1">
      <c r="A124" s="530" t="s">
        <v>496</v>
      </c>
      <c r="B124" s="530">
        <v>332.2099999999999</v>
      </c>
      <c r="C124" s="62"/>
      <c r="D124" s="66"/>
      <c r="E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row>
    <row r="125" spans="1:256" s="65" customFormat="1" ht="13.5" customHeight="1" hidden="1" outlineLevel="1">
      <c r="A125" s="530" t="s">
        <v>369</v>
      </c>
      <c r="B125" s="530">
        <v>240</v>
      </c>
      <c r="C125" s="62"/>
      <c r="D125" s="66"/>
      <c r="E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row>
    <row r="126" spans="1:256" s="65" customFormat="1" ht="13.5" customHeight="1" hidden="1" outlineLevel="1">
      <c r="A126" s="530" t="s">
        <v>374</v>
      </c>
      <c r="B126" s="530">
        <v>793.5</v>
      </c>
      <c r="C126" s="62"/>
      <c r="D126" s="66"/>
      <c r="E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row>
    <row r="127" spans="1:256" s="65" customFormat="1" ht="13.5" customHeight="1" hidden="1" outlineLevel="1">
      <c r="A127" s="530" t="s">
        <v>139</v>
      </c>
      <c r="B127" s="530">
        <v>46096.9</v>
      </c>
      <c r="C127" s="62"/>
      <c r="D127" s="66"/>
      <c r="E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row>
    <row r="128" spans="1:256" s="65" customFormat="1" ht="13.5" customHeight="1" hidden="1" outlineLevel="1">
      <c r="A128" s="530" t="s">
        <v>140</v>
      </c>
      <c r="B128" s="530">
        <v>10849.45</v>
      </c>
      <c r="C128" s="62"/>
      <c r="D128" s="66"/>
      <c r="E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row>
    <row r="129" spans="1:256" s="65" customFormat="1" ht="13.5" customHeight="1" hidden="1" outlineLevel="1">
      <c r="A129" s="530" t="s">
        <v>371</v>
      </c>
      <c r="B129" s="530">
        <v>181.16</v>
      </c>
      <c r="C129" s="62"/>
      <c r="D129" s="66"/>
      <c r="E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row>
    <row r="130" spans="1:256" s="65" customFormat="1" ht="13.5" customHeight="1" hidden="1" outlineLevel="1">
      <c r="A130" s="530" t="s">
        <v>141</v>
      </c>
      <c r="B130" s="530">
        <v>41.51000000000001</v>
      </c>
      <c r="C130" s="62"/>
      <c r="D130" s="66"/>
      <c r="E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row>
    <row r="131" spans="1:256" s="65" customFormat="1" ht="13.5" customHeight="1" hidden="1" outlineLevel="1">
      <c r="A131" s="530" t="s">
        <v>372</v>
      </c>
      <c r="B131" s="530">
        <v>26.21</v>
      </c>
      <c r="C131" s="62"/>
      <c r="D131" s="66"/>
      <c r="E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row>
    <row r="132" spans="1:256" s="65" customFormat="1" ht="13.5" customHeight="1" hidden="1" outlineLevel="1">
      <c r="A132" s="530" t="s">
        <v>142</v>
      </c>
      <c r="B132" s="530">
        <v>364.36</v>
      </c>
      <c r="C132" s="62"/>
      <c r="D132" s="66"/>
      <c r="E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row>
    <row r="133" spans="1:256" s="65" customFormat="1" ht="13.5" customHeight="1" hidden="1" outlineLevel="1">
      <c r="A133" s="530" t="s">
        <v>422</v>
      </c>
      <c r="B133" s="530">
        <v>14.06</v>
      </c>
      <c r="C133" s="62"/>
      <c r="D133" s="66"/>
      <c r="E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row>
    <row r="134" spans="1:256" s="65" customFormat="1" ht="13.5" customHeight="1" hidden="1" outlineLevel="1">
      <c r="A134" s="530" t="s">
        <v>143</v>
      </c>
      <c r="B134" s="530">
        <v>215.33999999999997</v>
      </c>
      <c r="C134" s="62"/>
      <c r="D134" s="66"/>
      <c r="E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row>
    <row r="135" spans="1:256" s="65" customFormat="1" ht="13.5" customHeight="1" hidden="1" outlineLevel="1">
      <c r="A135" s="530" t="s">
        <v>144</v>
      </c>
      <c r="B135" s="530">
        <v>276.7899999999999</v>
      </c>
      <c r="C135" s="62"/>
      <c r="D135" s="66"/>
      <c r="E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row>
    <row r="136" spans="1:256" s="65" customFormat="1" ht="13.5" customHeight="1" hidden="1" outlineLevel="1">
      <c r="A136" s="530" t="s">
        <v>145</v>
      </c>
      <c r="B136" s="530">
        <v>1646.41</v>
      </c>
      <c r="C136" s="62"/>
      <c r="D136" s="66"/>
      <c r="E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row>
    <row r="137" spans="1:256" s="65" customFormat="1" ht="13.5" customHeight="1" hidden="1" outlineLevel="1">
      <c r="A137" s="530" t="s">
        <v>146</v>
      </c>
      <c r="B137" s="530">
        <v>83.29999999999998</v>
      </c>
      <c r="C137" s="62"/>
      <c r="D137" s="66"/>
      <c r="E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row>
    <row r="138" spans="1:256" s="65" customFormat="1" ht="13.5" customHeight="1" hidden="1" outlineLevel="1">
      <c r="A138" s="530" t="s">
        <v>147</v>
      </c>
      <c r="B138" s="530">
        <v>867.3499999999999</v>
      </c>
      <c r="C138" s="62"/>
      <c r="D138" s="66"/>
      <c r="E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row>
    <row r="139" spans="1:256" s="65" customFormat="1" ht="13.5" customHeight="1" hidden="1" outlineLevel="1">
      <c r="A139" s="530" t="s">
        <v>148</v>
      </c>
      <c r="B139" s="530">
        <v>402.77000000000004</v>
      </c>
      <c r="C139" s="62"/>
      <c r="D139" s="66"/>
      <c r="E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row>
    <row r="140" spans="1:256" s="65" customFormat="1" ht="13.5" customHeight="1" hidden="1" outlineLevel="1">
      <c r="A140" s="530" t="s">
        <v>149</v>
      </c>
      <c r="B140" s="530">
        <v>298.18999999999994</v>
      </c>
      <c r="C140" s="62"/>
      <c r="D140" s="66"/>
      <c r="E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row>
    <row r="141" spans="1:256" s="65" customFormat="1" ht="13.5" customHeight="1" hidden="1" outlineLevel="1">
      <c r="A141" s="530" t="s">
        <v>432</v>
      </c>
      <c r="B141" s="530">
        <v>28.61</v>
      </c>
      <c r="C141" s="62"/>
      <c r="D141" s="66"/>
      <c r="E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row>
    <row r="142" spans="1:256" s="65" customFormat="1" ht="13.5" customHeight="1" hidden="1" outlineLevel="1">
      <c r="A142" s="530" t="s">
        <v>150</v>
      </c>
      <c r="B142" s="530">
        <v>4800.3799999999965</v>
      </c>
      <c r="C142" s="62"/>
      <c r="D142" s="66"/>
      <c r="E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row>
    <row r="143" spans="1:256" s="65" customFormat="1" ht="13.5" customHeight="1" hidden="1" outlineLevel="1">
      <c r="A143" s="530" t="s">
        <v>151</v>
      </c>
      <c r="B143" s="530">
        <v>911.7899999999996</v>
      </c>
      <c r="C143" s="62"/>
      <c r="D143" s="66"/>
      <c r="E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row>
    <row r="144" spans="1:256" s="65" customFormat="1" ht="13.5" customHeight="1" hidden="1" outlineLevel="1">
      <c r="A144" s="530" t="s">
        <v>449</v>
      </c>
      <c r="B144" s="530">
        <v>0</v>
      </c>
      <c r="C144" s="62"/>
      <c r="D144" s="66"/>
      <c r="E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row>
    <row r="145" spans="1:256" s="65" customFormat="1" ht="13.5" customHeight="1" hidden="1" outlineLevel="1">
      <c r="A145" s="530" t="s">
        <v>152</v>
      </c>
      <c r="B145" s="530">
        <v>6224.700000000001</v>
      </c>
      <c r="C145" s="62"/>
      <c r="D145" s="66"/>
      <c r="E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row>
    <row r="146" spans="1:256" s="65" customFormat="1" ht="13.5" customHeight="1" hidden="1" outlineLevel="1">
      <c r="A146" s="530" t="s">
        <v>153</v>
      </c>
      <c r="B146" s="530">
        <v>9431.349999999999</v>
      </c>
      <c r="C146" s="62"/>
      <c r="D146" s="66"/>
      <c r="E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row>
    <row r="147" spans="1:256" s="65" customFormat="1" ht="13.5" customHeight="1" hidden="1" outlineLevel="1">
      <c r="A147" s="530" t="s">
        <v>497</v>
      </c>
      <c r="B147" s="530">
        <v>103.55</v>
      </c>
      <c r="C147" s="62"/>
      <c r="D147" s="66"/>
      <c r="E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row>
    <row r="148" spans="1:256" s="65" customFormat="1" ht="13.5" customHeight="1" hidden="1" outlineLevel="1">
      <c r="A148" s="530" t="s">
        <v>476</v>
      </c>
      <c r="B148" s="530">
        <v>3.2600000000000002</v>
      </c>
      <c r="C148" s="62"/>
      <c r="D148" s="66"/>
      <c r="E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row>
    <row r="149" spans="1:256" s="65" customFormat="1" ht="13.5" customHeight="1" hidden="1" outlineLevel="1">
      <c r="A149" s="530" t="s">
        <v>507</v>
      </c>
      <c r="B149" s="530">
        <v>23.41</v>
      </c>
      <c r="C149" s="62"/>
      <c r="D149" s="66"/>
      <c r="E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row>
    <row r="150" spans="1:256" s="65" customFormat="1" ht="13.5" customHeight="1" hidden="1" outlineLevel="1">
      <c r="A150" s="530" t="s">
        <v>154</v>
      </c>
      <c r="B150" s="530">
        <v>416.52000000000004</v>
      </c>
      <c r="C150" s="62"/>
      <c r="D150" s="66"/>
      <c r="E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row>
    <row r="151" spans="1:256" s="65" customFormat="1" ht="13.5" customHeight="1" hidden="1" outlineLevel="1">
      <c r="A151" s="530" t="s">
        <v>337</v>
      </c>
      <c r="B151" s="530">
        <v>625</v>
      </c>
      <c r="C151" s="62"/>
      <c r="D151" s="66"/>
      <c r="E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row>
    <row r="152" spans="1:256" s="65" customFormat="1" ht="13.5" customHeight="1" hidden="1" outlineLevel="1">
      <c r="A152" s="530" t="s">
        <v>155</v>
      </c>
      <c r="B152" s="530">
        <v>28.360000000000007</v>
      </c>
      <c r="C152" s="62"/>
      <c r="D152" s="66"/>
      <c r="E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row>
    <row r="153" spans="1:256" s="65" customFormat="1" ht="13.5" customHeight="1" collapsed="1">
      <c r="A153" s="215" t="s">
        <v>158</v>
      </c>
      <c r="B153" s="61">
        <f>SUM(B94:B152)</f>
        <v>207646.82</v>
      </c>
      <c r="C153" s="62"/>
      <c r="D153" s="66"/>
      <c r="E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row>
    <row r="154" spans="1:256" s="65" customFormat="1" ht="13.5" customHeight="1" hidden="1" outlineLevel="1">
      <c r="A154" s="214" t="s">
        <v>324</v>
      </c>
      <c r="B154" s="214">
        <v>817.45</v>
      </c>
      <c r="C154" s="62"/>
      <c r="D154" s="66"/>
      <c r="E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row>
    <row r="155" spans="1:256" s="65" customFormat="1" ht="13.5" customHeight="1" hidden="1" outlineLevel="1">
      <c r="A155" s="214" t="s">
        <v>328</v>
      </c>
      <c r="B155" s="214">
        <v>6906.5</v>
      </c>
      <c r="C155" s="62"/>
      <c r="D155" s="66"/>
      <c r="E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row>
    <row r="156" spans="1:256" s="65" customFormat="1" ht="13.5" customHeight="1" hidden="1" outlineLevel="1">
      <c r="A156" s="214" t="s">
        <v>157</v>
      </c>
      <c r="B156" s="214">
        <v>10389</v>
      </c>
      <c r="C156" s="62"/>
      <c r="D156" s="66"/>
      <c r="E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row>
    <row r="157" spans="1:256" s="65" customFormat="1" ht="13.5" customHeight="1" hidden="1" outlineLevel="1">
      <c r="A157" s="214" t="s">
        <v>160</v>
      </c>
      <c r="B157" s="214">
        <v>921.5</v>
      </c>
      <c r="C157" s="62"/>
      <c r="D157" s="66"/>
      <c r="E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row>
    <row r="158" spans="1:256" s="65" customFormat="1" ht="13.5" customHeight="1" hidden="1" outlineLevel="1">
      <c r="A158" s="214" t="s">
        <v>325</v>
      </c>
      <c r="B158" s="214">
        <v>115.3</v>
      </c>
      <c r="C158" s="62"/>
      <c r="D158" s="66"/>
      <c r="E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row>
    <row r="159" spans="1:256" s="65" customFormat="1" ht="13.5" customHeight="1" hidden="1" outlineLevel="1">
      <c r="A159" s="214" t="s">
        <v>326</v>
      </c>
      <c r="B159" s="214">
        <v>0</v>
      </c>
      <c r="C159" s="62"/>
      <c r="D159" s="66"/>
      <c r="E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row>
    <row r="160" spans="1:256" s="65" customFormat="1" ht="13.5" customHeight="1" hidden="1" outlineLevel="1">
      <c r="A160" s="214" t="s">
        <v>161</v>
      </c>
      <c r="B160" s="214">
        <v>573</v>
      </c>
      <c r="C160" s="62"/>
      <c r="D160" s="66"/>
      <c r="E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row>
    <row r="161" spans="1:256" s="65" customFormat="1" ht="13.5" customHeight="1" hidden="1" outlineLevel="1">
      <c r="A161" s="214" t="s">
        <v>162</v>
      </c>
      <c r="B161" s="214">
        <v>14846.94</v>
      </c>
      <c r="C161" s="62"/>
      <c r="D161" s="66"/>
      <c r="E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row>
    <row r="162" spans="1:256" s="65" customFormat="1" ht="13.5" customHeight="1" hidden="1" outlineLevel="1">
      <c r="A162" s="214" t="s">
        <v>329</v>
      </c>
      <c r="B162" s="214">
        <v>0</v>
      </c>
      <c r="C162" s="62"/>
      <c r="D162" s="66"/>
      <c r="E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row>
    <row r="163" spans="1:256" s="65" customFormat="1" ht="13.5" customHeight="1" hidden="1" outlineLevel="1">
      <c r="A163" s="214" t="s">
        <v>163</v>
      </c>
      <c r="B163" s="214">
        <v>25794</v>
      </c>
      <c r="C163" s="62"/>
      <c r="D163" s="66"/>
      <c r="E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row>
    <row r="164" spans="1:256" s="65" customFormat="1" ht="13.5" customHeight="1" hidden="1" outlineLevel="1">
      <c r="A164" s="214" t="s">
        <v>164</v>
      </c>
      <c r="B164" s="214">
        <v>431.88</v>
      </c>
      <c r="C164" s="62"/>
      <c r="D164" s="66"/>
      <c r="E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row>
    <row r="165" spans="1:256" s="65" customFormat="1" ht="13.5" customHeight="1" hidden="1" outlineLevel="1">
      <c r="A165" s="214" t="s">
        <v>327</v>
      </c>
      <c r="B165" s="214">
        <v>12680</v>
      </c>
      <c r="C165" s="62"/>
      <c r="D165" s="66"/>
      <c r="E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row>
    <row r="166" spans="1:256" s="65" customFormat="1" ht="13.5" customHeight="1" hidden="1" outlineLevel="1">
      <c r="A166" s="214" t="s">
        <v>165</v>
      </c>
      <c r="B166" s="214">
        <v>5078</v>
      </c>
      <c r="C166" s="62"/>
      <c r="D166" s="66"/>
      <c r="E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row>
    <row r="167" spans="1:256" s="65" customFormat="1" ht="13.5" customHeight="1" hidden="1" outlineLevel="1">
      <c r="A167" s="214" t="s">
        <v>166</v>
      </c>
      <c r="B167" s="214">
        <v>2899</v>
      </c>
      <c r="C167" s="62"/>
      <c r="D167" s="66"/>
      <c r="E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row>
    <row r="168" spans="1:256" s="65" customFormat="1" ht="13.5" customHeight="1" hidden="1" outlineLevel="1">
      <c r="A168" s="214" t="s">
        <v>330</v>
      </c>
      <c r="B168" s="214">
        <v>0</v>
      </c>
      <c r="C168" s="62"/>
      <c r="D168" s="66"/>
      <c r="E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row>
    <row r="169" spans="1:256" s="65" customFormat="1" ht="13.5" customHeight="1" hidden="1" outlineLevel="1">
      <c r="A169" s="214" t="s">
        <v>167</v>
      </c>
      <c r="B169" s="214">
        <v>625</v>
      </c>
      <c r="C169" s="62"/>
      <c r="D169" s="66"/>
      <c r="E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row>
    <row r="170" spans="1:256" s="65" customFormat="1" ht="13.5" customHeight="1" hidden="1" outlineLevel="1">
      <c r="A170" s="214" t="s">
        <v>168</v>
      </c>
      <c r="B170" s="214">
        <v>2691.13</v>
      </c>
      <c r="C170" s="62"/>
      <c r="D170" s="66"/>
      <c r="E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row>
    <row r="171" spans="1:256" s="65" customFormat="1" ht="13.5" customHeight="1" collapsed="1">
      <c r="A171" s="215" t="s">
        <v>159</v>
      </c>
      <c r="B171" s="61">
        <f>SUM(B154:B170)</f>
        <v>84768.70000000001</v>
      </c>
      <c r="C171" s="62"/>
      <c r="D171" s="66"/>
      <c r="E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row>
    <row r="172" spans="1:256" s="65" customFormat="1" ht="13.5" customHeight="1" hidden="1" outlineLevel="1">
      <c r="A172" s="214" t="s">
        <v>328</v>
      </c>
      <c r="B172" s="214">
        <v>95780</v>
      </c>
      <c r="C172" s="62"/>
      <c r="D172" s="66"/>
      <c r="E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row>
    <row r="173" spans="1:256" s="65" customFormat="1" ht="13.5" customHeight="1" hidden="1" outlineLevel="1">
      <c r="A173" s="214" t="s">
        <v>162</v>
      </c>
      <c r="B173" s="214">
        <v>166122.87</v>
      </c>
      <c r="C173" s="62"/>
      <c r="D173" s="66"/>
      <c r="E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row>
    <row r="174" spans="1:256" s="65" customFormat="1" ht="13.5" customHeight="1" hidden="1" outlineLevel="1">
      <c r="A174" s="214" t="s">
        <v>163</v>
      </c>
      <c r="B174" s="214">
        <v>197170.88</v>
      </c>
      <c r="C174" s="62"/>
      <c r="D174" s="66"/>
      <c r="E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row>
    <row r="175" spans="1:256" s="65" customFormat="1" ht="13.5" customHeight="1" hidden="1" outlineLevel="1">
      <c r="A175" s="214" t="s">
        <v>327</v>
      </c>
      <c r="B175" s="214">
        <v>82473.16</v>
      </c>
      <c r="C175" s="62"/>
      <c r="D175" s="66"/>
      <c r="E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row>
    <row r="176" spans="1:256" s="65" customFormat="1" ht="13.5" customHeight="1" hidden="1" outlineLevel="1">
      <c r="A176" s="214" t="s">
        <v>168</v>
      </c>
      <c r="B176" s="214">
        <v>24246.78</v>
      </c>
      <c r="C176" s="62"/>
      <c r="D176" s="66"/>
      <c r="E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row>
    <row r="177" spans="1:256" s="65" customFormat="1" ht="13.5" customHeight="1" collapsed="1">
      <c r="A177" s="215" t="s">
        <v>169</v>
      </c>
      <c r="B177" s="61">
        <f>SUM(B172:B176)</f>
        <v>565793.6900000001</v>
      </c>
      <c r="C177" s="62"/>
      <c r="D177" s="66"/>
      <c r="E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row>
    <row r="178" spans="1:256" s="65" customFormat="1" ht="13.5" customHeight="1" hidden="1" outlineLevel="1">
      <c r="A178" s="214" t="s">
        <v>328</v>
      </c>
      <c r="B178" s="214">
        <v>1624456.5</v>
      </c>
      <c r="C178" s="62"/>
      <c r="D178" s="66"/>
      <c r="E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row>
    <row r="179" spans="1:256" s="65" customFormat="1" ht="13.5" customHeight="1" hidden="1" outlineLevel="1">
      <c r="A179" s="214" t="s">
        <v>162</v>
      </c>
      <c r="B179" s="214">
        <v>1381775.45</v>
      </c>
      <c r="C179" s="62"/>
      <c r="D179" s="66"/>
      <c r="E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row>
    <row r="180" spans="1:256" s="65" customFormat="1" ht="13.5" customHeight="1" hidden="1" outlineLevel="1">
      <c r="A180" s="214" t="s">
        <v>163</v>
      </c>
      <c r="B180" s="214">
        <v>1546575.64</v>
      </c>
      <c r="C180" s="62"/>
      <c r="D180" s="66"/>
      <c r="E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row>
    <row r="181" spans="1:256" s="65" customFormat="1" ht="13.5" customHeight="1" hidden="1" outlineLevel="1">
      <c r="A181" s="214" t="s">
        <v>327</v>
      </c>
      <c r="B181" s="214">
        <v>877536.85</v>
      </c>
      <c r="C181" s="62"/>
      <c r="D181" s="66"/>
      <c r="E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row>
    <row r="182" spans="1:256" s="65" customFormat="1" ht="13.5" customHeight="1" hidden="1" outlineLevel="1">
      <c r="A182" s="214" t="s">
        <v>168</v>
      </c>
      <c r="B182" s="214">
        <v>190581.79</v>
      </c>
      <c r="C182" s="62"/>
      <c r="D182" s="66"/>
      <c r="E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row>
    <row r="183" spans="1:256" s="65" customFormat="1" ht="13.5" customHeight="1" collapsed="1">
      <c r="A183" s="215" t="s">
        <v>170</v>
      </c>
      <c r="B183" s="61">
        <f>SUM(B178:B182)</f>
        <v>5620926.2299999995</v>
      </c>
      <c r="C183" s="62"/>
      <c r="D183" s="66"/>
      <c r="E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row>
    <row r="184" spans="1:256" s="65" customFormat="1" ht="13.5" customHeight="1" hidden="1" outlineLevel="1">
      <c r="A184" s="214" t="s">
        <v>324</v>
      </c>
      <c r="B184" s="214">
        <v>104421.88</v>
      </c>
      <c r="C184" s="62"/>
      <c r="D184" s="66"/>
      <c r="E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row>
    <row r="185" spans="1:256" s="65" customFormat="1" ht="13.5" customHeight="1" hidden="1" outlineLevel="1">
      <c r="A185" s="214" t="s">
        <v>160</v>
      </c>
      <c r="B185" s="214">
        <v>9376.45</v>
      </c>
      <c r="C185" s="62"/>
      <c r="D185" s="66"/>
      <c r="E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row>
    <row r="186" spans="1:256" s="65" customFormat="1" ht="13.5" customHeight="1" hidden="1" outlineLevel="1">
      <c r="A186" s="214" t="s">
        <v>325</v>
      </c>
      <c r="B186" s="214">
        <v>28234</v>
      </c>
      <c r="C186" s="62"/>
      <c r="D186" s="66"/>
      <c r="E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row>
    <row r="187" spans="1:256" s="65" customFormat="1" ht="13.5" customHeight="1" hidden="1" outlineLevel="1">
      <c r="A187" s="214" t="s">
        <v>326</v>
      </c>
      <c r="B187" s="214">
        <v>1823</v>
      </c>
      <c r="C187" s="62"/>
      <c r="D187" s="66"/>
      <c r="E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row>
    <row r="188" spans="1:256" s="65" customFormat="1" ht="13.5" customHeight="1" hidden="1" outlineLevel="1">
      <c r="A188" s="214" t="s">
        <v>161</v>
      </c>
      <c r="B188" s="214">
        <v>95786</v>
      </c>
      <c r="C188" s="62"/>
      <c r="D188" s="66"/>
      <c r="E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row>
    <row r="189" spans="1:256" s="65" customFormat="1" ht="13.5" customHeight="1" hidden="1" outlineLevel="1">
      <c r="A189" s="214" t="s">
        <v>329</v>
      </c>
      <c r="B189" s="214">
        <v>5895.18</v>
      </c>
      <c r="C189" s="62"/>
      <c r="D189" s="66"/>
      <c r="E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row>
    <row r="190" spans="1:256" s="65" customFormat="1" ht="13.5" customHeight="1" hidden="1" outlineLevel="1">
      <c r="A190" s="214" t="s">
        <v>163</v>
      </c>
      <c r="B190" s="214">
        <v>73394.98</v>
      </c>
      <c r="C190" s="62"/>
      <c r="D190" s="66"/>
      <c r="E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row>
    <row r="191" spans="1:256" s="65" customFormat="1" ht="13.5" customHeight="1" hidden="1" outlineLevel="1">
      <c r="A191" s="214" t="s">
        <v>164</v>
      </c>
      <c r="B191" s="214">
        <v>3122.92</v>
      </c>
      <c r="C191" s="62"/>
      <c r="D191" s="66"/>
      <c r="E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row>
    <row r="192" spans="1:256" s="65" customFormat="1" ht="13.5" customHeight="1" hidden="1" outlineLevel="1">
      <c r="A192" s="214" t="s">
        <v>327</v>
      </c>
      <c r="B192" s="214">
        <v>17717.46</v>
      </c>
      <c r="C192" s="62"/>
      <c r="D192" s="66"/>
      <c r="E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row>
    <row r="193" spans="1:256" s="65" customFormat="1" ht="13.5" customHeight="1" hidden="1" outlineLevel="1">
      <c r="A193" s="214" t="s">
        <v>165</v>
      </c>
      <c r="B193" s="214">
        <v>38440</v>
      </c>
      <c r="C193" s="62"/>
      <c r="D193" s="66"/>
      <c r="E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row>
    <row r="194" spans="1:256" s="65" customFormat="1" ht="13.5" customHeight="1" hidden="1" outlineLevel="1">
      <c r="A194" s="214" t="s">
        <v>166</v>
      </c>
      <c r="B194" s="214">
        <v>9764</v>
      </c>
      <c r="C194" s="62"/>
      <c r="D194" s="66"/>
      <c r="E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row>
    <row r="195" spans="1:256" s="65" customFormat="1" ht="13.5" customHeight="1" hidden="1" outlineLevel="1">
      <c r="A195" s="214" t="s">
        <v>330</v>
      </c>
      <c r="B195" s="214">
        <v>21458.56</v>
      </c>
      <c r="C195" s="62"/>
      <c r="D195" s="66"/>
      <c r="E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row>
    <row r="196" spans="1:256" s="65" customFormat="1" ht="13.5" customHeight="1" hidden="1" outlineLevel="1">
      <c r="A196" s="214" t="s">
        <v>167</v>
      </c>
      <c r="B196" s="214">
        <v>49890</v>
      </c>
      <c r="C196" s="62"/>
      <c r="D196" s="66"/>
      <c r="E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row>
    <row r="197" spans="1:256" s="65" customFormat="1" ht="13.5" customHeight="1" collapsed="1">
      <c r="A197" s="215" t="s">
        <v>171</v>
      </c>
      <c r="B197" s="61">
        <f>SUM(B184:B196)</f>
        <v>459324.43</v>
      </c>
      <c r="C197" s="62"/>
      <c r="D197" s="66"/>
      <c r="E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row>
    <row r="198" spans="1:256" s="65" customFormat="1" ht="13.5" customHeight="1" hidden="1" outlineLevel="1">
      <c r="A198" s="214" t="s">
        <v>324</v>
      </c>
      <c r="B198" s="214">
        <v>449118.52</v>
      </c>
      <c r="C198" s="62"/>
      <c r="D198" s="66"/>
      <c r="E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row>
    <row r="199" spans="1:256" s="65" customFormat="1" ht="13.5" customHeight="1" hidden="1" outlineLevel="1">
      <c r="A199" s="214" t="s">
        <v>160</v>
      </c>
      <c r="B199" s="214">
        <v>125032.87000000001</v>
      </c>
      <c r="C199" s="62"/>
      <c r="D199" s="66"/>
      <c r="E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row>
    <row r="200" spans="1:256" s="65" customFormat="1" ht="13.5" customHeight="1" hidden="1" outlineLevel="1">
      <c r="A200" s="214" t="s">
        <v>325</v>
      </c>
      <c r="B200" s="214">
        <v>135025.87</v>
      </c>
      <c r="C200" s="62"/>
      <c r="D200" s="66"/>
      <c r="E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row>
    <row r="201" spans="1:256" s="65" customFormat="1" ht="13.5" customHeight="1" hidden="1" outlineLevel="1">
      <c r="A201" s="214" t="s">
        <v>326</v>
      </c>
      <c r="B201" s="214">
        <v>14376</v>
      </c>
      <c r="C201" s="62"/>
      <c r="D201" s="66"/>
      <c r="E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row>
    <row r="202" spans="1:256" s="65" customFormat="1" ht="13.5" customHeight="1" hidden="1" outlineLevel="1">
      <c r="A202" s="214" t="s">
        <v>161</v>
      </c>
      <c r="B202" s="214">
        <v>706030</v>
      </c>
      <c r="C202" s="62"/>
      <c r="D202" s="66"/>
      <c r="E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row>
    <row r="203" spans="1:256" s="65" customFormat="1" ht="13.5" customHeight="1" hidden="1" outlineLevel="1">
      <c r="A203" s="214" t="s">
        <v>329</v>
      </c>
      <c r="B203" s="214">
        <v>27198.36</v>
      </c>
      <c r="C203" s="62"/>
      <c r="D203" s="66"/>
      <c r="E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row>
    <row r="204" spans="1:256" s="65" customFormat="1" ht="13.5" customHeight="1" hidden="1" outlineLevel="1">
      <c r="A204" s="214" t="s">
        <v>163</v>
      </c>
      <c r="B204" s="214">
        <v>419770.99</v>
      </c>
      <c r="C204" s="62"/>
      <c r="D204" s="66"/>
      <c r="E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row>
    <row r="205" spans="1:256" s="65" customFormat="1" ht="13.5" customHeight="1" hidden="1" outlineLevel="1">
      <c r="A205" s="214" t="s">
        <v>164</v>
      </c>
      <c r="B205" s="214">
        <v>19197.730000000003</v>
      </c>
      <c r="C205" s="62"/>
      <c r="D205" s="66"/>
      <c r="E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row>
    <row r="206" spans="1:256" s="65" customFormat="1" ht="13.5" customHeight="1" hidden="1" outlineLevel="1">
      <c r="A206" s="214" t="s">
        <v>327</v>
      </c>
      <c r="B206" s="214">
        <v>200321.54</v>
      </c>
      <c r="C206" s="62"/>
      <c r="D206" s="66"/>
      <c r="E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row>
    <row r="207" spans="1:256" s="65" customFormat="1" ht="13.5" customHeight="1" hidden="1" outlineLevel="1">
      <c r="A207" s="214" t="s">
        <v>165</v>
      </c>
      <c r="B207" s="214">
        <v>521781</v>
      </c>
      <c r="C207" s="62"/>
      <c r="D207" s="66"/>
      <c r="E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row>
    <row r="208" spans="1:256" s="65" customFormat="1" ht="13.5" customHeight="1" hidden="1" outlineLevel="1">
      <c r="A208" s="214" t="s">
        <v>166</v>
      </c>
      <c r="B208" s="214">
        <v>122308</v>
      </c>
      <c r="C208" s="62"/>
      <c r="D208" s="66"/>
      <c r="E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FI208" s="63"/>
      <c r="FJ208" s="63"/>
      <c r="FK208" s="63"/>
      <c r="FL208" s="63"/>
      <c r="FM208" s="63"/>
      <c r="FN208" s="63"/>
      <c r="FO208" s="63"/>
      <c r="FP208" s="63"/>
      <c r="FQ208" s="63"/>
      <c r="FR208" s="63"/>
      <c r="FS208" s="63"/>
      <c r="FT208" s="63"/>
      <c r="FU208" s="63"/>
      <c r="FV208" s="63"/>
      <c r="FW208" s="63"/>
      <c r="FX208" s="63"/>
      <c r="FY208" s="63"/>
      <c r="FZ208" s="63"/>
      <c r="GA208" s="63"/>
      <c r="GB208" s="63"/>
      <c r="GC208" s="63"/>
      <c r="GD208" s="63"/>
      <c r="GE208" s="63"/>
      <c r="GF208" s="63"/>
      <c r="GG208" s="63"/>
      <c r="GH208" s="63"/>
      <c r="GI208" s="63"/>
      <c r="GJ208" s="63"/>
      <c r="GK208" s="63"/>
      <c r="GL208" s="63"/>
      <c r="GM208" s="63"/>
      <c r="GN208" s="63"/>
      <c r="GO208" s="63"/>
      <c r="GP208" s="63"/>
      <c r="GQ208" s="63"/>
      <c r="GR208" s="63"/>
      <c r="GS208" s="63"/>
      <c r="GT208" s="63"/>
      <c r="GU208" s="63"/>
      <c r="GV208" s="63"/>
      <c r="GW208" s="63"/>
      <c r="GX208" s="63"/>
      <c r="GY208" s="63"/>
      <c r="GZ208" s="63"/>
      <c r="HA208" s="63"/>
      <c r="HB208" s="63"/>
      <c r="HC208" s="63"/>
      <c r="HD208" s="63"/>
      <c r="HE208" s="63"/>
      <c r="HF208" s="63"/>
      <c r="HG208" s="63"/>
      <c r="HH208" s="63"/>
      <c r="HI208" s="63"/>
      <c r="HJ208" s="63"/>
      <c r="HK208" s="63"/>
      <c r="HL208" s="63"/>
      <c r="HM208" s="63"/>
      <c r="HN208" s="63"/>
      <c r="HO208" s="63"/>
      <c r="HP208" s="63"/>
      <c r="HQ208" s="63"/>
      <c r="HR208" s="63"/>
      <c r="HS208" s="63"/>
      <c r="HT208" s="63"/>
      <c r="HU208" s="63"/>
      <c r="HV208" s="63"/>
      <c r="HW208" s="63"/>
      <c r="HX208" s="63"/>
      <c r="HY208" s="63"/>
      <c r="HZ208" s="63"/>
      <c r="IA208" s="63"/>
      <c r="IB208" s="63"/>
      <c r="IC208" s="63"/>
      <c r="ID208" s="63"/>
      <c r="IE208" s="63"/>
      <c r="IF208" s="63"/>
      <c r="IG208" s="63"/>
      <c r="IH208" s="63"/>
      <c r="II208" s="63"/>
      <c r="IJ208" s="63"/>
      <c r="IK208" s="63"/>
      <c r="IL208" s="63"/>
      <c r="IM208" s="63"/>
      <c r="IN208" s="63"/>
      <c r="IO208" s="63"/>
      <c r="IP208" s="63"/>
      <c r="IQ208" s="63"/>
      <c r="IR208" s="63"/>
      <c r="IS208" s="63"/>
      <c r="IT208" s="63"/>
      <c r="IU208" s="63"/>
      <c r="IV208" s="63"/>
    </row>
    <row r="209" spans="1:256" s="65" customFormat="1" ht="13.5" customHeight="1" hidden="1" outlineLevel="1">
      <c r="A209" s="214" t="s">
        <v>330</v>
      </c>
      <c r="B209" s="214">
        <v>238428.61000000004</v>
      </c>
      <c r="C209" s="62"/>
      <c r="D209" s="66"/>
      <c r="E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c r="FC209" s="63"/>
      <c r="FD209" s="63"/>
      <c r="FE209" s="63"/>
      <c r="FF209" s="63"/>
      <c r="FG209" s="63"/>
      <c r="FH209" s="63"/>
      <c r="FI209" s="63"/>
      <c r="FJ209" s="63"/>
      <c r="FK209" s="63"/>
      <c r="FL209" s="63"/>
      <c r="FM209" s="63"/>
      <c r="FN209" s="63"/>
      <c r="FO209" s="63"/>
      <c r="FP209" s="63"/>
      <c r="FQ209" s="63"/>
      <c r="FR209" s="63"/>
      <c r="FS209" s="63"/>
      <c r="FT209" s="63"/>
      <c r="FU209" s="63"/>
      <c r="FV209" s="63"/>
      <c r="FW209" s="63"/>
      <c r="FX209" s="63"/>
      <c r="FY209" s="63"/>
      <c r="FZ209" s="63"/>
      <c r="GA209" s="63"/>
      <c r="GB209" s="63"/>
      <c r="GC209" s="63"/>
      <c r="GD209" s="63"/>
      <c r="GE209" s="63"/>
      <c r="GF209" s="63"/>
      <c r="GG209" s="63"/>
      <c r="GH209" s="63"/>
      <c r="GI209" s="63"/>
      <c r="GJ209" s="63"/>
      <c r="GK209" s="63"/>
      <c r="GL209" s="63"/>
      <c r="GM209" s="63"/>
      <c r="GN209" s="63"/>
      <c r="GO209" s="63"/>
      <c r="GP209" s="63"/>
      <c r="GQ209" s="63"/>
      <c r="GR209" s="63"/>
      <c r="GS209" s="63"/>
      <c r="GT209" s="63"/>
      <c r="GU209" s="63"/>
      <c r="GV209" s="63"/>
      <c r="GW209" s="63"/>
      <c r="GX209" s="63"/>
      <c r="GY209" s="63"/>
      <c r="GZ209" s="63"/>
      <c r="HA209" s="63"/>
      <c r="HB209" s="63"/>
      <c r="HC209" s="63"/>
      <c r="HD209" s="63"/>
      <c r="HE209" s="63"/>
      <c r="HF209" s="63"/>
      <c r="HG209" s="63"/>
      <c r="HH209" s="63"/>
      <c r="HI209" s="63"/>
      <c r="HJ209" s="63"/>
      <c r="HK209" s="63"/>
      <c r="HL209" s="63"/>
      <c r="HM209" s="63"/>
      <c r="HN209" s="63"/>
      <c r="HO209" s="63"/>
      <c r="HP209" s="63"/>
      <c r="HQ209" s="63"/>
      <c r="HR209" s="63"/>
      <c r="HS209" s="63"/>
      <c r="HT209" s="63"/>
      <c r="HU209" s="63"/>
      <c r="HV209" s="63"/>
      <c r="HW209" s="63"/>
      <c r="HX209" s="63"/>
      <c r="HY209" s="63"/>
      <c r="HZ209" s="63"/>
      <c r="IA209" s="63"/>
      <c r="IB209" s="63"/>
      <c r="IC209" s="63"/>
      <c r="ID209" s="63"/>
      <c r="IE209" s="63"/>
      <c r="IF209" s="63"/>
      <c r="IG209" s="63"/>
      <c r="IH209" s="63"/>
      <c r="II209" s="63"/>
      <c r="IJ209" s="63"/>
      <c r="IK209" s="63"/>
      <c r="IL209" s="63"/>
      <c r="IM209" s="63"/>
      <c r="IN209" s="63"/>
      <c r="IO209" s="63"/>
      <c r="IP209" s="63"/>
      <c r="IQ209" s="63"/>
      <c r="IR209" s="63"/>
      <c r="IS209" s="63"/>
      <c r="IT209" s="63"/>
      <c r="IU209" s="63"/>
      <c r="IV209" s="63"/>
    </row>
    <row r="210" spans="1:256" s="65" customFormat="1" ht="13.5" customHeight="1" hidden="1" outlineLevel="1">
      <c r="A210" s="214" t="s">
        <v>167</v>
      </c>
      <c r="B210" s="214">
        <v>705304</v>
      </c>
      <c r="C210" s="62"/>
      <c r="D210" s="66"/>
      <c r="E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FI210" s="63"/>
      <c r="FJ210" s="63"/>
      <c r="FK210" s="63"/>
      <c r="FL210" s="63"/>
      <c r="FM210" s="63"/>
      <c r="FN210" s="63"/>
      <c r="FO210" s="63"/>
      <c r="FP210" s="63"/>
      <c r="FQ210" s="63"/>
      <c r="FR210" s="63"/>
      <c r="FS210" s="63"/>
      <c r="FT210" s="63"/>
      <c r="FU210" s="63"/>
      <c r="FV210" s="63"/>
      <c r="FW210" s="63"/>
      <c r="FX210" s="63"/>
      <c r="FY210" s="63"/>
      <c r="FZ210" s="63"/>
      <c r="GA210" s="63"/>
      <c r="GB210" s="63"/>
      <c r="GC210" s="63"/>
      <c r="GD210" s="63"/>
      <c r="GE210" s="63"/>
      <c r="GF210" s="63"/>
      <c r="GG210" s="63"/>
      <c r="GH210" s="63"/>
      <c r="GI210" s="63"/>
      <c r="GJ210" s="63"/>
      <c r="GK210" s="63"/>
      <c r="GL210" s="63"/>
      <c r="GM210" s="63"/>
      <c r="GN210" s="63"/>
      <c r="GO210" s="63"/>
      <c r="GP210" s="63"/>
      <c r="GQ210" s="63"/>
      <c r="GR210" s="63"/>
      <c r="GS210" s="63"/>
      <c r="GT210" s="63"/>
      <c r="GU210" s="63"/>
      <c r="GV210" s="63"/>
      <c r="GW210" s="63"/>
      <c r="GX210" s="63"/>
      <c r="GY210" s="63"/>
      <c r="GZ210" s="63"/>
      <c r="HA210" s="63"/>
      <c r="HB210" s="63"/>
      <c r="HC210" s="63"/>
      <c r="HD210" s="63"/>
      <c r="HE210" s="63"/>
      <c r="HF210" s="63"/>
      <c r="HG210" s="63"/>
      <c r="HH210" s="63"/>
      <c r="HI210" s="63"/>
      <c r="HJ210" s="63"/>
      <c r="HK210" s="63"/>
      <c r="HL210" s="63"/>
      <c r="HM210" s="63"/>
      <c r="HN210" s="63"/>
      <c r="HO210" s="63"/>
      <c r="HP210" s="63"/>
      <c r="HQ210" s="63"/>
      <c r="HR210" s="63"/>
      <c r="HS210" s="63"/>
      <c r="HT210" s="63"/>
      <c r="HU210" s="63"/>
      <c r="HV210" s="63"/>
      <c r="HW210" s="63"/>
      <c r="HX210" s="63"/>
      <c r="HY210" s="63"/>
      <c r="HZ210" s="63"/>
      <c r="IA210" s="63"/>
      <c r="IB210" s="63"/>
      <c r="IC210" s="63"/>
      <c r="ID210" s="63"/>
      <c r="IE210" s="63"/>
      <c r="IF210" s="63"/>
      <c r="IG210" s="63"/>
      <c r="IH210" s="63"/>
      <c r="II210" s="63"/>
      <c r="IJ210" s="63"/>
      <c r="IK210" s="63"/>
      <c r="IL210" s="63"/>
      <c r="IM210" s="63"/>
      <c r="IN210" s="63"/>
      <c r="IO210" s="63"/>
      <c r="IP210" s="63"/>
      <c r="IQ210" s="63"/>
      <c r="IR210" s="63"/>
      <c r="IS210" s="63"/>
      <c r="IT210" s="63"/>
      <c r="IU210" s="63"/>
      <c r="IV210" s="63"/>
    </row>
    <row r="211" spans="1:256" s="65" customFormat="1" ht="13.5" customHeight="1" collapsed="1">
      <c r="A211" s="215" t="s">
        <v>172</v>
      </c>
      <c r="B211" s="61">
        <f>SUM(B198:B210)</f>
        <v>3683893.4899999998</v>
      </c>
      <c r="C211" s="62"/>
      <c r="D211" s="66"/>
      <c r="E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FI211" s="63"/>
      <c r="FJ211" s="63"/>
      <c r="FK211" s="63"/>
      <c r="FL211" s="63"/>
      <c r="FM211" s="63"/>
      <c r="FN211" s="63"/>
      <c r="FO211" s="63"/>
      <c r="FP211" s="63"/>
      <c r="FQ211" s="63"/>
      <c r="FR211" s="63"/>
      <c r="FS211" s="63"/>
      <c r="FT211" s="63"/>
      <c r="FU211" s="63"/>
      <c r="FV211" s="63"/>
      <c r="FW211" s="63"/>
      <c r="FX211" s="63"/>
      <c r="FY211" s="63"/>
      <c r="FZ211" s="63"/>
      <c r="GA211" s="63"/>
      <c r="GB211" s="63"/>
      <c r="GC211" s="63"/>
      <c r="GD211" s="63"/>
      <c r="GE211" s="63"/>
      <c r="GF211" s="63"/>
      <c r="GG211" s="63"/>
      <c r="GH211" s="63"/>
      <c r="GI211" s="63"/>
      <c r="GJ211" s="63"/>
      <c r="GK211" s="63"/>
      <c r="GL211" s="63"/>
      <c r="GM211" s="63"/>
      <c r="GN211" s="63"/>
      <c r="GO211" s="63"/>
      <c r="GP211" s="63"/>
      <c r="GQ211" s="63"/>
      <c r="GR211" s="63"/>
      <c r="GS211" s="63"/>
      <c r="GT211" s="63"/>
      <c r="GU211" s="63"/>
      <c r="GV211" s="63"/>
      <c r="GW211" s="63"/>
      <c r="GX211" s="63"/>
      <c r="GY211" s="63"/>
      <c r="GZ211" s="63"/>
      <c r="HA211" s="63"/>
      <c r="HB211" s="63"/>
      <c r="HC211" s="63"/>
      <c r="HD211" s="63"/>
      <c r="HE211" s="63"/>
      <c r="HF211" s="63"/>
      <c r="HG211" s="63"/>
      <c r="HH211" s="63"/>
      <c r="HI211" s="63"/>
      <c r="HJ211" s="63"/>
      <c r="HK211" s="63"/>
      <c r="HL211" s="63"/>
      <c r="HM211" s="63"/>
      <c r="HN211" s="63"/>
      <c r="HO211" s="63"/>
      <c r="HP211" s="63"/>
      <c r="HQ211" s="63"/>
      <c r="HR211" s="63"/>
      <c r="HS211" s="63"/>
      <c r="HT211" s="63"/>
      <c r="HU211" s="63"/>
      <c r="HV211" s="63"/>
      <c r="HW211" s="63"/>
      <c r="HX211" s="63"/>
      <c r="HY211" s="63"/>
      <c r="HZ211" s="63"/>
      <c r="IA211" s="63"/>
      <c r="IB211" s="63"/>
      <c r="IC211" s="63"/>
      <c r="ID211" s="63"/>
      <c r="IE211" s="63"/>
      <c r="IF211" s="63"/>
      <c r="IG211" s="63"/>
      <c r="IH211" s="63"/>
      <c r="II211" s="63"/>
      <c r="IJ211" s="63"/>
      <c r="IK211" s="63"/>
      <c r="IL211" s="63"/>
      <c r="IM211" s="63"/>
      <c r="IN211" s="63"/>
      <c r="IO211" s="63"/>
      <c r="IP211" s="63"/>
      <c r="IQ211" s="63"/>
      <c r="IR211" s="63"/>
      <c r="IS211" s="63"/>
      <c r="IT211" s="63"/>
      <c r="IU211" s="63"/>
      <c r="IV211" s="63"/>
    </row>
    <row r="212" spans="1:256" s="65" customFormat="1" ht="13.5" customHeight="1" hidden="1" outlineLevel="1">
      <c r="A212" s="214" t="s">
        <v>328</v>
      </c>
      <c r="B212" s="214">
        <v>9856</v>
      </c>
      <c r="C212" s="62"/>
      <c r="D212" s="66"/>
      <c r="E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FI212" s="63"/>
      <c r="FJ212" s="63"/>
      <c r="FK212" s="63"/>
      <c r="FL212" s="63"/>
      <c r="FM212" s="63"/>
      <c r="FN212" s="63"/>
      <c r="FO212" s="63"/>
      <c r="FP212" s="63"/>
      <c r="FQ212" s="63"/>
      <c r="FR212" s="63"/>
      <c r="FS212" s="63"/>
      <c r="FT212" s="63"/>
      <c r="FU212" s="63"/>
      <c r="FV212" s="63"/>
      <c r="FW212" s="63"/>
      <c r="FX212" s="63"/>
      <c r="FY212" s="63"/>
      <c r="FZ212" s="63"/>
      <c r="GA212" s="63"/>
      <c r="GB212" s="63"/>
      <c r="GC212" s="63"/>
      <c r="GD212" s="63"/>
      <c r="GE212" s="63"/>
      <c r="GF212" s="63"/>
      <c r="GG212" s="63"/>
      <c r="GH212" s="63"/>
      <c r="GI212" s="63"/>
      <c r="GJ212" s="63"/>
      <c r="GK212" s="63"/>
      <c r="GL212" s="63"/>
      <c r="GM212" s="63"/>
      <c r="GN212" s="63"/>
      <c r="GO212" s="63"/>
      <c r="GP212" s="63"/>
      <c r="GQ212" s="63"/>
      <c r="GR212" s="63"/>
      <c r="GS212" s="63"/>
      <c r="GT212" s="63"/>
      <c r="GU212" s="63"/>
      <c r="GV212" s="63"/>
      <c r="GW212" s="63"/>
      <c r="GX212" s="63"/>
      <c r="GY212" s="63"/>
      <c r="GZ212" s="63"/>
      <c r="HA212" s="63"/>
      <c r="HB212" s="63"/>
      <c r="HC212" s="63"/>
      <c r="HD212" s="63"/>
      <c r="HE212" s="63"/>
      <c r="HF212" s="63"/>
      <c r="HG212" s="63"/>
      <c r="HH212" s="63"/>
      <c r="HI212" s="63"/>
      <c r="HJ212" s="63"/>
      <c r="HK212" s="63"/>
      <c r="HL212" s="63"/>
      <c r="HM212" s="63"/>
      <c r="HN212" s="63"/>
      <c r="HO212" s="63"/>
      <c r="HP212" s="63"/>
      <c r="HQ212" s="63"/>
      <c r="HR212" s="63"/>
      <c r="HS212" s="63"/>
      <c r="HT212" s="63"/>
      <c r="HU212" s="63"/>
      <c r="HV212" s="63"/>
      <c r="HW212" s="63"/>
      <c r="HX212" s="63"/>
      <c r="HY212" s="63"/>
      <c r="HZ212" s="63"/>
      <c r="IA212" s="63"/>
      <c r="IB212" s="63"/>
      <c r="IC212" s="63"/>
      <c r="ID212" s="63"/>
      <c r="IE212" s="63"/>
      <c r="IF212" s="63"/>
      <c r="IG212" s="63"/>
      <c r="IH212" s="63"/>
      <c r="II212" s="63"/>
      <c r="IJ212" s="63"/>
      <c r="IK212" s="63"/>
      <c r="IL212" s="63"/>
      <c r="IM212" s="63"/>
      <c r="IN212" s="63"/>
      <c r="IO212" s="63"/>
      <c r="IP212" s="63"/>
      <c r="IQ212" s="63"/>
      <c r="IR212" s="63"/>
      <c r="IS212" s="63"/>
      <c r="IT212" s="63"/>
      <c r="IU212" s="63"/>
      <c r="IV212" s="63"/>
    </row>
    <row r="213" spans="1:256" s="65" customFormat="1" ht="13.5" customHeight="1" hidden="1" outlineLevel="1">
      <c r="A213" s="214" t="s">
        <v>162</v>
      </c>
      <c r="B213" s="214">
        <v>4782.82</v>
      </c>
      <c r="C213" s="62"/>
      <c r="D213" s="66"/>
      <c r="E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FI213" s="63"/>
      <c r="FJ213" s="63"/>
      <c r="FK213" s="63"/>
      <c r="FL213" s="63"/>
      <c r="FM213" s="63"/>
      <c r="FN213" s="63"/>
      <c r="FO213" s="63"/>
      <c r="FP213" s="63"/>
      <c r="FQ213" s="63"/>
      <c r="FR213" s="63"/>
      <c r="FS213" s="63"/>
      <c r="FT213" s="63"/>
      <c r="FU213" s="63"/>
      <c r="FV213" s="63"/>
      <c r="FW213" s="63"/>
      <c r="FX213" s="63"/>
      <c r="FY213" s="63"/>
      <c r="FZ213" s="63"/>
      <c r="GA213" s="63"/>
      <c r="GB213" s="63"/>
      <c r="GC213" s="63"/>
      <c r="GD213" s="63"/>
      <c r="GE213" s="63"/>
      <c r="GF213" s="63"/>
      <c r="GG213" s="63"/>
      <c r="GH213" s="63"/>
      <c r="GI213" s="63"/>
      <c r="GJ213" s="63"/>
      <c r="GK213" s="63"/>
      <c r="GL213" s="63"/>
      <c r="GM213" s="63"/>
      <c r="GN213" s="63"/>
      <c r="GO213" s="63"/>
      <c r="GP213" s="63"/>
      <c r="GQ213" s="63"/>
      <c r="GR213" s="63"/>
      <c r="GS213" s="63"/>
      <c r="GT213" s="63"/>
      <c r="GU213" s="63"/>
      <c r="GV213" s="63"/>
      <c r="GW213" s="63"/>
      <c r="GX213" s="63"/>
      <c r="GY213" s="63"/>
      <c r="GZ213" s="63"/>
      <c r="HA213" s="63"/>
      <c r="HB213" s="63"/>
      <c r="HC213" s="63"/>
      <c r="HD213" s="63"/>
      <c r="HE213" s="63"/>
      <c r="HF213" s="63"/>
      <c r="HG213" s="63"/>
      <c r="HH213" s="63"/>
      <c r="HI213" s="63"/>
      <c r="HJ213" s="63"/>
      <c r="HK213" s="63"/>
      <c r="HL213" s="63"/>
      <c r="HM213" s="63"/>
      <c r="HN213" s="63"/>
      <c r="HO213" s="63"/>
      <c r="HP213" s="63"/>
      <c r="HQ213" s="63"/>
      <c r="HR213" s="63"/>
      <c r="HS213" s="63"/>
      <c r="HT213" s="63"/>
      <c r="HU213" s="63"/>
      <c r="HV213" s="63"/>
      <c r="HW213" s="63"/>
      <c r="HX213" s="63"/>
      <c r="HY213" s="63"/>
      <c r="HZ213" s="63"/>
      <c r="IA213" s="63"/>
      <c r="IB213" s="63"/>
      <c r="IC213" s="63"/>
      <c r="ID213" s="63"/>
      <c r="IE213" s="63"/>
      <c r="IF213" s="63"/>
      <c r="IG213" s="63"/>
      <c r="IH213" s="63"/>
      <c r="II213" s="63"/>
      <c r="IJ213" s="63"/>
      <c r="IK213" s="63"/>
      <c r="IL213" s="63"/>
      <c r="IM213" s="63"/>
      <c r="IN213" s="63"/>
      <c r="IO213" s="63"/>
      <c r="IP213" s="63"/>
      <c r="IQ213" s="63"/>
      <c r="IR213" s="63"/>
      <c r="IS213" s="63"/>
      <c r="IT213" s="63"/>
      <c r="IU213" s="63"/>
      <c r="IV213" s="63"/>
    </row>
    <row r="214" spans="1:256" s="65" customFormat="1" ht="13.5" customHeight="1" hidden="1" outlineLevel="1">
      <c r="A214" s="214" t="s">
        <v>163</v>
      </c>
      <c r="B214" s="214">
        <v>0</v>
      </c>
      <c r="C214" s="62"/>
      <c r="D214" s="66"/>
      <c r="E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c r="FC214" s="63"/>
      <c r="FD214" s="63"/>
      <c r="FE214" s="63"/>
      <c r="FF214" s="63"/>
      <c r="FG214" s="63"/>
      <c r="FH214" s="63"/>
      <c r="FI214" s="63"/>
      <c r="FJ214" s="63"/>
      <c r="FK214" s="63"/>
      <c r="FL214" s="63"/>
      <c r="FM214" s="63"/>
      <c r="FN214" s="63"/>
      <c r="FO214" s="63"/>
      <c r="FP214" s="63"/>
      <c r="FQ214" s="63"/>
      <c r="FR214" s="63"/>
      <c r="FS214" s="63"/>
      <c r="FT214" s="63"/>
      <c r="FU214" s="63"/>
      <c r="FV214" s="63"/>
      <c r="FW214" s="63"/>
      <c r="FX214" s="63"/>
      <c r="FY214" s="63"/>
      <c r="FZ214" s="63"/>
      <c r="GA214" s="63"/>
      <c r="GB214" s="63"/>
      <c r="GC214" s="63"/>
      <c r="GD214" s="63"/>
      <c r="GE214" s="63"/>
      <c r="GF214" s="63"/>
      <c r="GG214" s="63"/>
      <c r="GH214" s="63"/>
      <c r="GI214" s="63"/>
      <c r="GJ214" s="63"/>
      <c r="GK214" s="63"/>
      <c r="GL214" s="63"/>
      <c r="GM214" s="63"/>
      <c r="GN214" s="63"/>
      <c r="GO214" s="63"/>
      <c r="GP214" s="63"/>
      <c r="GQ214" s="63"/>
      <c r="GR214" s="63"/>
      <c r="GS214" s="63"/>
      <c r="GT214" s="63"/>
      <c r="GU214" s="63"/>
      <c r="GV214" s="63"/>
      <c r="GW214" s="63"/>
      <c r="GX214" s="63"/>
      <c r="GY214" s="63"/>
      <c r="GZ214" s="63"/>
      <c r="HA214" s="63"/>
      <c r="HB214" s="63"/>
      <c r="HC214" s="63"/>
      <c r="HD214" s="63"/>
      <c r="HE214" s="63"/>
      <c r="HF214" s="63"/>
      <c r="HG214" s="63"/>
      <c r="HH214" s="63"/>
      <c r="HI214" s="63"/>
      <c r="HJ214" s="63"/>
      <c r="HK214" s="63"/>
      <c r="HL214" s="63"/>
      <c r="HM214" s="63"/>
      <c r="HN214" s="63"/>
      <c r="HO214" s="63"/>
      <c r="HP214" s="63"/>
      <c r="HQ214" s="63"/>
      <c r="HR214" s="63"/>
      <c r="HS214" s="63"/>
      <c r="HT214" s="63"/>
      <c r="HU214" s="63"/>
      <c r="HV214" s="63"/>
      <c r="HW214" s="63"/>
      <c r="HX214" s="63"/>
      <c r="HY214" s="63"/>
      <c r="HZ214" s="63"/>
      <c r="IA214" s="63"/>
      <c r="IB214" s="63"/>
      <c r="IC214" s="63"/>
      <c r="ID214" s="63"/>
      <c r="IE214" s="63"/>
      <c r="IF214" s="63"/>
      <c r="IG214" s="63"/>
      <c r="IH214" s="63"/>
      <c r="II214" s="63"/>
      <c r="IJ214" s="63"/>
      <c r="IK214" s="63"/>
      <c r="IL214" s="63"/>
      <c r="IM214" s="63"/>
      <c r="IN214" s="63"/>
      <c r="IO214" s="63"/>
      <c r="IP214" s="63"/>
      <c r="IQ214" s="63"/>
      <c r="IR214" s="63"/>
      <c r="IS214" s="63"/>
      <c r="IT214" s="63"/>
      <c r="IU214" s="63"/>
      <c r="IV214" s="63"/>
    </row>
    <row r="215" spans="1:256" s="65" customFormat="1" ht="13.5" customHeight="1" hidden="1" outlineLevel="1">
      <c r="A215" s="214" t="s">
        <v>327</v>
      </c>
      <c r="B215" s="214">
        <v>423.14</v>
      </c>
      <c r="C215" s="62"/>
      <c r="D215" s="66"/>
      <c r="E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c r="FC215" s="63"/>
      <c r="FD215" s="63"/>
      <c r="FE215" s="63"/>
      <c r="FF215" s="63"/>
      <c r="FG215" s="63"/>
      <c r="FH215" s="63"/>
      <c r="FI215" s="63"/>
      <c r="FJ215" s="63"/>
      <c r="FK215" s="63"/>
      <c r="FL215" s="63"/>
      <c r="FM215" s="63"/>
      <c r="FN215" s="63"/>
      <c r="FO215" s="63"/>
      <c r="FP215" s="63"/>
      <c r="FQ215" s="63"/>
      <c r="FR215" s="63"/>
      <c r="FS215" s="63"/>
      <c r="FT215" s="63"/>
      <c r="FU215" s="63"/>
      <c r="FV215" s="63"/>
      <c r="FW215" s="63"/>
      <c r="FX215" s="63"/>
      <c r="FY215" s="63"/>
      <c r="FZ215" s="63"/>
      <c r="GA215" s="63"/>
      <c r="GB215" s="63"/>
      <c r="GC215" s="63"/>
      <c r="GD215" s="63"/>
      <c r="GE215" s="63"/>
      <c r="GF215" s="63"/>
      <c r="GG215" s="63"/>
      <c r="GH215" s="63"/>
      <c r="GI215" s="63"/>
      <c r="GJ215" s="63"/>
      <c r="GK215" s="63"/>
      <c r="GL215" s="63"/>
      <c r="GM215" s="63"/>
      <c r="GN215" s="63"/>
      <c r="GO215" s="63"/>
      <c r="GP215" s="63"/>
      <c r="GQ215" s="63"/>
      <c r="GR215" s="63"/>
      <c r="GS215" s="63"/>
      <c r="GT215" s="63"/>
      <c r="GU215" s="63"/>
      <c r="GV215" s="63"/>
      <c r="GW215" s="63"/>
      <c r="GX215" s="63"/>
      <c r="GY215" s="63"/>
      <c r="GZ215" s="63"/>
      <c r="HA215" s="63"/>
      <c r="HB215" s="63"/>
      <c r="HC215" s="63"/>
      <c r="HD215" s="63"/>
      <c r="HE215" s="63"/>
      <c r="HF215" s="63"/>
      <c r="HG215" s="63"/>
      <c r="HH215" s="63"/>
      <c r="HI215" s="63"/>
      <c r="HJ215" s="63"/>
      <c r="HK215" s="63"/>
      <c r="HL215" s="63"/>
      <c r="HM215" s="63"/>
      <c r="HN215" s="63"/>
      <c r="HO215" s="63"/>
      <c r="HP215" s="63"/>
      <c r="HQ215" s="63"/>
      <c r="HR215" s="63"/>
      <c r="HS215" s="63"/>
      <c r="HT215" s="63"/>
      <c r="HU215" s="63"/>
      <c r="HV215" s="63"/>
      <c r="HW215" s="63"/>
      <c r="HX215" s="63"/>
      <c r="HY215" s="63"/>
      <c r="HZ215" s="63"/>
      <c r="IA215" s="63"/>
      <c r="IB215" s="63"/>
      <c r="IC215" s="63"/>
      <c r="ID215" s="63"/>
      <c r="IE215" s="63"/>
      <c r="IF215" s="63"/>
      <c r="IG215" s="63"/>
      <c r="IH215" s="63"/>
      <c r="II215" s="63"/>
      <c r="IJ215" s="63"/>
      <c r="IK215" s="63"/>
      <c r="IL215" s="63"/>
      <c r="IM215" s="63"/>
      <c r="IN215" s="63"/>
      <c r="IO215" s="63"/>
      <c r="IP215" s="63"/>
      <c r="IQ215" s="63"/>
      <c r="IR215" s="63"/>
      <c r="IS215" s="63"/>
      <c r="IT215" s="63"/>
      <c r="IU215" s="63"/>
      <c r="IV215" s="63"/>
    </row>
    <row r="216" spans="1:256" s="65" customFormat="1" ht="13.5" customHeight="1" hidden="1" outlineLevel="1">
      <c r="A216" s="214" t="s">
        <v>168</v>
      </c>
      <c r="B216" s="214">
        <v>5320.57</v>
      </c>
      <c r="C216" s="62"/>
      <c r="D216" s="66"/>
      <c r="E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FI216" s="63"/>
      <c r="FJ216" s="63"/>
      <c r="FK216" s="63"/>
      <c r="FL216" s="63"/>
      <c r="FM216" s="63"/>
      <c r="FN216" s="63"/>
      <c r="FO216" s="63"/>
      <c r="FP216" s="63"/>
      <c r="FQ216" s="63"/>
      <c r="FR216" s="63"/>
      <c r="FS216" s="63"/>
      <c r="FT216" s="63"/>
      <c r="FU216" s="63"/>
      <c r="FV216" s="63"/>
      <c r="FW216" s="63"/>
      <c r="FX216" s="63"/>
      <c r="FY216" s="63"/>
      <c r="FZ216" s="63"/>
      <c r="GA216" s="63"/>
      <c r="GB216" s="63"/>
      <c r="GC216" s="63"/>
      <c r="GD216" s="63"/>
      <c r="GE216" s="63"/>
      <c r="GF216" s="63"/>
      <c r="GG216" s="63"/>
      <c r="GH216" s="63"/>
      <c r="GI216" s="63"/>
      <c r="GJ216" s="63"/>
      <c r="GK216" s="63"/>
      <c r="GL216" s="63"/>
      <c r="GM216" s="63"/>
      <c r="GN216" s="63"/>
      <c r="GO216" s="63"/>
      <c r="GP216" s="63"/>
      <c r="GQ216" s="63"/>
      <c r="GR216" s="63"/>
      <c r="GS216" s="63"/>
      <c r="GT216" s="63"/>
      <c r="GU216" s="63"/>
      <c r="GV216" s="63"/>
      <c r="GW216" s="63"/>
      <c r="GX216" s="63"/>
      <c r="GY216" s="63"/>
      <c r="GZ216" s="63"/>
      <c r="HA216" s="63"/>
      <c r="HB216" s="63"/>
      <c r="HC216" s="63"/>
      <c r="HD216" s="63"/>
      <c r="HE216" s="63"/>
      <c r="HF216" s="63"/>
      <c r="HG216" s="63"/>
      <c r="HH216" s="63"/>
      <c r="HI216" s="63"/>
      <c r="HJ216" s="63"/>
      <c r="HK216" s="63"/>
      <c r="HL216" s="63"/>
      <c r="HM216" s="63"/>
      <c r="HN216" s="63"/>
      <c r="HO216" s="63"/>
      <c r="HP216" s="63"/>
      <c r="HQ216" s="63"/>
      <c r="HR216" s="63"/>
      <c r="HS216" s="63"/>
      <c r="HT216" s="63"/>
      <c r="HU216" s="63"/>
      <c r="HV216" s="63"/>
      <c r="HW216" s="63"/>
      <c r="HX216" s="63"/>
      <c r="HY216" s="63"/>
      <c r="HZ216" s="63"/>
      <c r="IA216" s="63"/>
      <c r="IB216" s="63"/>
      <c r="IC216" s="63"/>
      <c r="ID216" s="63"/>
      <c r="IE216" s="63"/>
      <c r="IF216" s="63"/>
      <c r="IG216" s="63"/>
      <c r="IH216" s="63"/>
      <c r="II216" s="63"/>
      <c r="IJ216" s="63"/>
      <c r="IK216" s="63"/>
      <c r="IL216" s="63"/>
      <c r="IM216" s="63"/>
      <c r="IN216" s="63"/>
      <c r="IO216" s="63"/>
      <c r="IP216" s="63"/>
      <c r="IQ216" s="63"/>
      <c r="IR216" s="63"/>
      <c r="IS216" s="63"/>
      <c r="IT216" s="63"/>
      <c r="IU216" s="63"/>
      <c r="IV216" s="63"/>
    </row>
    <row r="217" spans="1:256" s="65" customFormat="1" ht="13.5" customHeight="1" collapsed="1">
      <c r="A217" s="215" t="s">
        <v>174</v>
      </c>
      <c r="B217" s="61">
        <f>SUM(B212:B216)</f>
        <v>20382.53</v>
      </c>
      <c r="C217" s="62"/>
      <c r="D217" s="66"/>
      <c r="E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FI217" s="63"/>
      <c r="FJ217" s="63"/>
      <c r="FK217" s="63"/>
      <c r="FL217" s="63"/>
      <c r="FM217" s="63"/>
      <c r="FN217" s="63"/>
      <c r="FO217" s="63"/>
      <c r="FP217" s="63"/>
      <c r="FQ217" s="63"/>
      <c r="FR217" s="63"/>
      <c r="FS217" s="63"/>
      <c r="FT217" s="63"/>
      <c r="FU217" s="63"/>
      <c r="FV217" s="63"/>
      <c r="FW217" s="63"/>
      <c r="FX217" s="63"/>
      <c r="FY217" s="63"/>
      <c r="FZ217" s="63"/>
      <c r="GA217" s="63"/>
      <c r="GB217" s="63"/>
      <c r="GC217" s="63"/>
      <c r="GD217" s="63"/>
      <c r="GE217" s="63"/>
      <c r="GF217" s="63"/>
      <c r="GG217" s="63"/>
      <c r="GH217" s="63"/>
      <c r="GI217" s="63"/>
      <c r="GJ217" s="63"/>
      <c r="GK217" s="63"/>
      <c r="GL217" s="63"/>
      <c r="GM217" s="63"/>
      <c r="GN217" s="63"/>
      <c r="GO217" s="63"/>
      <c r="GP217" s="63"/>
      <c r="GQ217" s="63"/>
      <c r="GR217" s="63"/>
      <c r="GS217" s="63"/>
      <c r="GT217" s="63"/>
      <c r="GU217" s="63"/>
      <c r="GV217" s="63"/>
      <c r="GW217" s="63"/>
      <c r="GX217" s="63"/>
      <c r="GY217" s="63"/>
      <c r="GZ217" s="63"/>
      <c r="HA217" s="63"/>
      <c r="HB217" s="63"/>
      <c r="HC217" s="63"/>
      <c r="HD217" s="63"/>
      <c r="HE217" s="63"/>
      <c r="HF217" s="63"/>
      <c r="HG217" s="63"/>
      <c r="HH217" s="63"/>
      <c r="HI217" s="63"/>
      <c r="HJ217" s="63"/>
      <c r="HK217" s="63"/>
      <c r="HL217" s="63"/>
      <c r="HM217" s="63"/>
      <c r="HN217" s="63"/>
      <c r="HO217" s="63"/>
      <c r="HP217" s="63"/>
      <c r="HQ217" s="63"/>
      <c r="HR217" s="63"/>
      <c r="HS217" s="63"/>
      <c r="HT217" s="63"/>
      <c r="HU217" s="63"/>
      <c r="HV217" s="63"/>
      <c r="HW217" s="63"/>
      <c r="HX217" s="63"/>
      <c r="HY217" s="63"/>
      <c r="HZ217" s="63"/>
      <c r="IA217" s="63"/>
      <c r="IB217" s="63"/>
      <c r="IC217" s="63"/>
      <c r="ID217" s="63"/>
      <c r="IE217" s="63"/>
      <c r="IF217" s="63"/>
      <c r="IG217" s="63"/>
      <c r="IH217" s="63"/>
      <c r="II217" s="63"/>
      <c r="IJ217" s="63"/>
      <c r="IK217" s="63"/>
      <c r="IL217" s="63"/>
      <c r="IM217" s="63"/>
      <c r="IN217" s="63"/>
      <c r="IO217" s="63"/>
      <c r="IP217" s="63"/>
      <c r="IQ217" s="63"/>
      <c r="IR217" s="63"/>
      <c r="IS217" s="63"/>
      <c r="IT217" s="63"/>
      <c r="IU217" s="63"/>
      <c r="IV217" s="63"/>
    </row>
    <row r="218" spans="1:256" s="65" customFormat="1" ht="13.5" customHeight="1" hidden="1" outlineLevel="1">
      <c r="A218" s="214" t="s">
        <v>328</v>
      </c>
      <c r="B218" s="214">
        <v>163642</v>
      </c>
      <c r="C218" s="62"/>
      <c r="D218" s="66"/>
      <c r="E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FI218" s="63"/>
      <c r="FJ218" s="63"/>
      <c r="FK218" s="63"/>
      <c r="FL218" s="63"/>
      <c r="FM218" s="63"/>
      <c r="FN218" s="63"/>
      <c r="FO218" s="63"/>
      <c r="FP218" s="63"/>
      <c r="FQ218" s="63"/>
      <c r="FR218" s="63"/>
      <c r="FS218" s="63"/>
      <c r="FT218" s="63"/>
      <c r="FU218" s="63"/>
      <c r="FV218" s="63"/>
      <c r="FW218" s="63"/>
      <c r="FX218" s="63"/>
      <c r="FY218" s="63"/>
      <c r="FZ218" s="63"/>
      <c r="GA218" s="63"/>
      <c r="GB218" s="63"/>
      <c r="GC218" s="63"/>
      <c r="GD218" s="63"/>
      <c r="GE218" s="63"/>
      <c r="GF218" s="63"/>
      <c r="GG218" s="63"/>
      <c r="GH218" s="63"/>
      <c r="GI218" s="63"/>
      <c r="GJ218" s="63"/>
      <c r="GK218" s="63"/>
      <c r="GL218" s="63"/>
      <c r="GM218" s="63"/>
      <c r="GN218" s="63"/>
      <c r="GO218" s="63"/>
      <c r="GP218" s="63"/>
      <c r="GQ218" s="63"/>
      <c r="GR218" s="63"/>
      <c r="GS218" s="63"/>
      <c r="GT218" s="63"/>
      <c r="GU218" s="63"/>
      <c r="GV218" s="63"/>
      <c r="GW218" s="63"/>
      <c r="GX218" s="63"/>
      <c r="GY218" s="63"/>
      <c r="GZ218" s="63"/>
      <c r="HA218" s="63"/>
      <c r="HB218" s="63"/>
      <c r="HC218" s="63"/>
      <c r="HD218" s="63"/>
      <c r="HE218" s="63"/>
      <c r="HF218" s="63"/>
      <c r="HG218" s="63"/>
      <c r="HH218" s="63"/>
      <c r="HI218" s="63"/>
      <c r="HJ218" s="63"/>
      <c r="HK218" s="63"/>
      <c r="HL218" s="63"/>
      <c r="HM218" s="63"/>
      <c r="HN218" s="63"/>
      <c r="HO218" s="63"/>
      <c r="HP218" s="63"/>
      <c r="HQ218" s="63"/>
      <c r="HR218" s="63"/>
      <c r="HS218" s="63"/>
      <c r="HT218" s="63"/>
      <c r="HU218" s="63"/>
      <c r="HV218" s="63"/>
      <c r="HW218" s="63"/>
      <c r="HX218" s="63"/>
      <c r="HY218" s="63"/>
      <c r="HZ218" s="63"/>
      <c r="IA218" s="63"/>
      <c r="IB218" s="63"/>
      <c r="IC218" s="63"/>
      <c r="ID218" s="63"/>
      <c r="IE218" s="63"/>
      <c r="IF218" s="63"/>
      <c r="IG218" s="63"/>
      <c r="IH218" s="63"/>
      <c r="II218" s="63"/>
      <c r="IJ218" s="63"/>
      <c r="IK218" s="63"/>
      <c r="IL218" s="63"/>
      <c r="IM218" s="63"/>
      <c r="IN218" s="63"/>
      <c r="IO218" s="63"/>
      <c r="IP218" s="63"/>
      <c r="IQ218" s="63"/>
      <c r="IR218" s="63"/>
      <c r="IS218" s="63"/>
      <c r="IT218" s="63"/>
      <c r="IU218" s="63"/>
      <c r="IV218" s="63"/>
    </row>
    <row r="219" spans="1:256" s="65" customFormat="1" ht="13.5" customHeight="1" hidden="1" outlineLevel="1">
      <c r="A219" s="214" t="s">
        <v>162</v>
      </c>
      <c r="B219" s="214">
        <v>58634</v>
      </c>
      <c r="C219" s="62"/>
      <c r="D219" s="66"/>
      <c r="E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FI219" s="63"/>
      <c r="FJ219" s="63"/>
      <c r="FK219" s="63"/>
      <c r="FL219" s="63"/>
      <c r="FM219" s="63"/>
      <c r="FN219" s="63"/>
      <c r="FO219" s="63"/>
      <c r="FP219" s="63"/>
      <c r="FQ219" s="63"/>
      <c r="FR219" s="63"/>
      <c r="FS219" s="63"/>
      <c r="FT219" s="63"/>
      <c r="FU219" s="63"/>
      <c r="FV219" s="63"/>
      <c r="FW219" s="63"/>
      <c r="FX219" s="63"/>
      <c r="FY219" s="63"/>
      <c r="FZ219" s="63"/>
      <c r="GA219" s="63"/>
      <c r="GB219" s="63"/>
      <c r="GC219" s="63"/>
      <c r="GD219" s="63"/>
      <c r="GE219" s="63"/>
      <c r="GF219" s="63"/>
      <c r="GG219" s="63"/>
      <c r="GH219" s="63"/>
      <c r="GI219" s="63"/>
      <c r="GJ219" s="63"/>
      <c r="GK219" s="63"/>
      <c r="GL219" s="63"/>
      <c r="GM219" s="63"/>
      <c r="GN219" s="63"/>
      <c r="GO219" s="63"/>
      <c r="GP219" s="63"/>
      <c r="GQ219" s="63"/>
      <c r="GR219" s="63"/>
      <c r="GS219" s="63"/>
      <c r="GT219" s="63"/>
      <c r="GU219" s="63"/>
      <c r="GV219" s="63"/>
      <c r="GW219" s="63"/>
      <c r="GX219" s="63"/>
      <c r="GY219" s="63"/>
      <c r="GZ219" s="63"/>
      <c r="HA219" s="63"/>
      <c r="HB219" s="63"/>
      <c r="HC219" s="63"/>
      <c r="HD219" s="63"/>
      <c r="HE219" s="63"/>
      <c r="HF219" s="63"/>
      <c r="HG219" s="63"/>
      <c r="HH219" s="63"/>
      <c r="HI219" s="63"/>
      <c r="HJ219" s="63"/>
      <c r="HK219" s="63"/>
      <c r="HL219" s="63"/>
      <c r="HM219" s="63"/>
      <c r="HN219" s="63"/>
      <c r="HO219" s="63"/>
      <c r="HP219" s="63"/>
      <c r="HQ219" s="63"/>
      <c r="HR219" s="63"/>
      <c r="HS219" s="63"/>
      <c r="HT219" s="63"/>
      <c r="HU219" s="63"/>
      <c r="HV219" s="63"/>
      <c r="HW219" s="63"/>
      <c r="HX219" s="63"/>
      <c r="HY219" s="63"/>
      <c r="HZ219" s="63"/>
      <c r="IA219" s="63"/>
      <c r="IB219" s="63"/>
      <c r="IC219" s="63"/>
      <c r="ID219" s="63"/>
      <c r="IE219" s="63"/>
      <c r="IF219" s="63"/>
      <c r="IG219" s="63"/>
      <c r="IH219" s="63"/>
      <c r="II219" s="63"/>
      <c r="IJ219" s="63"/>
      <c r="IK219" s="63"/>
      <c r="IL219" s="63"/>
      <c r="IM219" s="63"/>
      <c r="IN219" s="63"/>
      <c r="IO219" s="63"/>
      <c r="IP219" s="63"/>
      <c r="IQ219" s="63"/>
      <c r="IR219" s="63"/>
      <c r="IS219" s="63"/>
      <c r="IT219" s="63"/>
      <c r="IU219" s="63"/>
      <c r="IV219" s="63"/>
    </row>
    <row r="220" spans="1:256" s="65" customFormat="1" ht="13.5" customHeight="1" hidden="1" outlineLevel="1">
      <c r="A220" s="214" t="s">
        <v>163</v>
      </c>
      <c r="B220" s="214">
        <v>31134.78</v>
      </c>
      <c r="C220" s="62"/>
      <c r="D220" s="66"/>
      <c r="E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c r="FC220" s="63"/>
      <c r="FD220" s="63"/>
      <c r="FE220" s="63"/>
      <c r="FF220" s="63"/>
      <c r="FG220" s="63"/>
      <c r="FH220" s="63"/>
      <c r="FI220" s="63"/>
      <c r="FJ220" s="63"/>
      <c r="FK220" s="63"/>
      <c r="FL220" s="63"/>
      <c r="FM220" s="63"/>
      <c r="FN220" s="63"/>
      <c r="FO220" s="63"/>
      <c r="FP220" s="63"/>
      <c r="FQ220" s="63"/>
      <c r="FR220" s="63"/>
      <c r="FS220" s="63"/>
      <c r="FT220" s="63"/>
      <c r="FU220" s="63"/>
      <c r="FV220" s="63"/>
      <c r="FW220" s="63"/>
      <c r="FX220" s="63"/>
      <c r="FY220" s="63"/>
      <c r="FZ220" s="63"/>
      <c r="GA220" s="63"/>
      <c r="GB220" s="63"/>
      <c r="GC220" s="63"/>
      <c r="GD220" s="63"/>
      <c r="GE220" s="63"/>
      <c r="GF220" s="63"/>
      <c r="GG220" s="63"/>
      <c r="GH220" s="63"/>
      <c r="GI220" s="63"/>
      <c r="GJ220" s="63"/>
      <c r="GK220" s="63"/>
      <c r="GL220" s="63"/>
      <c r="GM220" s="63"/>
      <c r="GN220" s="63"/>
      <c r="GO220" s="63"/>
      <c r="GP220" s="63"/>
      <c r="GQ220" s="63"/>
      <c r="GR220" s="63"/>
      <c r="GS220" s="63"/>
      <c r="GT220" s="63"/>
      <c r="GU220" s="63"/>
      <c r="GV220" s="63"/>
      <c r="GW220" s="63"/>
      <c r="GX220" s="63"/>
      <c r="GY220" s="63"/>
      <c r="GZ220" s="63"/>
      <c r="HA220" s="63"/>
      <c r="HB220" s="63"/>
      <c r="HC220" s="63"/>
      <c r="HD220" s="63"/>
      <c r="HE220" s="63"/>
      <c r="HF220" s="63"/>
      <c r="HG220" s="63"/>
      <c r="HH220" s="63"/>
      <c r="HI220" s="63"/>
      <c r="HJ220" s="63"/>
      <c r="HK220" s="63"/>
      <c r="HL220" s="63"/>
      <c r="HM220" s="63"/>
      <c r="HN220" s="63"/>
      <c r="HO220" s="63"/>
      <c r="HP220" s="63"/>
      <c r="HQ220" s="63"/>
      <c r="HR220" s="63"/>
      <c r="HS220" s="63"/>
      <c r="HT220" s="63"/>
      <c r="HU220" s="63"/>
      <c r="HV220" s="63"/>
      <c r="HW220" s="63"/>
      <c r="HX220" s="63"/>
      <c r="HY220" s="63"/>
      <c r="HZ220" s="63"/>
      <c r="IA220" s="63"/>
      <c r="IB220" s="63"/>
      <c r="IC220" s="63"/>
      <c r="ID220" s="63"/>
      <c r="IE220" s="63"/>
      <c r="IF220" s="63"/>
      <c r="IG220" s="63"/>
      <c r="IH220" s="63"/>
      <c r="II220" s="63"/>
      <c r="IJ220" s="63"/>
      <c r="IK220" s="63"/>
      <c r="IL220" s="63"/>
      <c r="IM220" s="63"/>
      <c r="IN220" s="63"/>
      <c r="IO220" s="63"/>
      <c r="IP220" s="63"/>
      <c r="IQ220" s="63"/>
      <c r="IR220" s="63"/>
      <c r="IS220" s="63"/>
      <c r="IT220" s="63"/>
      <c r="IU220" s="63"/>
      <c r="IV220" s="63"/>
    </row>
    <row r="221" spans="1:256" s="65" customFormat="1" ht="13.5" customHeight="1" hidden="1" outlineLevel="1">
      <c r="A221" s="214" t="s">
        <v>327</v>
      </c>
      <c r="B221" s="214">
        <v>6200</v>
      </c>
      <c r="C221" s="62"/>
      <c r="D221" s="66"/>
      <c r="E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FI221" s="63"/>
      <c r="FJ221" s="63"/>
      <c r="FK221" s="63"/>
      <c r="FL221" s="63"/>
      <c r="FM221" s="63"/>
      <c r="FN221" s="63"/>
      <c r="FO221" s="63"/>
      <c r="FP221" s="63"/>
      <c r="FQ221" s="63"/>
      <c r="FR221" s="63"/>
      <c r="FS221" s="63"/>
      <c r="FT221" s="63"/>
      <c r="FU221" s="63"/>
      <c r="FV221" s="63"/>
      <c r="FW221" s="63"/>
      <c r="FX221" s="63"/>
      <c r="FY221" s="63"/>
      <c r="FZ221" s="63"/>
      <c r="GA221" s="63"/>
      <c r="GB221" s="63"/>
      <c r="GC221" s="63"/>
      <c r="GD221" s="63"/>
      <c r="GE221" s="63"/>
      <c r="GF221" s="63"/>
      <c r="GG221" s="63"/>
      <c r="GH221" s="63"/>
      <c r="GI221" s="63"/>
      <c r="GJ221" s="63"/>
      <c r="GK221" s="63"/>
      <c r="GL221" s="63"/>
      <c r="GM221" s="63"/>
      <c r="GN221" s="63"/>
      <c r="GO221" s="63"/>
      <c r="GP221" s="63"/>
      <c r="GQ221" s="63"/>
      <c r="GR221" s="63"/>
      <c r="GS221" s="63"/>
      <c r="GT221" s="63"/>
      <c r="GU221" s="63"/>
      <c r="GV221" s="63"/>
      <c r="GW221" s="63"/>
      <c r="GX221" s="63"/>
      <c r="GY221" s="63"/>
      <c r="GZ221" s="63"/>
      <c r="HA221" s="63"/>
      <c r="HB221" s="63"/>
      <c r="HC221" s="63"/>
      <c r="HD221" s="63"/>
      <c r="HE221" s="63"/>
      <c r="HF221" s="63"/>
      <c r="HG221" s="63"/>
      <c r="HH221" s="63"/>
      <c r="HI221" s="63"/>
      <c r="HJ221" s="63"/>
      <c r="HK221" s="63"/>
      <c r="HL221" s="63"/>
      <c r="HM221" s="63"/>
      <c r="HN221" s="63"/>
      <c r="HO221" s="63"/>
      <c r="HP221" s="63"/>
      <c r="HQ221" s="63"/>
      <c r="HR221" s="63"/>
      <c r="HS221" s="63"/>
      <c r="HT221" s="63"/>
      <c r="HU221" s="63"/>
      <c r="HV221" s="63"/>
      <c r="HW221" s="63"/>
      <c r="HX221" s="63"/>
      <c r="HY221" s="63"/>
      <c r="HZ221" s="63"/>
      <c r="IA221" s="63"/>
      <c r="IB221" s="63"/>
      <c r="IC221" s="63"/>
      <c r="ID221" s="63"/>
      <c r="IE221" s="63"/>
      <c r="IF221" s="63"/>
      <c r="IG221" s="63"/>
      <c r="IH221" s="63"/>
      <c r="II221" s="63"/>
      <c r="IJ221" s="63"/>
      <c r="IK221" s="63"/>
      <c r="IL221" s="63"/>
      <c r="IM221" s="63"/>
      <c r="IN221" s="63"/>
      <c r="IO221" s="63"/>
      <c r="IP221" s="63"/>
      <c r="IQ221" s="63"/>
      <c r="IR221" s="63"/>
      <c r="IS221" s="63"/>
      <c r="IT221" s="63"/>
      <c r="IU221" s="63"/>
      <c r="IV221" s="63"/>
    </row>
    <row r="222" spans="1:256" s="65" customFormat="1" ht="13.5" customHeight="1" hidden="1" outlineLevel="1">
      <c r="A222" s="214" t="s">
        <v>168</v>
      </c>
      <c r="B222" s="214">
        <v>44096.57</v>
      </c>
      <c r="C222" s="62"/>
      <c r="D222" s="66"/>
      <c r="E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FI222" s="63"/>
      <c r="FJ222" s="63"/>
      <c r="FK222" s="63"/>
      <c r="FL222" s="63"/>
      <c r="FM222" s="63"/>
      <c r="FN222" s="63"/>
      <c r="FO222" s="63"/>
      <c r="FP222" s="63"/>
      <c r="FQ222" s="63"/>
      <c r="FR222" s="63"/>
      <c r="FS222" s="63"/>
      <c r="FT222" s="63"/>
      <c r="FU222" s="63"/>
      <c r="FV222" s="63"/>
      <c r="FW222" s="63"/>
      <c r="FX222" s="63"/>
      <c r="FY222" s="63"/>
      <c r="FZ222" s="63"/>
      <c r="GA222" s="63"/>
      <c r="GB222" s="63"/>
      <c r="GC222" s="63"/>
      <c r="GD222" s="63"/>
      <c r="GE222" s="63"/>
      <c r="GF222" s="63"/>
      <c r="GG222" s="63"/>
      <c r="GH222" s="63"/>
      <c r="GI222" s="63"/>
      <c r="GJ222" s="63"/>
      <c r="GK222" s="63"/>
      <c r="GL222" s="63"/>
      <c r="GM222" s="63"/>
      <c r="GN222" s="63"/>
      <c r="GO222" s="63"/>
      <c r="GP222" s="63"/>
      <c r="GQ222" s="63"/>
      <c r="GR222" s="63"/>
      <c r="GS222" s="63"/>
      <c r="GT222" s="63"/>
      <c r="GU222" s="63"/>
      <c r="GV222" s="63"/>
      <c r="GW222" s="63"/>
      <c r="GX222" s="63"/>
      <c r="GY222" s="63"/>
      <c r="GZ222" s="63"/>
      <c r="HA222" s="63"/>
      <c r="HB222" s="63"/>
      <c r="HC222" s="63"/>
      <c r="HD222" s="63"/>
      <c r="HE222" s="63"/>
      <c r="HF222" s="63"/>
      <c r="HG222" s="63"/>
      <c r="HH222" s="63"/>
      <c r="HI222" s="63"/>
      <c r="HJ222" s="63"/>
      <c r="HK222" s="63"/>
      <c r="HL222" s="63"/>
      <c r="HM222" s="63"/>
      <c r="HN222" s="63"/>
      <c r="HO222" s="63"/>
      <c r="HP222" s="63"/>
      <c r="HQ222" s="63"/>
      <c r="HR222" s="63"/>
      <c r="HS222" s="63"/>
      <c r="HT222" s="63"/>
      <c r="HU222" s="63"/>
      <c r="HV222" s="63"/>
      <c r="HW222" s="63"/>
      <c r="HX222" s="63"/>
      <c r="HY222" s="63"/>
      <c r="HZ222" s="63"/>
      <c r="IA222" s="63"/>
      <c r="IB222" s="63"/>
      <c r="IC222" s="63"/>
      <c r="ID222" s="63"/>
      <c r="IE222" s="63"/>
      <c r="IF222" s="63"/>
      <c r="IG222" s="63"/>
      <c r="IH222" s="63"/>
      <c r="II222" s="63"/>
      <c r="IJ222" s="63"/>
      <c r="IK222" s="63"/>
      <c r="IL222" s="63"/>
      <c r="IM222" s="63"/>
      <c r="IN222" s="63"/>
      <c r="IO222" s="63"/>
      <c r="IP222" s="63"/>
      <c r="IQ222" s="63"/>
      <c r="IR222" s="63"/>
      <c r="IS222" s="63"/>
      <c r="IT222" s="63"/>
      <c r="IU222" s="63"/>
      <c r="IV222" s="63"/>
    </row>
    <row r="223" spans="1:256" s="65" customFormat="1" ht="13.5" customHeight="1" collapsed="1">
      <c r="A223" s="215" t="s">
        <v>175</v>
      </c>
      <c r="B223" s="61">
        <f>SUM(B218:B222)</f>
        <v>303707.35</v>
      </c>
      <c r="C223" s="62"/>
      <c r="D223" s="66"/>
      <c r="E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FI223" s="63"/>
      <c r="FJ223" s="63"/>
      <c r="FK223" s="63"/>
      <c r="FL223" s="63"/>
      <c r="FM223" s="63"/>
      <c r="FN223" s="63"/>
      <c r="FO223" s="63"/>
      <c r="FP223" s="63"/>
      <c r="FQ223" s="63"/>
      <c r="FR223" s="63"/>
      <c r="FS223" s="63"/>
      <c r="FT223" s="63"/>
      <c r="FU223" s="63"/>
      <c r="FV223" s="63"/>
      <c r="FW223" s="63"/>
      <c r="FX223" s="63"/>
      <c r="FY223" s="63"/>
      <c r="FZ223" s="63"/>
      <c r="GA223" s="63"/>
      <c r="GB223" s="63"/>
      <c r="GC223" s="63"/>
      <c r="GD223" s="63"/>
      <c r="GE223" s="63"/>
      <c r="GF223" s="63"/>
      <c r="GG223" s="63"/>
      <c r="GH223" s="63"/>
      <c r="GI223" s="63"/>
      <c r="GJ223" s="63"/>
      <c r="GK223" s="63"/>
      <c r="GL223" s="63"/>
      <c r="GM223" s="63"/>
      <c r="GN223" s="63"/>
      <c r="GO223" s="63"/>
      <c r="GP223" s="63"/>
      <c r="GQ223" s="63"/>
      <c r="GR223" s="63"/>
      <c r="GS223" s="63"/>
      <c r="GT223" s="63"/>
      <c r="GU223" s="63"/>
      <c r="GV223" s="63"/>
      <c r="GW223" s="63"/>
      <c r="GX223" s="63"/>
      <c r="GY223" s="63"/>
      <c r="GZ223" s="63"/>
      <c r="HA223" s="63"/>
      <c r="HB223" s="63"/>
      <c r="HC223" s="63"/>
      <c r="HD223" s="63"/>
      <c r="HE223" s="63"/>
      <c r="HF223" s="63"/>
      <c r="HG223" s="63"/>
      <c r="HH223" s="63"/>
      <c r="HI223" s="63"/>
      <c r="HJ223" s="63"/>
      <c r="HK223" s="63"/>
      <c r="HL223" s="63"/>
      <c r="HM223" s="63"/>
      <c r="HN223" s="63"/>
      <c r="HO223" s="63"/>
      <c r="HP223" s="63"/>
      <c r="HQ223" s="63"/>
      <c r="HR223" s="63"/>
      <c r="HS223" s="63"/>
      <c r="HT223" s="63"/>
      <c r="HU223" s="63"/>
      <c r="HV223" s="63"/>
      <c r="HW223" s="63"/>
      <c r="HX223" s="63"/>
      <c r="HY223" s="63"/>
      <c r="HZ223" s="63"/>
      <c r="IA223" s="63"/>
      <c r="IB223" s="63"/>
      <c r="IC223" s="63"/>
      <c r="ID223" s="63"/>
      <c r="IE223" s="63"/>
      <c r="IF223" s="63"/>
      <c r="IG223" s="63"/>
      <c r="IH223" s="63"/>
      <c r="II223" s="63"/>
      <c r="IJ223" s="63"/>
      <c r="IK223" s="63"/>
      <c r="IL223" s="63"/>
      <c r="IM223" s="63"/>
      <c r="IN223" s="63"/>
      <c r="IO223" s="63"/>
      <c r="IP223" s="63"/>
      <c r="IQ223" s="63"/>
      <c r="IR223" s="63"/>
      <c r="IS223" s="63"/>
      <c r="IT223" s="63"/>
      <c r="IU223" s="63"/>
      <c r="IV223" s="63"/>
    </row>
    <row r="224" spans="1:256" s="65" customFormat="1" ht="13.5" customHeight="1" hidden="1" outlineLevel="1">
      <c r="A224" s="214" t="s">
        <v>324</v>
      </c>
      <c r="B224" s="214">
        <v>8979</v>
      </c>
      <c r="C224" s="62"/>
      <c r="D224" s="66"/>
      <c r="E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FI224" s="63"/>
      <c r="FJ224" s="63"/>
      <c r="FK224" s="63"/>
      <c r="FL224" s="63"/>
      <c r="FM224" s="63"/>
      <c r="FN224" s="63"/>
      <c r="FO224" s="63"/>
      <c r="FP224" s="63"/>
      <c r="FQ224" s="63"/>
      <c r="FR224" s="63"/>
      <c r="FS224" s="63"/>
      <c r="FT224" s="63"/>
      <c r="FU224" s="63"/>
      <c r="FV224" s="63"/>
      <c r="FW224" s="63"/>
      <c r="FX224" s="63"/>
      <c r="FY224" s="63"/>
      <c r="FZ224" s="63"/>
      <c r="GA224" s="63"/>
      <c r="GB224" s="63"/>
      <c r="GC224" s="63"/>
      <c r="GD224" s="63"/>
      <c r="GE224" s="63"/>
      <c r="GF224" s="63"/>
      <c r="GG224" s="63"/>
      <c r="GH224" s="63"/>
      <c r="GI224" s="63"/>
      <c r="GJ224" s="63"/>
      <c r="GK224" s="63"/>
      <c r="GL224" s="63"/>
      <c r="GM224" s="63"/>
      <c r="GN224" s="63"/>
      <c r="GO224" s="63"/>
      <c r="GP224" s="63"/>
      <c r="GQ224" s="63"/>
      <c r="GR224" s="63"/>
      <c r="GS224" s="63"/>
      <c r="GT224" s="63"/>
      <c r="GU224" s="63"/>
      <c r="GV224" s="63"/>
      <c r="GW224" s="63"/>
      <c r="GX224" s="63"/>
      <c r="GY224" s="63"/>
      <c r="GZ224" s="63"/>
      <c r="HA224" s="63"/>
      <c r="HB224" s="63"/>
      <c r="HC224" s="63"/>
      <c r="HD224" s="63"/>
      <c r="HE224" s="63"/>
      <c r="HF224" s="63"/>
      <c r="HG224" s="63"/>
      <c r="HH224" s="63"/>
      <c r="HI224" s="63"/>
      <c r="HJ224" s="63"/>
      <c r="HK224" s="63"/>
      <c r="HL224" s="63"/>
      <c r="HM224" s="63"/>
      <c r="HN224" s="63"/>
      <c r="HO224" s="63"/>
      <c r="HP224" s="63"/>
      <c r="HQ224" s="63"/>
      <c r="HR224" s="63"/>
      <c r="HS224" s="63"/>
      <c r="HT224" s="63"/>
      <c r="HU224" s="63"/>
      <c r="HV224" s="63"/>
      <c r="HW224" s="63"/>
      <c r="HX224" s="63"/>
      <c r="HY224" s="63"/>
      <c r="HZ224" s="63"/>
      <c r="IA224" s="63"/>
      <c r="IB224" s="63"/>
      <c r="IC224" s="63"/>
      <c r="ID224" s="63"/>
      <c r="IE224" s="63"/>
      <c r="IF224" s="63"/>
      <c r="IG224" s="63"/>
      <c r="IH224" s="63"/>
      <c r="II224" s="63"/>
      <c r="IJ224" s="63"/>
      <c r="IK224" s="63"/>
      <c r="IL224" s="63"/>
      <c r="IM224" s="63"/>
      <c r="IN224" s="63"/>
      <c r="IO224" s="63"/>
      <c r="IP224" s="63"/>
      <c r="IQ224" s="63"/>
      <c r="IR224" s="63"/>
      <c r="IS224" s="63"/>
      <c r="IT224" s="63"/>
      <c r="IU224" s="63"/>
      <c r="IV224" s="63"/>
    </row>
    <row r="225" spans="1:256" s="65" customFormat="1" ht="13.5" customHeight="1" hidden="1" outlineLevel="1">
      <c r="A225" s="214" t="s">
        <v>160</v>
      </c>
      <c r="B225" s="214">
        <v>849.48</v>
      </c>
      <c r="C225" s="62"/>
      <c r="D225" s="66"/>
      <c r="E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c r="FC225" s="63"/>
      <c r="FD225" s="63"/>
      <c r="FE225" s="63"/>
      <c r="FF225" s="63"/>
      <c r="FG225" s="63"/>
      <c r="FH225" s="63"/>
      <c r="FI225" s="63"/>
      <c r="FJ225" s="63"/>
      <c r="FK225" s="63"/>
      <c r="FL225" s="63"/>
      <c r="FM225" s="63"/>
      <c r="FN225" s="63"/>
      <c r="FO225" s="63"/>
      <c r="FP225" s="63"/>
      <c r="FQ225" s="63"/>
      <c r="FR225" s="63"/>
      <c r="FS225" s="63"/>
      <c r="FT225" s="63"/>
      <c r="FU225" s="63"/>
      <c r="FV225" s="63"/>
      <c r="FW225" s="63"/>
      <c r="FX225" s="63"/>
      <c r="FY225" s="63"/>
      <c r="FZ225" s="63"/>
      <c r="GA225" s="63"/>
      <c r="GB225" s="63"/>
      <c r="GC225" s="63"/>
      <c r="GD225" s="63"/>
      <c r="GE225" s="63"/>
      <c r="GF225" s="63"/>
      <c r="GG225" s="63"/>
      <c r="GH225" s="63"/>
      <c r="GI225" s="63"/>
      <c r="GJ225" s="63"/>
      <c r="GK225" s="63"/>
      <c r="GL225" s="63"/>
      <c r="GM225" s="63"/>
      <c r="GN225" s="63"/>
      <c r="GO225" s="63"/>
      <c r="GP225" s="63"/>
      <c r="GQ225" s="63"/>
      <c r="GR225" s="63"/>
      <c r="GS225" s="63"/>
      <c r="GT225" s="63"/>
      <c r="GU225" s="63"/>
      <c r="GV225" s="63"/>
      <c r="GW225" s="63"/>
      <c r="GX225" s="63"/>
      <c r="GY225" s="63"/>
      <c r="GZ225" s="63"/>
      <c r="HA225" s="63"/>
      <c r="HB225" s="63"/>
      <c r="HC225" s="63"/>
      <c r="HD225" s="63"/>
      <c r="HE225" s="63"/>
      <c r="HF225" s="63"/>
      <c r="HG225" s="63"/>
      <c r="HH225" s="63"/>
      <c r="HI225" s="63"/>
      <c r="HJ225" s="63"/>
      <c r="HK225" s="63"/>
      <c r="HL225" s="63"/>
      <c r="HM225" s="63"/>
      <c r="HN225" s="63"/>
      <c r="HO225" s="63"/>
      <c r="HP225" s="63"/>
      <c r="HQ225" s="63"/>
      <c r="HR225" s="63"/>
      <c r="HS225" s="63"/>
      <c r="HT225" s="63"/>
      <c r="HU225" s="63"/>
      <c r="HV225" s="63"/>
      <c r="HW225" s="63"/>
      <c r="HX225" s="63"/>
      <c r="HY225" s="63"/>
      <c r="HZ225" s="63"/>
      <c r="IA225" s="63"/>
      <c r="IB225" s="63"/>
      <c r="IC225" s="63"/>
      <c r="ID225" s="63"/>
      <c r="IE225" s="63"/>
      <c r="IF225" s="63"/>
      <c r="IG225" s="63"/>
      <c r="IH225" s="63"/>
      <c r="II225" s="63"/>
      <c r="IJ225" s="63"/>
      <c r="IK225" s="63"/>
      <c r="IL225" s="63"/>
      <c r="IM225" s="63"/>
      <c r="IN225" s="63"/>
      <c r="IO225" s="63"/>
      <c r="IP225" s="63"/>
      <c r="IQ225" s="63"/>
      <c r="IR225" s="63"/>
      <c r="IS225" s="63"/>
      <c r="IT225" s="63"/>
      <c r="IU225" s="63"/>
      <c r="IV225" s="63"/>
    </row>
    <row r="226" spans="1:256" s="65" customFormat="1" ht="13.5" customHeight="1" hidden="1" outlineLevel="1">
      <c r="A226" s="214" t="s">
        <v>325</v>
      </c>
      <c r="B226" s="214">
        <v>9727</v>
      </c>
      <c r="C226" s="62"/>
      <c r="D226" s="66"/>
      <c r="E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63"/>
      <c r="GO226" s="63"/>
      <c r="GP226" s="63"/>
      <c r="GQ226" s="63"/>
      <c r="GR226" s="63"/>
      <c r="GS226" s="63"/>
      <c r="GT226" s="63"/>
      <c r="GU226" s="63"/>
      <c r="GV226" s="63"/>
      <c r="GW226" s="63"/>
      <c r="GX226" s="63"/>
      <c r="GY226" s="63"/>
      <c r="GZ226" s="63"/>
      <c r="HA226" s="63"/>
      <c r="HB226" s="63"/>
      <c r="HC226" s="63"/>
      <c r="HD226" s="63"/>
      <c r="HE226" s="63"/>
      <c r="HF226" s="63"/>
      <c r="HG226" s="63"/>
      <c r="HH226" s="63"/>
      <c r="HI226" s="63"/>
      <c r="HJ226" s="63"/>
      <c r="HK226" s="63"/>
      <c r="HL226" s="63"/>
      <c r="HM226" s="63"/>
      <c r="HN226" s="63"/>
      <c r="HO226" s="63"/>
      <c r="HP226" s="63"/>
      <c r="HQ226" s="63"/>
      <c r="HR226" s="63"/>
      <c r="HS226" s="63"/>
      <c r="HT226" s="63"/>
      <c r="HU226" s="63"/>
      <c r="HV226" s="63"/>
      <c r="HW226" s="63"/>
      <c r="HX226" s="63"/>
      <c r="HY226" s="63"/>
      <c r="HZ226" s="63"/>
      <c r="IA226" s="63"/>
      <c r="IB226" s="63"/>
      <c r="IC226" s="63"/>
      <c r="ID226" s="63"/>
      <c r="IE226" s="63"/>
      <c r="IF226" s="63"/>
      <c r="IG226" s="63"/>
      <c r="IH226" s="63"/>
      <c r="II226" s="63"/>
      <c r="IJ226" s="63"/>
      <c r="IK226" s="63"/>
      <c r="IL226" s="63"/>
      <c r="IM226" s="63"/>
      <c r="IN226" s="63"/>
      <c r="IO226" s="63"/>
      <c r="IP226" s="63"/>
      <c r="IQ226" s="63"/>
      <c r="IR226" s="63"/>
      <c r="IS226" s="63"/>
      <c r="IT226" s="63"/>
      <c r="IU226" s="63"/>
      <c r="IV226" s="63"/>
    </row>
    <row r="227" spans="1:256" s="65" customFormat="1" ht="13.5" customHeight="1" hidden="1" outlineLevel="1">
      <c r="A227" s="214" t="s">
        <v>326</v>
      </c>
      <c r="B227" s="214">
        <v>196</v>
      </c>
      <c r="C227" s="62"/>
      <c r="D227" s="66"/>
      <c r="E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63"/>
      <c r="GO227" s="63"/>
      <c r="GP227" s="63"/>
      <c r="GQ227" s="63"/>
      <c r="GR227" s="63"/>
      <c r="GS227" s="63"/>
      <c r="GT227" s="63"/>
      <c r="GU227" s="63"/>
      <c r="GV227" s="63"/>
      <c r="GW227" s="63"/>
      <c r="GX227" s="63"/>
      <c r="GY227" s="63"/>
      <c r="GZ227" s="63"/>
      <c r="HA227" s="63"/>
      <c r="HB227" s="63"/>
      <c r="HC227" s="63"/>
      <c r="HD227" s="63"/>
      <c r="HE227" s="63"/>
      <c r="HF227" s="63"/>
      <c r="HG227" s="63"/>
      <c r="HH227" s="63"/>
      <c r="HI227" s="63"/>
      <c r="HJ227" s="63"/>
      <c r="HK227" s="63"/>
      <c r="HL227" s="63"/>
      <c r="HM227" s="63"/>
      <c r="HN227" s="63"/>
      <c r="HO227" s="63"/>
      <c r="HP227" s="63"/>
      <c r="HQ227" s="63"/>
      <c r="HR227" s="63"/>
      <c r="HS227" s="63"/>
      <c r="HT227" s="63"/>
      <c r="HU227" s="63"/>
      <c r="HV227" s="63"/>
      <c r="HW227" s="63"/>
      <c r="HX227" s="63"/>
      <c r="HY227" s="63"/>
      <c r="HZ227" s="63"/>
      <c r="IA227" s="63"/>
      <c r="IB227" s="63"/>
      <c r="IC227" s="63"/>
      <c r="ID227" s="63"/>
      <c r="IE227" s="63"/>
      <c r="IF227" s="63"/>
      <c r="IG227" s="63"/>
      <c r="IH227" s="63"/>
      <c r="II227" s="63"/>
      <c r="IJ227" s="63"/>
      <c r="IK227" s="63"/>
      <c r="IL227" s="63"/>
      <c r="IM227" s="63"/>
      <c r="IN227" s="63"/>
      <c r="IO227" s="63"/>
      <c r="IP227" s="63"/>
      <c r="IQ227" s="63"/>
      <c r="IR227" s="63"/>
      <c r="IS227" s="63"/>
      <c r="IT227" s="63"/>
      <c r="IU227" s="63"/>
      <c r="IV227" s="63"/>
    </row>
    <row r="228" spans="1:256" s="65" customFormat="1" ht="13.5" customHeight="1" hidden="1" outlineLevel="1">
      <c r="A228" s="214" t="s">
        <v>161</v>
      </c>
      <c r="B228" s="214">
        <v>1274</v>
      </c>
      <c r="C228" s="62"/>
      <c r="D228" s="66"/>
      <c r="E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FI228" s="63"/>
      <c r="FJ228" s="63"/>
      <c r="FK228" s="63"/>
      <c r="FL228" s="63"/>
      <c r="FM228" s="63"/>
      <c r="FN228" s="63"/>
      <c r="FO228" s="63"/>
      <c r="FP228" s="63"/>
      <c r="FQ228" s="63"/>
      <c r="FR228" s="63"/>
      <c r="FS228" s="63"/>
      <c r="FT228" s="63"/>
      <c r="FU228" s="63"/>
      <c r="FV228" s="63"/>
      <c r="FW228" s="63"/>
      <c r="FX228" s="63"/>
      <c r="FY228" s="63"/>
      <c r="FZ228" s="63"/>
      <c r="GA228" s="63"/>
      <c r="GB228" s="63"/>
      <c r="GC228" s="63"/>
      <c r="GD228" s="63"/>
      <c r="GE228" s="63"/>
      <c r="GF228" s="63"/>
      <c r="GG228" s="63"/>
      <c r="GH228" s="63"/>
      <c r="GI228" s="63"/>
      <c r="GJ228" s="63"/>
      <c r="GK228" s="63"/>
      <c r="GL228" s="63"/>
      <c r="GM228" s="63"/>
      <c r="GN228" s="63"/>
      <c r="GO228" s="63"/>
      <c r="GP228" s="63"/>
      <c r="GQ228" s="63"/>
      <c r="GR228" s="63"/>
      <c r="GS228" s="63"/>
      <c r="GT228" s="63"/>
      <c r="GU228" s="63"/>
      <c r="GV228" s="63"/>
      <c r="GW228" s="63"/>
      <c r="GX228" s="63"/>
      <c r="GY228" s="63"/>
      <c r="GZ228" s="63"/>
      <c r="HA228" s="63"/>
      <c r="HB228" s="63"/>
      <c r="HC228" s="63"/>
      <c r="HD228" s="63"/>
      <c r="HE228" s="63"/>
      <c r="HF228" s="63"/>
      <c r="HG228" s="63"/>
      <c r="HH228" s="63"/>
      <c r="HI228" s="63"/>
      <c r="HJ228" s="63"/>
      <c r="HK228" s="63"/>
      <c r="HL228" s="63"/>
      <c r="HM228" s="63"/>
      <c r="HN228" s="63"/>
      <c r="HO228" s="63"/>
      <c r="HP228" s="63"/>
      <c r="HQ228" s="63"/>
      <c r="HR228" s="63"/>
      <c r="HS228" s="63"/>
      <c r="HT228" s="63"/>
      <c r="HU228" s="63"/>
      <c r="HV228" s="63"/>
      <c r="HW228" s="63"/>
      <c r="HX228" s="63"/>
      <c r="HY228" s="63"/>
      <c r="HZ228" s="63"/>
      <c r="IA228" s="63"/>
      <c r="IB228" s="63"/>
      <c r="IC228" s="63"/>
      <c r="ID228" s="63"/>
      <c r="IE228" s="63"/>
      <c r="IF228" s="63"/>
      <c r="IG228" s="63"/>
      <c r="IH228" s="63"/>
      <c r="II228" s="63"/>
      <c r="IJ228" s="63"/>
      <c r="IK228" s="63"/>
      <c r="IL228" s="63"/>
      <c r="IM228" s="63"/>
      <c r="IN228" s="63"/>
      <c r="IO228" s="63"/>
      <c r="IP228" s="63"/>
      <c r="IQ228" s="63"/>
      <c r="IR228" s="63"/>
      <c r="IS228" s="63"/>
      <c r="IT228" s="63"/>
      <c r="IU228" s="63"/>
      <c r="IV228" s="63"/>
    </row>
    <row r="229" spans="1:256" s="65" customFormat="1" ht="13.5" customHeight="1" hidden="1" outlineLevel="1">
      <c r="A229" s="214" t="s">
        <v>329</v>
      </c>
      <c r="B229" s="214">
        <v>0</v>
      </c>
      <c r="C229" s="62"/>
      <c r="D229" s="66"/>
      <c r="E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FI229" s="63"/>
      <c r="FJ229" s="63"/>
      <c r="FK229" s="63"/>
      <c r="FL229" s="63"/>
      <c r="FM229" s="63"/>
      <c r="FN229" s="63"/>
      <c r="FO229" s="63"/>
      <c r="FP229" s="63"/>
      <c r="FQ229" s="63"/>
      <c r="FR229" s="63"/>
      <c r="FS229" s="63"/>
      <c r="FT229" s="63"/>
      <c r="FU229" s="63"/>
      <c r="FV229" s="63"/>
      <c r="FW229" s="63"/>
      <c r="FX229" s="63"/>
      <c r="FY229" s="63"/>
      <c r="FZ229" s="63"/>
      <c r="GA229" s="63"/>
      <c r="GB229" s="63"/>
      <c r="GC229" s="63"/>
      <c r="GD229" s="63"/>
      <c r="GE229" s="63"/>
      <c r="GF229" s="63"/>
      <c r="GG229" s="63"/>
      <c r="GH229" s="63"/>
      <c r="GI229" s="63"/>
      <c r="GJ229" s="63"/>
      <c r="GK229" s="63"/>
      <c r="GL229" s="63"/>
      <c r="GM229" s="63"/>
      <c r="GN229" s="63"/>
      <c r="GO229" s="63"/>
      <c r="GP229" s="63"/>
      <c r="GQ229" s="63"/>
      <c r="GR229" s="63"/>
      <c r="GS229" s="63"/>
      <c r="GT229" s="63"/>
      <c r="GU229" s="63"/>
      <c r="GV229" s="63"/>
      <c r="GW229" s="63"/>
      <c r="GX229" s="63"/>
      <c r="GY229" s="63"/>
      <c r="GZ229" s="63"/>
      <c r="HA229" s="63"/>
      <c r="HB229" s="63"/>
      <c r="HC229" s="63"/>
      <c r="HD229" s="63"/>
      <c r="HE229" s="63"/>
      <c r="HF229" s="63"/>
      <c r="HG229" s="63"/>
      <c r="HH229" s="63"/>
      <c r="HI229" s="63"/>
      <c r="HJ229" s="63"/>
      <c r="HK229" s="63"/>
      <c r="HL229" s="63"/>
      <c r="HM229" s="63"/>
      <c r="HN229" s="63"/>
      <c r="HO229" s="63"/>
      <c r="HP229" s="63"/>
      <c r="HQ229" s="63"/>
      <c r="HR229" s="63"/>
      <c r="HS229" s="63"/>
      <c r="HT229" s="63"/>
      <c r="HU229" s="63"/>
      <c r="HV229" s="63"/>
      <c r="HW229" s="63"/>
      <c r="HX229" s="63"/>
      <c r="HY229" s="63"/>
      <c r="HZ229" s="63"/>
      <c r="IA229" s="63"/>
      <c r="IB229" s="63"/>
      <c r="IC229" s="63"/>
      <c r="ID229" s="63"/>
      <c r="IE229" s="63"/>
      <c r="IF229" s="63"/>
      <c r="IG229" s="63"/>
      <c r="IH229" s="63"/>
      <c r="II229" s="63"/>
      <c r="IJ229" s="63"/>
      <c r="IK229" s="63"/>
      <c r="IL229" s="63"/>
      <c r="IM229" s="63"/>
      <c r="IN229" s="63"/>
      <c r="IO229" s="63"/>
      <c r="IP229" s="63"/>
      <c r="IQ229" s="63"/>
      <c r="IR229" s="63"/>
      <c r="IS229" s="63"/>
      <c r="IT229" s="63"/>
      <c r="IU229" s="63"/>
      <c r="IV229" s="63"/>
    </row>
    <row r="230" spans="1:256" s="65" customFormat="1" ht="13.5" customHeight="1" hidden="1" outlineLevel="1">
      <c r="A230" s="214" t="s">
        <v>163</v>
      </c>
      <c r="B230" s="214">
        <v>0</v>
      </c>
      <c r="C230" s="62"/>
      <c r="D230" s="66"/>
      <c r="E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c r="FC230" s="63"/>
      <c r="FD230" s="63"/>
      <c r="FE230" s="63"/>
      <c r="FF230" s="63"/>
      <c r="FG230" s="63"/>
      <c r="FH230" s="63"/>
      <c r="FI230" s="63"/>
      <c r="FJ230" s="63"/>
      <c r="FK230" s="63"/>
      <c r="FL230" s="63"/>
      <c r="FM230" s="63"/>
      <c r="FN230" s="63"/>
      <c r="FO230" s="63"/>
      <c r="FP230" s="63"/>
      <c r="FQ230" s="63"/>
      <c r="FR230" s="63"/>
      <c r="FS230" s="63"/>
      <c r="FT230" s="63"/>
      <c r="FU230" s="63"/>
      <c r="FV230" s="63"/>
      <c r="FW230" s="63"/>
      <c r="FX230" s="63"/>
      <c r="FY230" s="63"/>
      <c r="FZ230" s="63"/>
      <c r="GA230" s="63"/>
      <c r="GB230" s="63"/>
      <c r="GC230" s="63"/>
      <c r="GD230" s="63"/>
      <c r="GE230" s="63"/>
      <c r="GF230" s="63"/>
      <c r="GG230" s="63"/>
      <c r="GH230" s="63"/>
      <c r="GI230" s="63"/>
      <c r="GJ230" s="63"/>
      <c r="GK230" s="63"/>
      <c r="GL230" s="63"/>
      <c r="GM230" s="63"/>
      <c r="GN230" s="63"/>
      <c r="GO230" s="63"/>
      <c r="GP230" s="63"/>
      <c r="GQ230" s="63"/>
      <c r="GR230" s="63"/>
      <c r="GS230" s="63"/>
      <c r="GT230" s="63"/>
      <c r="GU230" s="63"/>
      <c r="GV230" s="63"/>
      <c r="GW230" s="63"/>
      <c r="GX230" s="63"/>
      <c r="GY230" s="63"/>
      <c r="GZ230" s="63"/>
      <c r="HA230" s="63"/>
      <c r="HB230" s="63"/>
      <c r="HC230" s="63"/>
      <c r="HD230" s="63"/>
      <c r="HE230" s="63"/>
      <c r="HF230" s="63"/>
      <c r="HG230" s="63"/>
      <c r="HH230" s="63"/>
      <c r="HI230" s="63"/>
      <c r="HJ230" s="63"/>
      <c r="HK230" s="63"/>
      <c r="HL230" s="63"/>
      <c r="HM230" s="63"/>
      <c r="HN230" s="63"/>
      <c r="HO230" s="63"/>
      <c r="HP230" s="63"/>
      <c r="HQ230" s="63"/>
      <c r="HR230" s="63"/>
      <c r="HS230" s="63"/>
      <c r="HT230" s="63"/>
      <c r="HU230" s="63"/>
      <c r="HV230" s="63"/>
      <c r="HW230" s="63"/>
      <c r="HX230" s="63"/>
      <c r="HY230" s="63"/>
      <c r="HZ230" s="63"/>
      <c r="IA230" s="63"/>
      <c r="IB230" s="63"/>
      <c r="IC230" s="63"/>
      <c r="ID230" s="63"/>
      <c r="IE230" s="63"/>
      <c r="IF230" s="63"/>
      <c r="IG230" s="63"/>
      <c r="IH230" s="63"/>
      <c r="II230" s="63"/>
      <c r="IJ230" s="63"/>
      <c r="IK230" s="63"/>
      <c r="IL230" s="63"/>
      <c r="IM230" s="63"/>
      <c r="IN230" s="63"/>
      <c r="IO230" s="63"/>
      <c r="IP230" s="63"/>
      <c r="IQ230" s="63"/>
      <c r="IR230" s="63"/>
      <c r="IS230" s="63"/>
      <c r="IT230" s="63"/>
      <c r="IU230" s="63"/>
      <c r="IV230" s="63"/>
    </row>
    <row r="231" spans="1:256" s="65" customFormat="1" ht="13.5" customHeight="1" hidden="1" outlineLevel="1">
      <c r="A231" s="214" t="s">
        <v>164</v>
      </c>
      <c r="B231" s="214">
        <v>0</v>
      </c>
      <c r="C231" s="62"/>
      <c r="D231" s="66"/>
      <c r="E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FI231" s="63"/>
      <c r="FJ231" s="63"/>
      <c r="FK231" s="63"/>
      <c r="FL231" s="63"/>
      <c r="FM231" s="63"/>
      <c r="FN231" s="63"/>
      <c r="FO231" s="63"/>
      <c r="FP231" s="63"/>
      <c r="FQ231" s="63"/>
      <c r="FR231" s="63"/>
      <c r="FS231" s="63"/>
      <c r="FT231" s="63"/>
      <c r="FU231" s="63"/>
      <c r="FV231" s="63"/>
      <c r="FW231" s="63"/>
      <c r="FX231" s="63"/>
      <c r="FY231" s="63"/>
      <c r="FZ231" s="63"/>
      <c r="GA231" s="63"/>
      <c r="GB231" s="63"/>
      <c r="GC231" s="63"/>
      <c r="GD231" s="63"/>
      <c r="GE231" s="63"/>
      <c r="GF231" s="63"/>
      <c r="GG231" s="63"/>
      <c r="GH231" s="63"/>
      <c r="GI231" s="63"/>
      <c r="GJ231" s="63"/>
      <c r="GK231" s="63"/>
      <c r="GL231" s="63"/>
      <c r="GM231" s="63"/>
      <c r="GN231" s="63"/>
      <c r="GO231" s="63"/>
      <c r="GP231" s="63"/>
      <c r="GQ231" s="63"/>
      <c r="GR231" s="63"/>
      <c r="GS231" s="63"/>
      <c r="GT231" s="63"/>
      <c r="GU231" s="63"/>
      <c r="GV231" s="63"/>
      <c r="GW231" s="63"/>
      <c r="GX231" s="63"/>
      <c r="GY231" s="63"/>
      <c r="GZ231" s="63"/>
      <c r="HA231" s="63"/>
      <c r="HB231" s="63"/>
      <c r="HC231" s="63"/>
      <c r="HD231" s="63"/>
      <c r="HE231" s="63"/>
      <c r="HF231" s="63"/>
      <c r="HG231" s="63"/>
      <c r="HH231" s="63"/>
      <c r="HI231" s="63"/>
      <c r="HJ231" s="63"/>
      <c r="HK231" s="63"/>
      <c r="HL231" s="63"/>
      <c r="HM231" s="63"/>
      <c r="HN231" s="63"/>
      <c r="HO231" s="63"/>
      <c r="HP231" s="63"/>
      <c r="HQ231" s="63"/>
      <c r="HR231" s="63"/>
      <c r="HS231" s="63"/>
      <c r="HT231" s="63"/>
      <c r="HU231" s="63"/>
      <c r="HV231" s="63"/>
      <c r="HW231" s="63"/>
      <c r="HX231" s="63"/>
      <c r="HY231" s="63"/>
      <c r="HZ231" s="63"/>
      <c r="IA231" s="63"/>
      <c r="IB231" s="63"/>
      <c r="IC231" s="63"/>
      <c r="ID231" s="63"/>
      <c r="IE231" s="63"/>
      <c r="IF231" s="63"/>
      <c r="IG231" s="63"/>
      <c r="IH231" s="63"/>
      <c r="II231" s="63"/>
      <c r="IJ231" s="63"/>
      <c r="IK231" s="63"/>
      <c r="IL231" s="63"/>
      <c r="IM231" s="63"/>
      <c r="IN231" s="63"/>
      <c r="IO231" s="63"/>
      <c r="IP231" s="63"/>
      <c r="IQ231" s="63"/>
      <c r="IR231" s="63"/>
      <c r="IS231" s="63"/>
      <c r="IT231" s="63"/>
      <c r="IU231" s="63"/>
      <c r="IV231" s="63"/>
    </row>
    <row r="232" spans="1:256" s="65" customFormat="1" ht="13.5" customHeight="1" hidden="1" outlineLevel="1">
      <c r="A232" s="214" t="s">
        <v>327</v>
      </c>
      <c r="B232" s="214">
        <v>282.95</v>
      </c>
      <c r="C232" s="62"/>
      <c r="D232" s="66"/>
      <c r="E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FI232" s="63"/>
      <c r="FJ232" s="63"/>
      <c r="FK232" s="63"/>
      <c r="FL232" s="63"/>
      <c r="FM232" s="63"/>
      <c r="FN232" s="63"/>
      <c r="FO232" s="63"/>
      <c r="FP232" s="63"/>
      <c r="FQ232" s="63"/>
      <c r="FR232" s="63"/>
      <c r="FS232" s="63"/>
      <c r="FT232" s="63"/>
      <c r="FU232" s="63"/>
      <c r="FV232" s="63"/>
      <c r="FW232" s="63"/>
      <c r="FX232" s="63"/>
      <c r="FY232" s="63"/>
      <c r="FZ232" s="63"/>
      <c r="GA232" s="63"/>
      <c r="GB232" s="63"/>
      <c r="GC232" s="63"/>
      <c r="GD232" s="63"/>
      <c r="GE232" s="63"/>
      <c r="GF232" s="63"/>
      <c r="GG232" s="63"/>
      <c r="GH232" s="63"/>
      <c r="GI232" s="63"/>
      <c r="GJ232" s="63"/>
      <c r="GK232" s="63"/>
      <c r="GL232" s="63"/>
      <c r="GM232" s="63"/>
      <c r="GN232" s="63"/>
      <c r="GO232" s="63"/>
      <c r="GP232" s="63"/>
      <c r="GQ232" s="63"/>
      <c r="GR232" s="63"/>
      <c r="GS232" s="63"/>
      <c r="GT232" s="63"/>
      <c r="GU232" s="63"/>
      <c r="GV232" s="63"/>
      <c r="GW232" s="63"/>
      <c r="GX232" s="63"/>
      <c r="GY232" s="63"/>
      <c r="GZ232" s="63"/>
      <c r="HA232" s="63"/>
      <c r="HB232" s="63"/>
      <c r="HC232" s="63"/>
      <c r="HD232" s="63"/>
      <c r="HE232" s="63"/>
      <c r="HF232" s="63"/>
      <c r="HG232" s="63"/>
      <c r="HH232" s="63"/>
      <c r="HI232" s="63"/>
      <c r="HJ232" s="63"/>
      <c r="HK232" s="63"/>
      <c r="HL232" s="63"/>
      <c r="HM232" s="63"/>
      <c r="HN232" s="63"/>
      <c r="HO232" s="63"/>
      <c r="HP232" s="63"/>
      <c r="HQ232" s="63"/>
      <c r="HR232" s="63"/>
      <c r="HS232" s="63"/>
      <c r="HT232" s="63"/>
      <c r="HU232" s="63"/>
      <c r="HV232" s="63"/>
      <c r="HW232" s="63"/>
      <c r="HX232" s="63"/>
      <c r="HY232" s="63"/>
      <c r="HZ232" s="63"/>
      <c r="IA232" s="63"/>
      <c r="IB232" s="63"/>
      <c r="IC232" s="63"/>
      <c r="ID232" s="63"/>
      <c r="IE232" s="63"/>
      <c r="IF232" s="63"/>
      <c r="IG232" s="63"/>
      <c r="IH232" s="63"/>
      <c r="II232" s="63"/>
      <c r="IJ232" s="63"/>
      <c r="IK232" s="63"/>
      <c r="IL232" s="63"/>
      <c r="IM232" s="63"/>
      <c r="IN232" s="63"/>
      <c r="IO232" s="63"/>
      <c r="IP232" s="63"/>
      <c r="IQ232" s="63"/>
      <c r="IR232" s="63"/>
      <c r="IS232" s="63"/>
      <c r="IT232" s="63"/>
      <c r="IU232" s="63"/>
      <c r="IV232" s="63"/>
    </row>
    <row r="233" spans="1:256" s="65" customFormat="1" ht="13.5" customHeight="1" hidden="1" outlineLevel="1">
      <c r="A233" s="214" t="s">
        <v>165</v>
      </c>
      <c r="B233" s="214">
        <v>2896</v>
      </c>
      <c r="C233" s="62"/>
      <c r="D233" s="66"/>
      <c r="E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FI233" s="63"/>
      <c r="FJ233" s="63"/>
      <c r="FK233" s="63"/>
      <c r="FL233" s="63"/>
      <c r="FM233" s="63"/>
      <c r="FN233" s="63"/>
      <c r="FO233" s="63"/>
      <c r="FP233" s="63"/>
      <c r="FQ233" s="63"/>
      <c r="FR233" s="63"/>
      <c r="FS233" s="63"/>
      <c r="FT233" s="63"/>
      <c r="FU233" s="63"/>
      <c r="FV233" s="63"/>
      <c r="FW233" s="63"/>
      <c r="FX233" s="63"/>
      <c r="FY233" s="63"/>
      <c r="FZ233" s="63"/>
      <c r="GA233" s="63"/>
      <c r="GB233" s="63"/>
      <c r="GC233" s="63"/>
      <c r="GD233" s="63"/>
      <c r="GE233" s="63"/>
      <c r="GF233" s="63"/>
      <c r="GG233" s="63"/>
      <c r="GH233" s="63"/>
      <c r="GI233" s="63"/>
      <c r="GJ233" s="63"/>
      <c r="GK233" s="63"/>
      <c r="GL233" s="63"/>
      <c r="GM233" s="63"/>
      <c r="GN233" s="63"/>
      <c r="GO233" s="63"/>
      <c r="GP233" s="63"/>
      <c r="GQ233" s="63"/>
      <c r="GR233" s="63"/>
      <c r="GS233" s="63"/>
      <c r="GT233" s="63"/>
      <c r="GU233" s="63"/>
      <c r="GV233" s="63"/>
      <c r="GW233" s="63"/>
      <c r="GX233" s="63"/>
      <c r="GY233" s="63"/>
      <c r="GZ233" s="63"/>
      <c r="HA233" s="63"/>
      <c r="HB233" s="63"/>
      <c r="HC233" s="63"/>
      <c r="HD233" s="63"/>
      <c r="HE233" s="63"/>
      <c r="HF233" s="63"/>
      <c r="HG233" s="63"/>
      <c r="HH233" s="63"/>
      <c r="HI233" s="63"/>
      <c r="HJ233" s="63"/>
      <c r="HK233" s="63"/>
      <c r="HL233" s="63"/>
      <c r="HM233" s="63"/>
      <c r="HN233" s="63"/>
      <c r="HO233" s="63"/>
      <c r="HP233" s="63"/>
      <c r="HQ233" s="63"/>
      <c r="HR233" s="63"/>
      <c r="HS233" s="63"/>
      <c r="HT233" s="63"/>
      <c r="HU233" s="63"/>
      <c r="HV233" s="63"/>
      <c r="HW233" s="63"/>
      <c r="HX233" s="63"/>
      <c r="HY233" s="63"/>
      <c r="HZ233" s="63"/>
      <c r="IA233" s="63"/>
      <c r="IB233" s="63"/>
      <c r="IC233" s="63"/>
      <c r="ID233" s="63"/>
      <c r="IE233" s="63"/>
      <c r="IF233" s="63"/>
      <c r="IG233" s="63"/>
      <c r="IH233" s="63"/>
      <c r="II233" s="63"/>
      <c r="IJ233" s="63"/>
      <c r="IK233" s="63"/>
      <c r="IL233" s="63"/>
      <c r="IM233" s="63"/>
      <c r="IN233" s="63"/>
      <c r="IO233" s="63"/>
      <c r="IP233" s="63"/>
      <c r="IQ233" s="63"/>
      <c r="IR233" s="63"/>
      <c r="IS233" s="63"/>
      <c r="IT233" s="63"/>
      <c r="IU233" s="63"/>
      <c r="IV233" s="63"/>
    </row>
    <row r="234" spans="1:256" s="65" customFormat="1" ht="13.5" customHeight="1" hidden="1" outlineLevel="1">
      <c r="A234" s="214" t="s">
        <v>166</v>
      </c>
      <c r="B234" s="214">
        <v>1599</v>
      </c>
      <c r="C234" s="62"/>
      <c r="D234" s="66"/>
      <c r="E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FI234" s="63"/>
      <c r="FJ234" s="63"/>
      <c r="FK234" s="63"/>
      <c r="FL234" s="63"/>
      <c r="FM234" s="63"/>
      <c r="FN234" s="63"/>
      <c r="FO234" s="63"/>
      <c r="FP234" s="63"/>
      <c r="FQ234" s="63"/>
      <c r="FR234" s="63"/>
      <c r="FS234" s="63"/>
      <c r="FT234" s="63"/>
      <c r="FU234" s="63"/>
      <c r="FV234" s="63"/>
      <c r="FW234" s="63"/>
      <c r="FX234" s="63"/>
      <c r="FY234" s="63"/>
      <c r="FZ234" s="63"/>
      <c r="GA234" s="63"/>
      <c r="GB234" s="63"/>
      <c r="GC234" s="63"/>
      <c r="GD234" s="63"/>
      <c r="GE234" s="63"/>
      <c r="GF234" s="63"/>
      <c r="GG234" s="63"/>
      <c r="GH234" s="63"/>
      <c r="GI234" s="63"/>
      <c r="GJ234" s="63"/>
      <c r="GK234" s="63"/>
      <c r="GL234" s="63"/>
      <c r="GM234" s="63"/>
      <c r="GN234" s="63"/>
      <c r="GO234" s="63"/>
      <c r="GP234" s="63"/>
      <c r="GQ234" s="63"/>
      <c r="GR234" s="63"/>
      <c r="GS234" s="63"/>
      <c r="GT234" s="63"/>
      <c r="GU234" s="63"/>
      <c r="GV234" s="63"/>
      <c r="GW234" s="63"/>
      <c r="GX234" s="63"/>
      <c r="GY234" s="63"/>
      <c r="GZ234" s="63"/>
      <c r="HA234" s="63"/>
      <c r="HB234" s="63"/>
      <c r="HC234" s="63"/>
      <c r="HD234" s="63"/>
      <c r="HE234" s="63"/>
      <c r="HF234" s="63"/>
      <c r="HG234" s="63"/>
      <c r="HH234" s="63"/>
      <c r="HI234" s="63"/>
      <c r="HJ234" s="63"/>
      <c r="HK234" s="63"/>
      <c r="HL234" s="63"/>
      <c r="HM234" s="63"/>
      <c r="HN234" s="63"/>
      <c r="HO234" s="63"/>
      <c r="HP234" s="63"/>
      <c r="HQ234" s="63"/>
      <c r="HR234" s="63"/>
      <c r="HS234" s="63"/>
      <c r="HT234" s="63"/>
      <c r="HU234" s="63"/>
      <c r="HV234" s="63"/>
      <c r="HW234" s="63"/>
      <c r="HX234" s="63"/>
      <c r="HY234" s="63"/>
      <c r="HZ234" s="63"/>
      <c r="IA234" s="63"/>
      <c r="IB234" s="63"/>
      <c r="IC234" s="63"/>
      <c r="ID234" s="63"/>
      <c r="IE234" s="63"/>
      <c r="IF234" s="63"/>
      <c r="IG234" s="63"/>
      <c r="IH234" s="63"/>
      <c r="II234" s="63"/>
      <c r="IJ234" s="63"/>
      <c r="IK234" s="63"/>
      <c r="IL234" s="63"/>
      <c r="IM234" s="63"/>
      <c r="IN234" s="63"/>
      <c r="IO234" s="63"/>
      <c r="IP234" s="63"/>
      <c r="IQ234" s="63"/>
      <c r="IR234" s="63"/>
      <c r="IS234" s="63"/>
      <c r="IT234" s="63"/>
      <c r="IU234" s="63"/>
      <c r="IV234" s="63"/>
    </row>
    <row r="235" spans="1:256" s="65" customFormat="1" ht="13.5" customHeight="1" hidden="1" outlineLevel="1">
      <c r="A235" s="214" t="s">
        <v>167</v>
      </c>
      <c r="B235" s="214">
        <v>657</v>
      </c>
      <c r="C235" s="62"/>
      <c r="D235" s="66"/>
      <c r="E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c r="FC235" s="63"/>
      <c r="FD235" s="63"/>
      <c r="FE235" s="63"/>
      <c r="FF235" s="63"/>
      <c r="FG235" s="63"/>
      <c r="FH235" s="63"/>
      <c r="FI235" s="63"/>
      <c r="FJ235" s="63"/>
      <c r="FK235" s="63"/>
      <c r="FL235" s="63"/>
      <c r="FM235" s="63"/>
      <c r="FN235" s="63"/>
      <c r="FO235" s="63"/>
      <c r="FP235" s="63"/>
      <c r="FQ235" s="63"/>
      <c r="FR235" s="63"/>
      <c r="FS235" s="63"/>
      <c r="FT235" s="63"/>
      <c r="FU235" s="63"/>
      <c r="FV235" s="63"/>
      <c r="FW235" s="63"/>
      <c r="FX235" s="63"/>
      <c r="FY235" s="63"/>
      <c r="FZ235" s="63"/>
      <c r="GA235" s="63"/>
      <c r="GB235" s="63"/>
      <c r="GC235" s="63"/>
      <c r="GD235" s="63"/>
      <c r="GE235" s="63"/>
      <c r="GF235" s="63"/>
      <c r="GG235" s="63"/>
      <c r="GH235" s="63"/>
      <c r="GI235" s="63"/>
      <c r="GJ235" s="63"/>
      <c r="GK235" s="63"/>
      <c r="GL235" s="63"/>
      <c r="GM235" s="63"/>
      <c r="GN235" s="63"/>
      <c r="GO235" s="63"/>
      <c r="GP235" s="63"/>
      <c r="GQ235" s="63"/>
      <c r="GR235" s="63"/>
      <c r="GS235" s="63"/>
      <c r="GT235" s="63"/>
      <c r="GU235" s="63"/>
      <c r="GV235" s="63"/>
      <c r="GW235" s="63"/>
      <c r="GX235" s="63"/>
      <c r="GY235" s="63"/>
      <c r="GZ235" s="63"/>
      <c r="HA235" s="63"/>
      <c r="HB235" s="63"/>
      <c r="HC235" s="63"/>
      <c r="HD235" s="63"/>
      <c r="HE235" s="63"/>
      <c r="HF235" s="63"/>
      <c r="HG235" s="63"/>
      <c r="HH235" s="63"/>
      <c r="HI235" s="63"/>
      <c r="HJ235" s="63"/>
      <c r="HK235" s="63"/>
      <c r="HL235" s="63"/>
      <c r="HM235" s="63"/>
      <c r="HN235" s="63"/>
      <c r="HO235" s="63"/>
      <c r="HP235" s="63"/>
      <c r="HQ235" s="63"/>
      <c r="HR235" s="63"/>
      <c r="HS235" s="63"/>
      <c r="HT235" s="63"/>
      <c r="HU235" s="63"/>
      <c r="HV235" s="63"/>
      <c r="HW235" s="63"/>
      <c r="HX235" s="63"/>
      <c r="HY235" s="63"/>
      <c r="HZ235" s="63"/>
      <c r="IA235" s="63"/>
      <c r="IB235" s="63"/>
      <c r="IC235" s="63"/>
      <c r="ID235" s="63"/>
      <c r="IE235" s="63"/>
      <c r="IF235" s="63"/>
      <c r="IG235" s="63"/>
      <c r="IH235" s="63"/>
      <c r="II235" s="63"/>
      <c r="IJ235" s="63"/>
      <c r="IK235" s="63"/>
      <c r="IL235" s="63"/>
      <c r="IM235" s="63"/>
      <c r="IN235" s="63"/>
      <c r="IO235" s="63"/>
      <c r="IP235" s="63"/>
      <c r="IQ235" s="63"/>
      <c r="IR235" s="63"/>
      <c r="IS235" s="63"/>
      <c r="IT235" s="63"/>
      <c r="IU235" s="63"/>
      <c r="IV235" s="63"/>
    </row>
    <row r="236" spans="1:256" s="65" customFormat="1" ht="13.5" customHeight="1" collapsed="1">
      <c r="A236" s="215" t="s">
        <v>173</v>
      </c>
      <c r="B236" s="61">
        <f>SUM(B224:B235)</f>
        <v>26460.43</v>
      </c>
      <c r="C236" s="62"/>
      <c r="D236" s="66"/>
      <c r="E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FI236" s="63"/>
      <c r="FJ236" s="63"/>
      <c r="FK236" s="63"/>
      <c r="FL236" s="63"/>
      <c r="FM236" s="63"/>
      <c r="FN236" s="63"/>
      <c r="FO236" s="63"/>
      <c r="FP236" s="63"/>
      <c r="FQ236" s="63"/>
      <c r="FR236" s="63"/>
      <c r="FS236" s="63"/>
      <c r="FT236" s="63"/>
      <c r="FU236" s="63"/>
      <c r="FV236" s="63"/>
      <c r="FW236" s="63"/>
      <c r="FX236" s="63"/>
      <c r="FY236" s="63"/>
      <c r="FZ236" s="63"/>
      <c r="GA236" s="63"/>
      <c r="GB236" s="63"/>
      <c r="GC236" s="63"/>
      <c r="GD236" s="63"/>
      <c r="GE236" s="63"/>
      <c r="GF236" s="63"/>
      <c r="GG236" s="63"/>
      <c r="GH236" s="63"/>
      <c r="GI236" s="63"/>
      <c r="GJ236" s="63"/>
      <c r="GK236" s="63"/>
      <c r="GL236" s="63"/>
      <c r="GM236" s="63"/>
      <c r="GN236" s="63"/>
      <c r="GO236" s="63"/>
      <c r="GP236" s="63"/>
      <c r="GQ236" s="63"/>
      <c r="GR236" s="63"/>
      <c r="GS236" s="63"/>
      <c r="GT236" s="63"/>
      <c r="GU236" s="63"/>
      <c r="GV236" s="63"/>
      <c r="GW236" s="63"/>
      <c r="GX236" s="63"/>
      <c r="GY236" s="63"/>
      <c r="GZ236" s="63"/>
      <c r="HA236" s="63"/>
      <c r="HB236" s="63"/>
      <c r="HC236" s="63"/>
      <c r="HD236" s="63"/>
      <c r="HE236" s="63"/>
      <c r="HF236" s="63"/>
      <c r="HG236" s="63"/>
      <c r="HH236" s="63"/>
      <c r="HI236" s="63"/>
      <c r="HJ236" s="63"/>
      <c r="HK236" s="63"/>
      <c r="HL236" s="63"/>
      <c r="HM236" s="63"/>
      <c r="HN236" s="63"/>
      <c r="HO236" s="63"/>
      <c r="HP236" s="63"/>
      <c r="HQ236" s="63"/>
      <c r="HR236" s="63"/>
      <c r="HS236" s="63"/>
      <c r="HT236" s="63"/>
      <c r="HU236" s="63"/>
      <c r="HV236" s="63"/>
      <c r="HW236" s="63"/>
      <c r="HX236" s="63"/>
      <c r="HY236" s="63"/>
      <c r="HZ236" s="63"/>
      <c r="IA236" s="63"/>
      <c r="IB236" s="63"/>
      <c r="IC236" s="63"/>
      <c r="ID236" s="63"/>
      <c r="IE236" s="63"/>
      <c r="IF236" s="63"/>
      <c r="IG236" s="63"/>
      <c r="IH236" s="63"/>
      <c r="II236" s="63"/>
      <c r="IJ236" s="63"/>
      <c r="IK236" s="63"/>
      <c r="IL236" s="63"/>
      <c r="IM236" s="63"/>
      <c r="IN236" s="63"/>
      <c r="IO236" s="63"/>
      <c r="IP236" s="63"/>
      <c r="IQ236" s="63"/>
      <c r="IR236" s="63"/>
      <c r="IS236" s="63"/>
      <c r="IT236" s="63"/>
      <c r="IU236" s="63"/>
      <c r="IV236" s="63"/>
    </row>
    <row r="237" spans="1:256" s="65" customFormat="1" ht="13.5" customHeight="1" hidden="1" outlineLevel="1">
      <c r="A237" s="214" t="s">
        <v>324</v>
      </c>
      <c r="B237" s="214">
        <v>99850.15</v>
      </c>
      <c r="C237" s="62"/>
      <c r="D237" s="66"/>
      <c r="E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FI237" s="63"/>
      <c r="FJ237" s="63"/>
      <c r="FK237" s="63"/>
      <c r="FL237" s="63"/>
      <c r="FM237" s="63"/>
      <c r="FN237" s="63"/>
      <c r="FO237" s="63"/>
      <c r="FP237" s="63"/>
      <c r="FQ237" s="63"/>
      <c r="FR237" s="63"/>
      <c r="FS237" s="63"/>
      <c r="FT237" s="63"/>
      <c r="FU237" s="63"/>
      <c r="FV237" s="63"/>
      <c r="FW237" s="63"/>
      <c r="FX237" s="63"/>
      <c r="FY237" s="63"/>
      <c r="FZ237" s="63"/>
      <c r="GA237" s="63"/>
      <c r="GB237" s="63"/>
      <c r="GC237" s="63"/>
      <c r="GD237" s="63"/>
      <c r="GE237" s="63"/>
      <c r="GF237" s="63"/>
      <c r="GG237" s="63"/>
      <c r="GH237" s="63"/>
      <c r="GI237" s="63"/>
      <c r="GJ237" s="63"/>
      <c r="GK237" s="63"/>
      <c r="GL237" s="63"/>
      <c r="GM237" s="63"/>
      <c r="GN237" s="63"/>
      <c r="GO237" s="63"/>
      <c r="GP237" s="63"/>
      <c r="GQ237" s="63"/>
      <c r="GR237" s="63"/>
      <c r="GS237" s="63"/>
      <c r="GT237" s="63"/>
      <c r="GU237" s="63"/>
      <c r="GV237" s="63"/>
      <c r="GW237" s="63"/>
      <c r="GX237" s="63"/>
      <c r="GY237" s="63"/>
      <c r="GZ237" s="63"/>
      <c r="HA237" s="63"/>
      <c r="HB237" s="63"/>
      <c r="HC237" s="63"/>
      <c r="HD237" s="63"/>
      <c r="HE237" s="63"/>
      <c r="HF237" s="63"/>
      <c r="HG237" s="63"/>
      <c r="HH237" s="63"/>
      <c r="HI237" s="63"/>
      <c r="HJ237" s="63"/>
      <c r="HK237" s="63"/>
      <c r="HL237" s="63"/>
      <c r="HM237" s="63"/>
      <c r="HN237" s="63"/>
      <c r="HO237" s="63"/>
      <c r="HP237" s="63"/>
      <c r="HQ237" s="63"/>
      <c r="HR237" s="63"/>
      <c r="HS237" s="63"/>
      <c r="HT237" s="63"/>
      <c r="HU237" s="63"/>
      <c r="HV237" s="63"/>
      <c r="HW237" s="63"/>
      <c r="HX237" s="63"/>
      <c r="HY237" s="63"/>
      <c r="HZ237" s="63"/>
      <c r="IA237" s="63"/>
      <c r="IB237" s="63"/>
      <c r="IC237" s="63"/>
      <c r="ID237" s="63"/>
      <c r="IE237" s="63"/>
      <c r="IF237" s="63"/>
      <c r="IG237" s="63"/>
      <c r="IH237" s="63"/>
      <c r="II237" s="63"/>
      <c r="IJ237" s="63"/>
      <c r="IK237" s="63"/>
      <c r="IL237" s="63"/>
      <c r="IM237" s="63"/>
      <c r="IN237" s="63"/>
      <c r="IO237" s="63"/>
      <c r="IP237" s="63"/>
      <c r="IQ237" s="63"/>
      <c r="IR237" s="63"/>
      <c r="IS237" s="63"/>
      <c r="IT237" s="63"/>
      <c r="IU237" s="63"/>
      <c r="IV237" s="63"/>
    </row>
    <row r="238" spans="1:256" s="65" customFormat="1" ht="13.5" customHeight="1" hidden="1" outlineLevel="1">
      <c r="A238" s="214" t="s">
        <v>160</v>
      </c>
      <c r="B238" s="214">
        <v>18059.63</v>
      </c>
      <c r="C238" s="62"/>
      <c r="D238" s="66"/>
      <c r="E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FI238" s="63"/>
      <c r="FJ238" s="63"/>
      <c r="FK238" s="63"/>
      <c r="FL238" s="63"/>
      <c r="FM238" s="63"/>
      <c r="FN238" s="63"/>
      <c r="FO238" s="63"/>
      <c r="FP238" s="63"/>
      <c r="FQ238" s="63"/>
      <c r="FR238" s="63"/>
      <c r="FS238" s="63"/>
      <c r="FT238" s="63"/>
      <c r="FU238" s="63"/>
      <c r="FV238" s="63"/>
      <c r="FW238" s="63"/>
      <c r="FX238" s="63"/>
      <c r="FY238" s="63"/>
      <c r="FZ238" s="63"/>
      <c r="GA238" s="63"/>
      <c r="GB238" s="63"/>
      <c r="GC238" s="63"/>
      <c r="GD238" s="63"/>
      <c r="GE238" s="63"/>
      <c r="GF238" s="63"/>
      <c r="GG238" s="63"/>
      <c r="GH238" s="63"/>
      <c r="GI238" s="63"/>
      <c r="GJ238" s="63"/>
      <c r="GK238" s="63"/>
      <c r="GL238" s="63"/>
      <c r="GM238" s="63"/>
      <c r="GN238" s="63"/>
      <c r="GO238" s="63"/>
      <c r="GP238" s="63"/>
      <c r="GQ238" s="63"/>
      <c r="GR238" s="63"/>
      <c r="GS238" s="63"/>
      <c r="GT238" s="63"/>
      <c r="GU238" s="63"/>
      <c r="GV238" s="63"/>
      <c r="GW238" s="63"/>
      <c r="GX238" s="63"/>
      <c r="GY238" s="63"/>
      <c r="GZ238" s="63"/>
      <c r="HA238" s="63"/>
      <c r="HB238" s="63"/>
      <c r="HC238" s="63"/>
      <c r="HD238" s="63"/>
      <c r="HE238" s="63"/>
      <c r="HF238" s="63"/>
      <c r="HG238" s="63"/>
      <c r="HH238" s="63"/>
      <c r="HI238" s="63"/>
      <c r="HJ238" s="63"/>
      <c r="HK238" s="63"/>
      <c r="HL238" s="63"/>
      <c r="HM238" s="63"/>
      <c r="HN238" s="63"/>
      <c r="HO238" s="63"/>
      <c r="HP238" s="63"/>
      <c r="HQ238" s="63"/>
      <c r="HR238" s="63"/>
      <c r="HS238" s="63"/>
      <c r="HT238" s="63"/>
      <c r="HU238" s="63"/>
      <c r="HV238" s="63"/>
      <c r="HW238" s="63"/>
      <c r="HX238" s="63"/>
      <c r="HY238" s="63"/>
      <c r="HZ238" s="63"/>
      <c r="IA238" s="63"/>
      <c r="IB238" s="63"/>
      <c r="IC238" s="63"/>
      <c r="ID238" s="63"/>
      <c r="IE238" s="63"/>
      <c r="IF238" s="63"/>
      <c r="IG238" s="63"/>
      <c r="IH238" s="63"/>
      <c r="II238" s="63"/>
      <c r="IJ238" s="63"/>
      <c r="IK238" s="63"/>
      <c r="IL238" s="63"/>
      <c r="IM238" s="63"/>
      <c r="IN238" s="63"/>
      <c r="IO238" s="63"/>
      <c r="IP238" s="63"/>
      <c r="IQ238" s="63"/>
      <c r="IR238" s="63"/>
      <c r="IS238" s="63"/>
      <c r="IT238" s="63"/>
      <c r="IU238" s="63"/>
      <c r="IV238" s="63"/>
    </row>
    <row r="239" spans="1:256" s="65" customFormat="1" ht="13.5" customHeight="1" hidden="1" outlineLevel="1">
      <c r="A239" s="214" t="s">
        <v>325</v>
      </c>
      <c r="B239" s="214">
        <v>61853.5</v>
      </c>
      <c r="C239" s="62"/>
      <c r="D239" s="66"/>
      <c r="E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FI239" s="63"/>
      <c r="FJ239" s="63"/>
      <c r="FK239" s="63"/>
      <c r="FL239" s="63"/>
      <c r="FM239" s="63"/>
      <c r="FN239" s="63"/>
      <c r="FO239" s="63"/>
      <c r="FP239" s="63"/>
      <c r="FQ239" s="63"/>
      <c r="FR239" s="63"/>
      <c r="FS239" s="63"/>
      <c r="FT239" s="63"/>
      <c r="FU239" s="63"/>
      <c r="FV239" s="63"/>
      <c r="FW239" s="63"/>
      <c r="FX239" s="63"/>
      <c r="FY239" s="63"/>
      <c r="FZ239" s="63"/>
      <c r="GA239" s="63"/>
      <c r="GB239" s="63"/>
      <c r="GC239" s="63"/>
      <c r="GD239" s="63"/>
      <c r="GE239" s="63"/>
      <c r="GF239" s="63"/>
      <c r="GG239" s="63"/>
      <c r="GH239" s="63"/>
      <c r="GI239" s="63"/>
      <c r="GJ239" s="63"/>
      <c r="GK239" s="63"/>
      <c r="GL239" s="63"/>
      <c r="GM239" s="63"/>
      <c r="GN239" s="63"/>
      <c r="GO239" s="63"/>
      <c r="GP239" s="63"/>
      <c r="GQ239" s="63"/>
      <c r="GR239" s="63"/>
      <c r="GS239" s="63"/>
      <c r="GT239" s="63"/>
      <c r="GU239" s="63"/>
      <c r="GV239" s="63"/>
      <c r="GW239" s="63"/>
      <c r="GX239" s="63"/>
      <c r="GY239" s="63"/>
      <c r="GZ239" s="63"/>
      <c r="HA239" s="63"/>
      <c r="HB239" s="63"/>
      <c r="HC239" s="63"/>
      <c r="HD239" s="63"/>
      <c r="HE239" s="63"/>
      <c r="HF239" s="63"/>
      <c r="HG239" s="63"/>
      <c r="HH239" s="63"/>
      <c r="HI239" s="63"/>
      <c r="HJ239" s="63"/>
      <c r="HK239" s="63"/>
      <c r="HL239" s="63"/>
      <c r="HM239" s="63"/>
      <c r="HN239" s="63"/>
      <c r="HO239" s="63"/>
      <c r="HP239" s="63"/>
      <c r="HQ239" s="63"/>
      <c r="HR239" s="63"/>
      <c r="HS239" s="63"/>
      <c r="HT239" s="63"/>
      <c r="HU239" s="63"/>
      <c r="HV239" s="63"/>
      <c r="HW239" s="63"/>
      <c r="HX239" s="63"/>
      <c r="HY239" s="63"/>
      <c r="HZ239" s="63"/>
      <c r="IA239" s="63"/>
      <c r="IB239" s="63"/>
      <c r="IC239" s="63"/>
      <c r="ID239" s="63"/>
      <c r="IE239" s="63"/>
      <c r="IF239" s="63"/>
      <c r="IG239" s="63"/>
      <c r="IH239" s="63"/>
      <c r="II239" s="63"/>
      <c r="IJ239" s="63"/>
      <c r="IK239" s="63"/>
      <c r="IL239" s="63"/>
      <c r="IM239" s="63"/>
      <c r="IN239" s="63"/>
      <c r="IO239" s="63"/>
      <c r="IP239" s="63"/>
      <c r="IQ239" s="63"/>
      <c r="IR239" s="63"/>
      <c r="IS239" s="63"/>
      <c r="IT239" s="63"/>
      <c r="IU239" s="63"/>
      <c r="IV239" s="63"/>
    </row>
    <row r="240" spans="1:256" s="65" customFormat="1" ht="13.5" customHeight="1" hidden="1" outlineLevel="1">
      <c r="A240" s="214" t="s">
        <v>326</v>
      </c>
      <c r="B240" s="214">
        <v>1488</v>
      </c>
      <c r="C240" s="62"/>
      <c r="D240" s="66"/>
      <c r="E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c r="FC240" s="63"/>
      <c r="FD240" s="63"/>
      <c r="FE240" s="63"/>
      <c r="FF240" s="63"/>
      <c r="FG240" s="63"/>
      <c r="FH240" s="63"/>
      <c r="FI240" s="63"/>
      <c r="FJ240" s="63"/>
      <c r="FK240" s="63"/>
      <c r="FL240" s="63"/>
      <c r="FM240" s="63"/>
      <c r="FN240" s="63"/>
      <c r="FO240" s="63"/>
      <c r="FP240" s="63"/>
      <c r="FQ240" s="63"/>
      <c r="FR240" s="63"/>
      <c r="FS240" s="63"/>
      <c r="FT240" s="63"/>
      <c r="FU240" s="63"/>
      <c r="FV240" s="63"/>
      <c r="FW240" s="63"/>
      <c r="FX240" s="63"/>
      <c r="FY240" s="63"/>
      <c r="FZ240" s="63"/>
      <c r="GA240" s="63"/>
      <c r="GB240" s="63"/>
      <c r="GC240" s="63"/>
      <c r="GD240" s="63"/>
      <c r="GE240" s="63"/>
      <c r="GF240" s="63"/>
      <c r="GG240" s="63"/>
      <c r="GH240" s="63"/>
      <c r="GI240" s="63"/>
      <c r="GJ240" s="63"/>
      <c r="GK240" s="63"/>
      <c r="GL240" s="63"/>
      <c r="GM240" s="63"/>
      <c r="GN240" s="63"/>
      <c r="GO240" s="63"/>
      <c r="GP240" s="63"/>
      <c r="GQ240" s="63"/>
      <c r="GR240" s="63"/>
      <c r="GS240" s="63"/>
      <c r="GT240" s="63"/>
      <c r="GU240" s="63"/>
      <c r="GV240" s="63"/>
      <c r="GW240" s="63"/>
      <c r="GX240" s="63"/>
      <c r="GY240" s="63"/>
      <c r="GZ240" s="63"/>
      <c r="HA240" s="63"/>
      <c r="HB240" s="63"/>
      <c r="HC240" s="63"/>
      <c r="HD240" s="63"/>
      <c r="HE240" s="63"/>
      <c r="HF240" s="63"/>
      <c r="HG240" s="63"/>
      <c r="HH240" s="63"/>
      <c r="HI240" s="63"/>
      <c r="HJ240" s="63"/>
      <c r="HK240" s="63"/>
      <c r="HL240" s="63"/>
      <c r="HM240" s="63"/>
      <c r="HN240" s="63"/>
      <c r="HO240" s="63"/>
      <c r="HP240" s="63"/>
      <c r="HQ240" s="63"/>
      <c r="HR240" s="63"/>
      <c r="HS240" s="63"/>
      <c r="HT240" s="63"/>
      <c r="HU240" s="63"/>
      <c r="HV240" s="63"/>
      <c r="HW240" s="63"/>
      <c r="HX240" s="63"/>
      <c r="HY240" s="63"/>
      <c r="HZ240" s="63"/>
      <c r="IA240" s="63"/>
      <c r="IB240" s="63"/>
      <c r="IC240" s="63"/>
      <c r="ID240" s="63"/>
      <c r="IE240" s="63"/>
      <c r="IF240" s="63"/>
      <c r="IG240" s="63"/>
      <c r="IH240" s="63"/>
      <c r="II240" s="63"/>
      <c r="IJ240" s="63"/>
      <c r="IK240" s="63"/>
      <c r="IL240" s="63"/>
      <c r="IM240" s="63"/>
      <c r="IN240" s="63"/>
      <c r="IO240" s="63"/>
      <c r="IP240" s="63"/>
      <c r="IQ240" s="63"/>
      <c r="IR240" s="63"/>
      <c r="IS240" s="63"/>
      <c r="IT240" s="63"/>
      <c r="IU240" s="63"/>
      <c r="IV240" s="63"/>
    </row>
    <row r="241" spans="1:256" s="65" customFormat="1" ht="13.5" customHeight="1" hidden="1" outlineLevel="1">
      <c r="A241" s="214" t="s">
        <v>161</v>
      </c>
      <c r="B241" s="214">
        <v>19127</v>
      </c>
      <c r="C241" s="62"/>
      <c r="D241" s="66"/>
      <c r="E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FI241" s="63"/>
      <c r="FJ241" s="63"/>
      <c r="FK241" s="63"/>
      <c r="FL241" s="63"/>
      <c r="FM241" s="63"/>
      <c r="FN241" s="63"/>
      <c r="FO241" s="63"/>
      <c r="FP241" s="63"/>
      <c r="FQ241" s="63"/>
      <c r="FR241" s="63"/>
      <c r="FS241" s="63"/>
      <c r="FT241" s="63"/>
      <c r="FU241" s="63"/>
      <c r="FV241" s="63"/>
      <c r="FW241" s="63"/>
      <c r="FX241" s="63"/>
      <c r="FY241" s="63"/>
      <c r="FZ241" s="63"/>
      <c r="GA241" s="63"/>
      <c r="GB241" s="63"/>
      <c r="GC241" s="63"/>
      <c r="GD241" s="63"/>
      <c r="GE241" s="63"/>
      <c r="GF241" s="63"/>
      <c r="GG241" s="63"/>
      <c r="GH241" s="63"/>
      <c r="GI241" s="63"/>
      <c r="GJ241" s="63"/>
      <c r="GK241" s="63"/>
      <c r="GL241" s="63"/>
      <c r="GM241" s="63"/>
      <c r="GN241" s="63"/>
      <c r="GO241" s="63"/>
      <c r="GP241" s="63"/>
      <c r="GQ241" s="63"/>
      <c r="GR241" s="63"/>
      <c r="GS241" s="63"/>
      <c r="GT241" s="63"/>
      <c r="GU241" s="63"/>
      <c r="GV241" s="63"/>
      <c r="GW241" s="63"/>
      <c r="GX241" s="63"/>
      <c r="GY241" s="63"/>
      <c r="GZ241" s="63"/>
      <c r="HA241" s="63"/>
      <c r="HB241" s="63"/>
      <c r="HC241" s="63"/>
      <c r="HD241" s="63"/>
      <c r="HE241" s="63"/>
      <c r="HF241" s="63"/>
      <c r="HG241" s="63"/>
      <c r="HH241" s="63"/>
      <c r="HI241" s="63"/>
      <c r="HJ241" s="63"/>
      <c r="HK241" s="63"/>
      <c r="HL241" s="63"/>
      <c r="HM241" s="63"/>
      <c r="HN241" s="63"/>
      <c r="HO241" s="63"/>
      <c r="HP241" s="63"/>
      <c r="HQ241" s="63"/>
      <c r="HR241" s="63"/>
      <c r="HS241" s="63"/>
      <c r="HT241" s="63"/>
      <c r="HU241" s="63"/>
      <c r="HV241" s="63"/>
      <c r="HW241" s="63"/>
      <c r="HX241" s="63"/>
      <c r="HY241" s="63"/>
      <c r="HZ241" s="63"/>
      <c r="IA241" s="63"/>
      <c r="IB241" s="63"/>
      <c r="IC241" s="63"/>
      <c r="ID241" s="63"/>
      <c r="IE241" s="63"/>
      <c r="IF241" s="63"/>
      <c r="IG241" s="63"/>
      <c r="IH241" s="63"/>
      <c r="II241" s="63"/>
      <c r="IJ241" s="63"/>
      <c r="IK241" s="63"/>
      <c r="IL241" s="63"/>
      <c r="IM241" s="63"/>
      <c r="IN241" s="63"/>
      <c r="IO241" s="63"/>
      <c r="IP241" s="63"/>
      <c r="IQ241" s="63"/>
      <c r="IR241" s="63"/>
      <c r="IS241" s="63"/>
      <c r="IT241" s="63"/>
      <c r="IU241" s="63"/>
      <c r="IV241" s="63"/>
    </row>
    <row r="242" spans="1:256" s="65" customFormat="1" ht="13.5" customHeight="1" hidden="1" outlineLevel="1">
      <c r="A242" s="214" t="s">
        <v>329</v>
      </c>
      <c r="B242" s="214">
        <v>0</v>
      </c>
      <c r="C242" s="62"/>
      <c r="D242" s="66"/>
      <c r="E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FI242" s="63"/>
      <c r="FJ242" s="63"/>
      <c r="FK242" s="63"/>
      <c r="FL242" s="63"/>
      <c r="FM242" s="63"/>
      <c r="FN242" s="63"/>
      <c r="FO242" s="63"/>
      <c r="FP242" s="63"/>
      <c r="FQ242" s="63"/>
      <c r="FR242" s="63"/>
      <c r="FS242" s="63"/>
      <c r="FT242" s="63"/>
      <c r="FU242" s="63"/>
      <c r="FV242" s="63"/>
      <c r="FW242" s="63"/>
      <c r="FX242" s="63"/>
      <c r="FY242" s="63"/>
      <c r="FZ242" s="63"/>
      <c r="GA242" s="63"/>
      <c r="GB242" s="63"/>
      <c r="GC242" s="63"/>
      <c r="GD242" s="63"/>
      <c r="GE242" s="63"/>
      <c r="GF242" s="63"/>
      <c r="GG242" s="63"/>
      <c r="GH242" s="63"/>
      <c r="GI242" s="63"/>
      <c r="GJ242" s="63"/>
      <c r="GK242" s="63"/>
      <c r="GL242" s="63"/>
      <c r="GM242" s="63"/>
      <c r="GN242" s="63"/>
      <c r="GO242" s="63"/>
      <c r="GP242" s="63"/>
      <c r="GQ242" s="63"/>
      <c r="GR242" s="63"/>
      <c r="GS242" s="63"/>
      <c r="GT242" s="63"/>
      <c r="GU242" s="63"/>
      <c r="GV242" s="63"/>
      <c r="GW242" s="63"/>
      <c r="GX242" s="63"/>
      <c r="GY242" s="63"/>
      <c r="GZ242" s="63"/>
      <c r="HA242" s="63"/>
      <c r="HB242" s="63"/>
      <c r="HC242" s="63"/>
      <c r="HD242" s="63"/>
      <c r="HE242" s="63"/>
      <c r="HF242" s="63"/>
      <c r="HG242" s="63"/>
      <c r="HH242" s="63"/>
      <c r="HI242" s="63"/>
      <c r="HJ242" s="63"/>
      <c r="HK242" s="63"/>
      <c r="HL242" s="63"/>
      <c r="HM242" s="63"/>
      <c r="HN242" s="63"/>
      <c r="HO242" s="63"/>
      <c r="HP242" s="63"/>
      <c r="HQ242" s="63"/>
      <c r="HR242" s="63"/>
      <c r="HS242" s="63"/>
      <c r="HT242" s="63"/>
      <c r="HU242" s="63"/>
      <c r="HV242" s="63"/>
      <c r="HW242" s="63"/>
      <c r="HX242" s="63"/>
      <c r="HY242" s="63"/>
      <c r="HZ242" s="63"/>
      <c r="IA242" s="63"/>
      <c r="IB242" s="63"/>
      <c r="IC242" s="63"/>
      <c r="ID242" s="63"/>
      <c r="IE242" s="63"/>
      <c r="IF242" s="63"/>
      <c r="IG242" s="63"/>
      <c r="IH242" s="63"/>
      <c r="II242" s="63"/>
      <c r="IJ242" s="63"/>
      <c r="IK242" s="63"/>
      <c r="IL242" s="63"/>
      <c r="IM242" s="63"/>
      <c r="IN242" s="63"/>
      <c r="IO242" s="63"/>
      <c r="IP242" s="63"/>
      <c r="IQ242" s="63"/>
      <c r="IR242" s="63"/>
      <c r="IS242" s="63"/>
      <c r="IT242" s="63"/>
      <c r="IU242" s="63"/>
      <c r="IV242" s="63"/>
    </row>
    <row r="243" spans="1:256" s="65" customFormat="1" ht="13.5" customHeight="1" hidden="1" outlineLevel="1">
      <c r="A243" s="214" t="s">
        <v>163</v>
      </c>
      <c r="B243" s="214">
        <v>17530.4</v>
      </c>
      <c r="C243" s="62"/>
      <c r="D243" s="66"/>
      <c r="E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FI243" s="63"/>
      <c r="FJ243" s="63"/>
      <c r="FK243" s="63"/>
      <c r="FL243" s="63"/>
      <c r="FM243" s="63"/>
      <c r="FN243" s="63"/>
      <c r="FO243" s="63"/>
      <c r="FP243" s="63"/>
      <c r="FQ243" s="63"/>
      <c r="FR243" s="63"/>
      <c r="FS243" s="63"/>
      <c r="FT243" s="63"/>
      <c r="FU243" s="63"/>
      <c r="FV243" s="63"/>
      <c r="FW243" s="63"/>
      <c r="FX243" s="63"/>
      <c r="FY243" s="63"/>
      <c r="FZ243" s="63"/>
      <c r="GA243" s="63"/>
      <c r="GB243" s="63"/>
      <c r="GC243" s="63"/>
      <c r="GD243" s="63"/>
      <c r="GE243" s="63"/>
      <c r="GF243" s="63"/>
      <c r="GG243" s="63"/>
      <c r="GH243" s="63"/>
      <c r="GI243" s="63"/>
      <c r="GJ243" s="63"/>
      <c r="GK243" s="63"/>
      <c r="GL243" s="63"/>
      <c r="GM243" s="63"/>
      <c r="GN243" s="63"/>
      <c r="GO243" s="63"/>
      <c r="GP243" s="63"/>
      <c r="GQ243" s="63"/>
      <c r="GR243" s="63"/>
      <c r="GS243" s="63"/>
      <c r="GT243" s="63"/>
      <c r="GU243" s="63"/>
      <c r="GV243" s="63"/>
      <c r="GW243" s="63"/>
      <c r="GX243" s="63"/>
      <c r="GY243" s="63"/>
      <c r="GZ243" s="63"/>
      <c r="HA243" s="63"/>
      <c r="HB243" s="63"/>
      <c r="HC243" s="63"/>
      <c r="HD243" s="63"/>
      <c r="HE243" s="63"/>
      <c r="HF243" s="63"/>
      <c r="HG243" s="63"/>
      <c r="HH243" s="63"/>
      <c r="HI243" s="63"/>
      <c r="HJ243" s="63"/>
      <c r="HK243" s="63"/>
      <c r="HL243" s="63"/>
      <c r="HM243" s="63"/>
      <c r="HN243" s="63"/>
      <c r="HO243" s="63"/>
      <c r="HP243" s="63"/>
      <c r="HQ243" s="63"/>
      <c r="HR243" s="63"/>
      <c r="HS243" s="63"/>
      <c r="HT243" s="63"/>
      <c r="HU243" s="63"/>
      <c r="HV243" s="63"/>
      <c r="HW243" s="63"/>
      <c r="HX243" s="63"/>
      <c r="HY243" s="63"/>
      <c r="HZ243" s="63"/>
      <c r="IA243" s="63"/>
      <c r="IB243" s="63"/>
      <c r="IC243" s="63"/>
      <c r="ID243" s="63"/>
      <c r="IE243" s="63"/>
      <c r="IF243" s="63"/>
      <c r="IG243" s="63"/>
      <c r="IH243" s="63"/>
      <c r="II243" s="63"/>
      <c r="IJ243" s="63"/>
      <c r="IK243" s="63"/>
      <c r="IL243" s="63"/>
      <c r="IM243" s="63"/>
      <c r="IN243" s="63"/>
      <c r="IO243" s="63"/>
      <c r="IP243" s="63"/>
      <c r="IQ243" s="63"/>
      <c r="IR243" s="63"/>
      <c r="IS243" s="63"/>
      <c r="IT243" s="63"/>
      <c r="IU243" s="63"/>
      <c r="IV243" s="63"/>
    </row>
    <row r="244" spans="1:256" s="65" customFormat="1" ht="13.5" customHeight="1" hidden="1" outlineLevel="1">
      <c r="A244" s="214" t="s">
        <v>164</v>
      </c>
      <c r="B244" s="214">
        <v>0</v>
      </c>
      <c r="C244" s="62"/>
      <c r="D244" s="66"/>
      <c r="E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FI244" s="63"/>
      <c r="FJ244" s="63"/>
      <c r="FK244" s="63"/>
      <c r="FL244" s="63"/>
      <c r="FM244" s="63"/>
      <c r="FN244" s="63"/>
      <c r="FO244" s="63"/>
      <c r="FP244" s="63"/>
      <c r="FQ244" s="63"/>
      <c r="FR244" s="63"/>
      <c r="FS244" s="63"/>
      <c r="FT244" s="63"/>
      <c r="FU244" s="63"/>
      <c r="FV244" s="63"/>
      <c r="FW244" s="63"/>
      <c r="FX244" s="63"/>
      <c r="FY244" s="63"/>
      <c r="FZ244" s="63"/>
      <c r="GA244" s="63"/>
      <c r="GB244" s="63"/>
      <c r="GC244" s="63"/>
      <c r="GD244" s="63"/>
      <c r="GE244" s="63"/>
      <c r="GF244" s="63"/>
      <c r="GG244" s="63"/>
      <c r="GH244" s="63"/>
      <c r="GI244" s="63"/>
      <c r="GJ244" s="63"/>
      <c r="GK244" s="63"/>
      <c r="GL244" s="63"/>
      <c r="GM244" s="63"/>
      <c r="GN244" s="63"/>
      <c r="GO244" s="63"/>
      <c r="GP244" s="63"/>
      <c r="GQ244" s="63"/>
      <c r="GR244" s="63"/>
      <c r="GS244" s="63"/>
      <c r="GT244" s="63"/>
      <c r="GU244" s="63"/>
      <c r="GV244" s="63"/>
      <c r="GW244" s="63"/>
      <c r="GX244" s="63"/>
      <c r="GY244" s="63"/>
      <c r="GZ244" s="63"/>
      <c r="HA244" s="63"/>
      <c r="HB244" s="63"/>
      <c r="HC244" s="63"/>
      <c r="HD244" s="63"/>
      <c r="HE244" s="63"/>
      <c r="HF244" s="63"/>
      <c r="HG244" s="63"/>
      <c r="HH244" s="63"/>
      <c r="HI244" s="63"/>
      <c r="HJ244" s="63"/>
      <c r="HK244" s="63"/>
      <c r="HL244" s="63"/>
      <c r="HM244" s="63"/>
      <c r="HN244" s="63"/>
      <c r="HO244" s="63"/>
      <c r="HP244" s="63"/>
      <c r="HQ244" s="63"/>
      <c r="HR244" s="63"/>
      <c r="HS244" s="63"/>
      <c r="HT244" s="63"/>
      <c r="HU244" s="63"/>
      <c r="HV244" s="63"/>
      <c r="HW244" s="63"/>
      <c r="HX244" s="63"/>
      <c r="HY244" s="63"/>
      <c r="HZ244" s="63"/>
      <c r="IA244" s="63"/>
      <c r="IB244" s="63"/>
      <c r="IC244" s="63"/>
      <c r="ID244" s="63"/>
      <c r="IE244" s="63"/>
      <c r="IF244" s="63"/>
      <c r="IG244" s="63"/>
      <c r="IH244" s="63"/>
      <c r="II244" s="63"/>
      <c r="IJ244" s="63"/>
      <c r="IK244" s="63"/>
      <c r="IL244" s="63"/>
      <c r="IM244" s="63"/>
      <c r="IN244" s="63"/>
      <c r="IO244" s="63"/>
      <c r="IP244" s="63"/>
      <c r="IQ244" s="63"/>
      <c r="IR244" s="63"/>
      <c r="IS244" s="63"/>
      <c r="IT244" s="63"/>
      <c r="IU244" s="63"/>
      <c r="IV244" s="63"/>
    </row>
    <row r="245" spans="1:256" s="65" customFormat="1" ht="13.5" customHeight="1" hidden="1" outlineLevel="1">
      <c r="A245" s="214" t="s">
        <v>327</v>
      </c>
      <c r="B245" s="214">
        <v>2053</v>
      </c>
      <c r="C245" s="62"/>
      <c r="D245" s="66"/>
      <c r="E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c r="FC245" s="63"/>
      <c r="FD245" s="63"/>
      <c r="FE245" s="63"/>
      <c r="FF245" s="63"/>
      <c r="FG245" s="63"/>
      <c r="FH245" s="63"/>
      <c r="FI245" s="63"/>
      <c r="FJ245" s="63"/>
      <c r="FK245" s="63"/>
      <c r="FL245" s="63"/>
      <c r="FM245" s="63"/>
      <c r="FN245" s="63"/>
      <c r="FO245" s="63"/>
      <c r="FP245" s="63"/>
      <c r="FQ245" s="63"/>
      <c r="FR245" s="63"/>
      <c r="FS245" s="63"/>
      <c r="FT245" s="63"/>
      <c r="FU245" s="63"/>
      <c r="FV245" s="63"/>
      <c r="FW245" s="63"/>
      <c r="FX245" s="63"/>
      <c r="FY245" s="63"/>
      <c r="FZ245" s="63"/>
      <c r="GA245" s="63"/>
      <c r="GB245" s="63"/>
      <c r="GC245" s="63"/>
      <c r="GD245" s="63"/>
      <c r="GE245" s="63"/>
      <c r="GF245" s="63"/>
      <c r="GG245" s="63"/>
      <c r="GH245" s="63"/>
      <c r="GI245" s="63"/>
      <c r="GJ245" s="63"/>
      <c r="GK245" s="63"/>
      <c r="GL245" s="63"/>
      <c r="GM245" s="63"/>
      <c r="GN245" s="63"/>
      <c r="GO245" s="63"/>
      <c r="GP245" s="63"/>
      <c r="GQ245" s="63"/>
      <c r="GR245" s="63"/>
      <c r="GS245" s="63"/>
      <c r="GT245" s="63"/>
      <c r="GU245" s="63"/>
      <c r="GV245" s="63"/>
      <c r="GW245" s="63"/>
      <c r="GX245" s="63"/>
      <c r="GY245" s="63"/>
      <c r="GZ245" s="63"/>
      <c r="HA245" s="63"/>
      <c r="HB245" s="63"/>
      <c r="HC245" s="63"/>
      <c r="HD245" s="63"/>
      <c r="HE245" s="63"/>
      <c r="HF245" s="63"/>
      <c r="HG245" s="63"/>
      <c r="HH245" s="63"/>
      <c r="HI245" s="63"/>
      <c r="HJ245" s="63"/>
      <c r="HK245" s="63"/>
      <c r="HL245" s="63"/>
      <c r="HM245" s="63"/>
      <c r="HN245" s="63"/>
      <c r="HO245" s="63"/>
      <c r="HP245" s="63"/>
      <c r="HQ245" s="63"/>
      <c r="HR245" s="63"/>
      <c r="HS245" s="63"/>
      <c r="HT245" s="63"/>
      <c r="HU245" s="63"/>
      <c r="HV245" s="63"/>
      <c r="HW245" s="63"/>
      <c r="HX245" s="63"/>
      <c r="HY245" s="63"/>
      <c r="HZ245" s="63"/>
      <c r="IA245" s="63"/>
      <c r="IB245" s="63"/>
      <c r="IC245" s="63"/>
      <c r="ID245" s="63"/>
      <c r="IE245" s="63"/>
      <c r="IF245" s="63"/>
      <c r="IG245" s="63"/>
      <c r="IH245" s="63"/>
      <c r="II245" s="63"/>
      <c r="IJ245" s="63"/>
      <c r="IK245" s="63"/>
      <c r="IL245" s="63"/>
      <c r="IM245" s="63"/>
      <c r="IN245" s="63"/>
      <c r="IO245" s="63"/>
      <c r="IP245" s="63"/>
      <c r="IQ245" s="63"/>
      <c r="IR245" s="63"/>
      <c r="IS245" s="63"/>
      <c r="IT245" s="63"/>
      <c r="IU245" s="63"/>
      <c r="IV245" s="63"/>
    </row>
    <row r="246" spans="1:6" ht="13.5" customHeight="1" hidden="1" outlineLevel="1">
      <c r="A246" s="214" t="s">
        <v>165</v>
      </c>
      <c r="B246" s="214">
        <v>16083</v>
      </c>
      <c r="F246" s="65"/>
    </row>
    <row r="247" spans="1:6" ht="13.5" customHeight="1" hidden="1" outlineLevel="1">
      <c r="A247" s="214" t="s">
        <v>166</v>
      </c>
      <c r="B247" s="214">
        <v>2603</v>
      </c>
      <c r="F247" s="65"/>
    </row>
    <row r="248" spans="1:6" ht="13.5" customHeight="1" hidden="1" outlineLevel="1">
      <c r="A248" s="214" t="s">
        <v>167</v>
      </c>
      <c r="B248" s="214">
        <v>9475</v>
      </c>
      <c r="F248" s="65"/>
    </row>
    <row r="249" spans="1:6" ht="13.5" customHeight="1" collapsed="1">
      <c r="A249" s="215" t="s">
        <v>176</v>
      </c>
      <c r="B249" s="70">
        <f>SUM(B237:B248)</f>
        <v>248122.68</v>
      </c>
      <c r="F249" s="65"/>
    </row>
    <row r="250" spans="1:7" ht="13.5" customHeight="1">
      <c r="A250" s="71" t="s">
        <v>5</v>
      </c>
      <c r="C250" s="61">
        <f>B91+B93+B153+B171+B177+B183+B197+B211+B217+B223+B236+B249</f>
        <v>11566812.609999998</v>
      </c>
      <c r="F250" s="72"/>
      <c r="G250" s="72"/>
    </row>
    <row r="251" ht="13.5" customHeight="1">
      <c r="A251" s="71"/>
    </row>
    <row r="252" spans="1:8" ht="13.5" customHeight="1">
      <c r="A252" s="76"/>
      <c r="G252" s="72"/>
      <c r="H252" s="78"/>
    </row>
    <row r="253" spans="1:8" ht="13.5" customHeight="1">
      <c r="A253" s="74" t="s">
        <v>475</v>
      </c>
      <c r="F253" s="79"/>
      <c r="G253" s="80"/>
      <c r="H253" s="81"/>
    </row>
    <row r="254" spans="1:8" ht="13.5" customHeight="1">
      <c r="A254" s="63" t="s">
        <v>375</v>
      </c>
      <c r="B254" s="61">
        <f>'Obligations 17-19 at 06-30-18'!P133+'Obligations 17-19 at 06-30-18'!P161+'Obligations 17-19 at 06-30-18'!P175</f>
        <v>60070.15000000001</v>
      </c>
      <c r="G254" s="64"/>
      <c r="H254" s="78"/>
    </row>
    <row r="255" spans="1:8" ht="13.5" customHeight="1">
      <c r="A255" s="63" t="s">
        <v>376</v>
      </c>
      <c r="B255" s="61">
        <f>'Obligations 17-19 at 06-30-18'!P110</f>
        <v>293949.32</v>
      </c>
      <c r="G255" s="64"/>
      <c r="H255" s="78"/>
    </row>
    <row r="256" spans="1:8" ht="13.5" customHeight="1">
      <c r="A256" s="63" t="s">
        <v>377</v>
      </c>
      <c r="B256" s="61">
        <f>'Obligations 17-19 at 06-30-18'!P120</f>
        <v>1216934.46</v>
      </c>
      <c r="G256" s="64"/>
      <c r="H256" s="78"/>
    </row>
    <row r="257" spans="1:8" ht="13.5" customHeight="1">
      <c r="A257" s="63" t="s">
        <v>378</v>
      </c>
      <c r="B257" s="61">
        <f>'Obligations 17-19 at 06-30-18'!P78</f>
        <v>242396.76</v>
      </c>
      <c r="G257" s="64"/>
      <c r="H257" s="78"/>
    </row>
    <row r="258" spans="1:8" ht="13.5" customHeight="1">
      <c r="A258" s="63" t="s">
        <v>379</v>
      </c>
      <c r="B258" s="61">
        <f>'Obligations 17-19 at 06-30-18'!P96</f>
        <v>2043612.67</v>
      </c>
      <c r="G258" s="64"/>
      <c r="H258" s="78"/>
    </row>
    <row r="259" spans="1:8" ht="13.5" customHeight="1">
      <c r="A259" s="63" t="s">
        <v>380</v>
      </c>
      <c r="B259" s="61">
        <f>'Obligations 17-19 at 06-30-18'!P46</f>
        <v>11073.63</v>
      </c>
      <c r="G259" s="64"/>
      <c r="H259" s="78"/>
    </row>
    <row r="260" spans="1:8" ht="13.5" customHeight="1">
      <c r="A260" s="63" t="s">
        <v>498</v>
      </c>
      <c r="B260" s="61">
        <f>'Obligations 17-19 at 06-30-18'!P56</f>
        <v>93238.99</v>
      </c>
      <c r="G260" s="64"/>
      <c r="H260" s="78"/>
    </row>
    <row r="261" spans="1:8" ht="13.5" customHeight="1">
      <c r="A261" s="63" t="s">
        <v>381</v>
      </c>
      <c r="B261" s="61">
        <f>'Obligations 17-19 at 06-30-18'!P17</f>
        <v>19483.46</v>
      </c>
      <c r="G261" s="64"/>
      <c r="H261" s="78"/>
    </row>
    <row r="262" spans="1:8" ht="13.5" customHeight="1">
      <c r="A262" s="63" t="s">
        <v>499</v>
      </c>
      <c r="B262" s="61">
        <f>'Obligations 17-19 at 06-30-18'!P33</f>
        <v>175235.39</v>
      </c>
      <c r="G262" s="64"/>
      <c r="H262" s="78"/>
    </row>
    <row r="263" spans="1:8" ht="13.5" customHeight="1">
      <c r="A263" s="73" t="s">
        <v>451</v>
      </c>
      <c r="B263" s="60">
        <f>'PPC ECHO WX GMR 17-19'!B20</f>
        <v>0</v>
      </c>
      <c r="C263" s="220"/>
      <c r="D263" s="216"/>
      <c r="F263" s="79"/>
      <c r="G263" s="82"/>
      <c r="H263" s="78"/>
    </row>
    <row r="264" spans="1:7" ht="13.5" customHeight="1">
      <c r="A264" s="222" t="s">
        <v>178</v>
      </c>
      <c r="B264" s="218"/>
      <c r="C264" s="219">
        <f>SUM(B254:B263)</f>
        <v>4155994.83</v>
      </c>
      <c r="D264" s="77" t="s">
        <v>99</v>
      </c>
      <c r="E264" s="83"/>
      <c r="F264" s="84"/>
      <c r="G264" s="72"/>
    </row>
    <row r="265" spans="1:9" ht="13.5" customHeight="1">
      <c r="A265" s="76" t="s">
        <v>15</v>
      </c>
      <c r="B265" s="218"/>
      <c r="D265" s="66">
        <f>C250+C264</f>
        <v>15722807.439999998</v>
      </c>
      <c r="G265" s="98"/>
      <c r="H265" s="98"/>
      <c r="I265" s="98"/>
    </row>
    <row r="266" spans="2:9" ht="13.5" customHeight="1">
      <c r="B266" s="218"/>
      <c r="G266" s="98"/>
      <c r="H266" s="98"/>
      <c r="I266" s="98"/>
    </row>
    <row r="267" ht="13.5" customHeight="1">
      <c r="B267" s="59"/>
    </row>
    <row r="268" spans="1:4" ht="13.5" customHeight="1">
      <c r="A268" s="209" t="s">
        <v>524</v>
      </c>
      <c r="B268" s="210"/>
      <c r="C268" s="211"/>
      <c r="D268" s="217">
        <f>D6+C15-C250</f>
        <v>5119148.860000003</v>
      </c>
    </row>
    <row r="269" ht="13.5" customHeight="1"/>
    <row r="270" spans="1:4" ht="13.5" customHeight="1">
      <c r="A270" s="221" t="s">
        <v>525</v>
      </c>
      <c r="B270" s="210"/>
      <c r="C270" s="211"/>
      <c r="D270" s="217">
        <f>D6+C15-D265</f>
        <v>963154.030000003</v>
      </c>
    </row>
    <row r="272" spans="1:4" ht="13.5" thickBot="1">
      <c r="A272" s="209" t="s">
        <v>477</v>
      </c>
      <c r="B272" s="210"/>
      <c r="C272" s="211"/>
      <c r="D272" s="212">
        <f>D23-D265</f>
        <v>963154.030000003</v>
      </c>
    </row>
    <row r="273" ht="13.5" thickTop="1"/>
  </sheetData>
  <sheetProtection/>
  <mergeCells count="5">
    <mergeCell ref="A1:D1"/>
    <mergeCell ref="A2:D2"/>
    <mergeCell ref="A3:D3"/>
    <mergeCell ref="A9:D9"/>
    <mergeCell ref="A26:D26"/>
  </mergeCells>
  <printOptions/>
  <pageMargins left="0.7" right="0.7" top="0.75" bottom="0.75" header="0.3" footer="0.3"/>
  <pageSetup fitToHeight="1" fitToWidth="1" horizontalDpi="600" verticalDpi="600" orientation="portrait" scale="83" r:id="rId1"/>
  <ignoredErrors>
    <ignoredError sqref="D6 B11:B12 B18:B20 A19:A20 B153 B171 B177 B183 B197 B217 B236 C15:D23 D265:D272 C250 B223 B242 B244 B249 B91 B211 B263 B255:C262 B264:C264 C263 B93 A13:A14 B13:B14 A27 B254:C254" unlockedFormula="1"/>
  </ignoredErrors>
</worksheet>
</file>

<file path=xl/worksheets/sheet3.xml><?xml version="1.0" encoding="utf-8"?>
<worksheet xmlns="http://schemas.openxmlformats.org/spreadsheetml/2006/main" xmlns:r="http://schemas.openxmlformats.org/officeDocument/2006/relationships">
  <dimension ref="A1:W191"/>
  <sheetViews>
    <sheetView tabSelected="1" zoomScalePageLayoutView="0" workbookViewId="0" topLeftCell="A147">
      <pane xSplit="1" topLeftCell="I1" activePane="topRight" state="frozen"/>
      <selection pane="topLeft" activeCell="A147" sqref="A147"/>
      <selection pane="topRight" activeCell="U189" sqref="U189"/>
    </sheetView>
  </sheetViews>
  <sheetFormatPr defaultColWidth="9.33203125" defaultRowHeight="10.5" outlineLevelRow="1"/>
  <cols>
    <col min="1" max="1" width="54" style="315" customWidth="1"/>
    <col min="2" max="2" width="14.16015625" style="315" customWidth="1"/>
    <col min="3" max="4" width="14.83203125" style="315" bestFit="1" customWidth="1"/>
    <col min="5" max="6" width="14.16015625" style="315" customWidth="1"/>
    <col min="7" max="7" width="13.83203125" style="315" customWidth="1"/>
    <col min="8" max="8" width="14.16015625" style="315" customWidth="1"/>
    <col min="9" max="9" width="17" style="315" customWidth="1"/>
    <col min="10" max="11" width="12.66015625" style="315" bestFit="1" customWidth="1"/>
    <col min="12" max="12" width="14.83203125" style="315" bestFit="1" customWidth="1"/>
    <col min="13" max="13" width="12.66015625" style="315" bestFit="1" customWidth="1"/>
    <col min="14" max="14" width="16.16015625" style="315" customWidth="1"/>
    <col min="15" max="16" width="12.66015625" style="315" bestFit="1" customWidth="1"/>
    <col min="17" max="17" width="18.5" style="315" customWidth="1"/>
    <col min="18" max="20" width="12.66015625" style="315" bestFit="1" customWidth="1"/>
    <col min="21" max="21" width="16" style="315" bestFit="1" customWidth="1"/>
    <col min="22" max="22" width="13.5" style="315" bestFit="1" customWidth="1"/>
    <col min="23" max="23" width="12.33203125" style="315" bestFit="1" customWidth="1"/>
    <col min="24" max="16384" width="9.33203125" style="315" customWidth="1"/>
  </cols>
  <sheetData>
    <row r="1" spans="1:20" ht="11.25">
      <c r="A1" s="531" t="s">
        <v>391</v>
      </c>
      <c r="B1" s="531"/>
      <c r="C1" s="531"/>
      <c r="D1" s="531"/>
      <c r="E1" s="531"/>
      <c r="F1" s="531"/>
      <c r="G1" s="531"/>
      <c r="H1" s="531"/>
      <c r="I1" s="531"/>
      <c r="J1" s="531"/>
      <c r="K1" s="531"/>
      <c r="L1" s="531"/>
      <c r="M1" s="531"/>
      <c r="N1" s="531"/>
      <c r="O1" s="531"/>
      <c r="P1" s="531"/>
      <c r="Q1" s="531"/>
      <c r="R1" s="531"/>
      <c r="S1" s="531"/>
      <c r="T1" s="531"/>
    </row>
    <row r="2" spans="1:20" ht="11.25">
      <c r="A2" s="531" t="s">
        <v>392</v>
      </c>
      <c r="B2" s="531"/>
      <c r="C2" s="531"/>
      <c r="D2" s="531"/>
      <c r="E2" s="531"/>
      <c r="F2" s="531"/>
      <c r="G2" s="531"/>
      <c r="H2" s="531"/>
      <c r="I2" s="531"/>
      <c r="J2" s="531"/>
      <c r="K2" s="531"/>
      <c r="L2" s="531"/>
      <c r="M2" s="531"/>
      <c r="N2" s="531"/>
      <c r="O2" s="531"/>
      <c r="P2" s="531"/>
      <c r="Q2" s="531"/>
      <c r="R2" s="531"/>
      <c r="S2" s="531"/>
      <c r="T2" s="531"/>
    </row>
    <row r="3" spans="1:20" ht="11.25">
      <c r="A3" s="531" t="s">
        <v>393</v>
      </c>
      <c r="B3" s="531"/>
      <c r="C3" s="531"/>
      <c r="D3" s="531"/>
      <c r="E3" s="531"/>
      <c r="F3" s="531"/>
      <c r="G3" s="531"/>
      <c r="H3" s="531"/>
      <c r="I3" s="531"/>
      <c r="J3" s="531"/>
      <c r="K3" s="531"/>
      <c r="L3" s="531"/>
      <c r="M3" s="531"/>
      <c r="N3" s="531"/>
      <c r="O3" s="531"/>
      <c r="P3" s="531"/>
      <c r="Q3" s="531"/>
      <c r="R3" s="531"/>
      <c r="S3" s="531"/>
      <c r="T3" s="531"/>
    </row>
    <row r="4" spans="1:20" ht="11.25">
      <c r="A4" s="531" t="s">
        <v>531</v>
      </c>
      <c r="B4" s="531"/>
      <c r="C4" s="531"/>
      <c r="D4" s="531"/>
      <c r="E4" s="531"/>
      <c r="F4" s="531"/>
      <c r="G4" s="531"/>
      <c r="H4" s="531"/>
      <c r="I4" s="531"/>
      <c r="J4" s="531"/>
      <c r="K4" s="531"/>
      <c r="L4" s="531"/>
      <c r="M4" s="531"/>
      <c r="N4" s="531"/>
      <c r="O4" s="531"/>
      <c r="P4" s="531"/>
      <c r="Q4" s="531"/>
      <c r="R4" s="531"/>
      <c r="S4" s="531"/>
      <c r="T4" s="531"/>
    </row>
    <row r="5" ht="11.25">
      <c r="A5" s="351" t="s">
        <v>99</v>
      </c>
    </row>
    <row r="6" spans="1:21" ht="11.25">
      <c r="A6" s="351"/>
      <c r="B6" s="352" t="s">
        <v>99</v>
      </c>
      <c r="C6" s="542" t="s">
        <v>267</v>
      </c>
      <c r="D6" s="542"/>
      <c r="E6" s="542"/>
      <c r="F6" s="542"/>
      <c r="G6" s="542"/>
      <c r="H6" s="542" t="s">
        <v>386</v>
      </c>
      <c r="I6" s="542"/>
      <c r="J6" s="542"/>
      <c r="K6" s="542"/>
      <c r="L6" s="542"/>
      <c r="M6" s="542"/>
      <c r="N6" s="542"/>
      <c r="O6" s="542"/>
      <c r="P6" s="542"/>
      <c r="Q6" s="542"/>
      <c r="R6" s="542"/>
      <c r="S6" s="542"/>
      <c r="T6" s="542"/>
      <c r="U6" s="353" t="s">
        <v>99</v>
      </c>
    </row>
    <row r="7" spans="1:21" ht="11.25">
      <c r="A7" s="351"/>
      <c r="B7" s="354" t="s">
        <v>13</v>
      </c>
      <c r="C7" s="322" t="s">
        <v>36</v>
      </c>
      <c r="D7" s="355" t="s">
        <v>37</v>
      </c>
      <c r="E7" s="355" t="s">
        <v>31</v>
      </c>
      <c r="F7" s="355" t="s">
        <v>32</v>
      </c>
      <c r="G7" s="355" t="s">
        <v>38</v>
      </c>
      <c r="H7" s="356" t="s">
        <v>25</v>
      </c>
      <c r="I7" s="356" t="s">
        <v>26</v>
      </c>
      <c r="J7" s="357" t="s">
        <v>27</v>
      </c>
      <c r="K7" s="356" t="s">
        <v>28</v>
      </c>
      <c r="L7" s="356" t="s">
        <v>29</v>
      </c>
      <c r="M7" s="356" t="s">
        <v>40</v>
      </c>
      <c r="N7" s="356" t="s">
        <v>30</v>
      </c>
      <c r="O7" s="356" t="s">
        <v>31</v>
      </c>
      <c r="P7" s="356" t="s">
        <v>32</v>
      </c>
      <c r="Q7" s="356" t="s">
        <v>33</v>
      </c>
      <c r="R7" s="356" t="s">
        <v>41</v>
      </c>
      <c r="S7" s="356" t="s">
        <v>34</v>
      </c>
      <c r="T7" s="356" t="s">
        <v>35</v>
      </c>
      <c r="U7" s="358"/>
    </row>
    <row r="8" spans="2:21" ht="10.5" customHeight="1">
      <c r="B8" s="321" t="s">
        <v>75</v>
      </c>
      <c r="C8" s="322" t="s">
        <v>290</v>
      </c>
      <c r="D8" s="322" t="s">
        <v>289</v>
      </c>
      <c r="E8" s="322" t="s">
        <v>291</v>
      </c>
      <c r="F8" s="538" t="s">
        <v>292</v>
      </c>
      <c r="G8" s="359" t="s">
        <v>293</v>
      </c>
      <c r="H8" s="357" t="s">
        <v>294</v>
      </c>
      <c r="I8" s="535" t="s">
        <v>303</v>
      </c>
      <c r="J8" s="535" t="s">
        <v>300</v>
      </c>
      <c r="K8" s="357" t="s">
        <v>301</v>
      </c>
      <c r="L8" s="535" t="s">
        <v>295</v>
      </c>
      <c r="M8" s="357" t="s">
        <v>296</v>
      </c>
      <c r="N8" s="535" t="s">
        <v>302</v>
      </c>
      <c r="O8" s="357" t="s">
        <v>291</v>
      </c>
      <c r="P8" s="535" t="s">
        <v>292</v>
      </c>
      <c r="Q8" s="535" t="s">
        <v>304</v>
      </c>
      <c r="R8" s="535" t="s">
        <v>297</v>
      </c>
      <c r="S8" s="357" t="s">
        <v>298</v>
      </c>
      <c r="T8" s="535" t="s">
        <v>299</v>
      </c>
      <c r="U8" s="321" t="s">
        <v>118</v>
      </c>
    </row>
    <row r="9" spans="2:21" ht="11.25">
      <c r="B9" s="360"/>
      <c r="C9" s="361"/>
      <c r="D9" s="361"/>
      <c r="E9" s="361"/>
      <c r="F9" s="539"/>
      <c r="G9" s="325"/>
      <c r="H9" s="326"/>
      <c r="I9" s="536"/>
      <c r="J9" s="536"/>
      <c r="K9" s="326"/>
      <c r="L9" s="536"/>
      <c r="M9" s="326"/>
      <c r="N9" s="536"/>
      <c r="O9" s="326"/>
      <c r="P9" s="536"/>
      <c r="Q9" s="536"/>
      <c r="R9" s="536"/>
      <c r="S9" s="326"/>
      <c r="T9" s="536"/>
      <c r="U9" s="360"/>
    </row>
    <row r="10" spans="1:21" ht="11.25">
      <c r="A10" s="163" t="s">
        <v>394</v>
      </c>
      <c r="B10" s="349"/>
      <c r="C10" s="362"/>
      <c r="D10" s="362"/>
      <c r="E10" s="362"/>
      <c r="F10" s="362"/>
      <c r="G10" s="362"/>
      <c r="H10" s="334"/>
      <c r="I10" s="334"/>
      <c r="J10" s="334"/>
      <c r="K10" s="334"/>
      <c r="L10" s="334"/>
      <c r="M10" s="334"/>
      <c r="N10" s="334"/>
      <c r="O10" s="334"/>
      <c r="P10" s="334"/>
      <c r="Q10" s="334"/>
      <c r="R10" s="334"/>
      <c r="S10" s="334"/>
      <c r="T10" s="334"/>
      <c r="U10" s="349">
        <f>8075.9+6393183.25+229156.68</f>
        <v>6630415.83</v>
      </c>
    </row>
    <row r="11" spans="2:21" ht="11.25">
      <c r="B11" s="349"/>
      <c r="C11" s="362"/>
      <c r="D11" s="362"/>
      <c r="E11" s="362"/>
      <c r="F11" s="362"/>
      <c r="G11" s="362"/>
      <c r="H11" s="334"/>
      <c r="I11" s="334"/>
      <c r="J11" s="334"/>
      <c r="K11" s="334"/>
      <c r="L11" s="334"/>
      <c r="M11" s="334"/>
      <c r="N11" s="334"/>
      <c r="O11" s="334"/>
      <c r="P11" s="334"/>
      <c r="Q11" s="334"/>
      <c r="R11" s="334"/>
      <c r="S11" s="334"/>
      <c r="T11" s="334"/>
      <c r="U11" s="349"/>
    </row>
    <row r="12" spans="1:21" ht="11.25">
      <c r="A12" s="163" t="s">
        <v>384</v>
      </c>
      <c r="B12" s="349"/>
      <c r="C12" s="362"/>
      <c r="D12" s="362"/>
      <c r="E12" s="362"/>
      <c r="F12" s="362"/>
      <c r="G12" s="362"/>
      <c r="H12" s="334"/>
      <c r="I12" s="334"/>
      <c r="J12" s="334"/>
      <c r="K12" s="334"/>
      <c r="L12" s="334"/>
      <c r="M12" s="334"/>
      <c r="N12" s="334"/>
      <c r="O12" s="334"/>
      <c r="P12" s="334"/>
      <c r="Q12" s="334"/>
      <c r="R12" s="334"/>
      <c r="S12" s="334"/>
      <c r="T12" s="334"/>
      <c r="U12" s="349"/>
    </row>
    <row r="13" spans="1:21" ht="12" customHeight="1">
      <c r="A13" s="363" t="s">
        <v>267</v>
      </c>
      <c r="B13" s="349"/>
      <c r="C13" s="362"/>
      <c r="D13" s="362"/>
      <c r="E13" s="362"/>
      <c r="F13" s="362"/>
      <c r="G13" s="362"/>
      <c r="H13" s="334"/>
      <c r="I13" s="334"/>
      <c r="J13" s="334"/>
      <c r="K13" s="334"/>
      <c r="L13" s="334"/>
      <c r="M13" s="334"/>
      <c r="N13" s="334"/>
      <c r="O13" s="334"/>
      <c r="P13" s="334"/>
      <c r="Q13" s="334"/>
      <c r="R13" s="334"/>
      <c r="S13" s="334"/>
      <c r="T13" s="334"/>
      <c r="U13" s="349">
        <v>10106547.47</v>
      </c>
    </row>
    <row r="14" spans="1:21" ht="11.25">
      <c r="A14" s="363" t="s">
        <v>386</v>
      </c>
      <c r="B14" s="349"/>
      <c r="C14" s="362"/>
      <c r="D14" s="362"/>
      <c r="E14" s="362"/>
      <c r="F14" s="362"/>
      <c r="G14" s="362"/>
      <c r="H14" s="334"/>
      <c r="I14" s="334"/>
      <c r="J14" s="334"/>
      <c r="K14" s="334"/>
      <c r="L14" s="334"/>
      <c r="M14" s="334"/>
      <c r="N14" s="334"/>
      <c r="O14" s="334"/>
      <c r="P14" s="334"/>
      <c r="Q14" s="334"/>
      <c r="R14" s="334"/>
      <c r="S14" s="334"/>
      <c r="T14" s="334"/>
      <c r="U14" s="349">
        <v>6397049.05</v>
      </c>
    </row>
    <row r="15" spans="1:21" ht="11.25">
      <c r="A15" s="363" t="s">
        <v>395</v>
      </c>
      <c r="B15" s="349"/>
      <c r="C15" s="362"/>
      <c r="D15" s="362"/>
      <c r="E15" s="362"/>
      <c r="F15" s="362"/>
      <c r="G15" s="362"/>
      <c r="H15" s="334"/>
      <c r="I15" s="334"/>
      <c r="J15" s="334"/>
      <c r="K15" s="334"/>
      <c r="L15" s="334"/>
      <c r="M15" s="334"/>
      <c r="N15" s="334"/>
      <c r="O15" s="334"/>
      <c r="P15" s="334"/>
      <c r="Q15" s="334"/>
      <c r="R15" s="334"/>
      <c r="S15" s="334"/>
      <c r="T15" s="334"/>
      <c r="U15" s="349">
        <v>109952.02</v>
      </c>
    </row>
    <row r="16" spans="1:21" ht="11.25">
      <c r="A16" s="364" t="s">
        <v>396</v>
      </c>
      <c r="B16" s="365"/>
      <c r="C16" s="366"/>
      <c r="D16" s="366"/>
      <c r="E16" s="366"/>
      <c r="F16" s="366"/>
      <c r="G16" s="366"/>
      <c r="H16" s="367"/>
      <c r="I16" s="367"/>
      <c r="J16" s="367"/>
      <c r="K16" s="367"/>
      <c r="L16" s="367"/>
      <c r="M16" s="367"/>
      <c r="N16" s="367"/>
      <c r="O16" s="367"/>
      <c r="P16" s="367"/>
      <c r="Q16" s="367"/>
      <c r="R16" s="367"/>
      <c r="S16" s="367"/>
      <c r="T16" s="367"/>
      <c r="U16" s="365">
        <v>-120000</v>
      </c>
    </row>
    <row r="17" spans="2:21" ht="11.25">
      <c r="B17" s="349"/>
      <c r="C17" s="362"/>
      <c r="D17" s="362"/>
      <c r="E17" s="362"/>
      <c r="F17" s="362"/>
      <c r="G17" s="362"/>
      <c r="H17" s="334"/>
      <c r="I17" s="334"/>
      <c r="J17" s="334"/>
      <c r="K17" s="334"/>
      <c r="L17" s="334"/>
      <c r="M17" s="334"/>
      <c r="N17" s="334"/>
      <c r="O17" s="334"/>
      <c r="P17" s="334"/>
      <c r="Q17" s="334"/>
      <c r="R17" s="334"/>
      <c r="S17" s="334"/>
      <c r="T17" s="334"/>
      <c r="U17" s="349"/>
    </row>
    <row r="18" spans="1:21" ht="11.25">
      <c r="A18" s="163" t="s">
        <v>7</v>
      </c>
      <c r="B18" s="349"/>
      <c r="C18" s="362"/>
      <c r="D18" s="362"/>
      <c r="E18" s="362"/>
      <c r="F18" s="362"/>
      <c r="G18" s="362"/>
      <c r="H18" s="334"/>
      <c r="I18" s="334"/>
      <c r="J18" s="334"/>
      <c r="K18" s="334"/>
      <c r="L18" s="334"/>
      <c r="M18" s="334"/>
      <c r="N18" s="334"/>
      <c r="O18" s="334"/>
      <c r="P18" s="334"/>
      <c r="Q18" s="334"/>
      <c r="R18" s="334"/>
      <c r="S18" s="334"/>
      <c r="T18" s="334"/>
      <c r="U18" s="349">
        <f>SUM(U13:U16)</f>
        <v>16493548.54</v>
      </c>
    </row>
    <row r="19" spans="2:21" ht="11.25">
      <c r="B19" s="349"/>
      <c r="C19" s="362"/>
      <c r="D19" s="362"/>
      <c r="E19" s="362"/>
      <c r="F19" s="362"/>
      <c r="G19" s="362"/>
      <c r="H19" s="334"/>
      <c r="I19" s="334"/>
      <c r="J19" s="334"/>
      <c r="K19" s="334"/>
      <c r="L19" s="334"/>
      <c r="M19" s="334"/>
      <c r="N19" s="334"/>
      <c r="O19" s="334"/>
      <c r="P19" s="334"/>
      <c r="Q19" s="334"/>
      <c r="R19" s="334"/>
      <c r="S19" s="334"/>
      <c r="T19" s="334"/>
      <c r="U19" s="349"/>
    </row>
    <row r="20" spans="1:21" ht="11.25">
      <c r="A20" s="163" t="s">
        <v>89</v>
      </c>
      <c r="B20" s="349"/>
      <c r="C20" s="362"/>
      <c r="D20" s="362"/>
      <c r="E20" s="362"/>
      <c r="F20" s="362"/>
      <c r="G20" s="362"/>
      <c r="H20" s="334"/>
      <c r="I20" s="334"/>
      <c r="J20" s="334"/>
      <c r="K20" s="334"/>
      <c r="L20" s="334"/>
      <c r="M20" s="334"/>
      <c r="N20" s="334"/>
      <c r="O20" s="334"/>
      <c r="P20" s="334"/>
      <c r="Q20" s="334"/>
      <c r="R20" s="334"/>
      <c r="S20" s="334"/>
      <c r="T20" s="334"/>
      <c r="U20" s="349"/>
    </row>
    <row r="21" spans="1:21" ht="11.25" hidden="1" outlineLevel="1">
      <c r="A21" s="315" t="s">
        <v>124</v>
      </c>
      <c r="B21" s="368">
        <f>235611.15-21.21</f>
        <v>235589.94</v>
      </c>
      <c r="C21" s="369"/>
      <c r="D21" s="369"/>
      <c r="E21" s="369"/>
      <c r="F21" s="369"/>
      <c r="G21" s="369"/>
      <c r="H21" s="370"/>
      <c r="I21" s="370"/>
      <c r="J21" s="370"/>
      <c r="K21" s="370"/>
      <c r="L21" s="370"/>
      <c r="M21" s="370"/>
      <c r="N21" s="370"/>
      <c r="O21" s="370"/>
      <c r="P21" s="370"/>
      <c r="Q21" s="370"/>
      <c r="R21" s="370"/>
      <c r="S21" s="370"/>
      <c r="T21" s="370"/>
      <c r="U21" s="349">
        <f>SUM(B21:T21)</f>
        <v>235589.94</v>
      </c>
    </row>
    <row r="22" spans="1:21" ht="11.25" hidden="1" outlineLevel="1">
      <c r="A22" s="315" t="s">
        <v>39</v>
      </c>
      <c r="B22" s="368">
        <f>87062+22260+1670</f>
        <v>110992</v>
      </c>
      <c r="C22" s="369"/>
      <c r="D22" s="369"/>
      <c r="E22" s="369"/>
      <c r="F22" s="369"/>
      <c r="G22" s="369"/>
      <c r="H22" s="370"/>
      <c r="I22" s="370"/>
      <c r="J22" s="370"/>
      <c r="K22" s="370"/>
      <c r="L22" s="370"/>
      <c r="M22" s="370"/>
      <c r="N22" s="370"/>
      <c r="O22" s="370"/>
      <c r="P22" s="370"/>
      <c r="Q22" s="370"/>
      <c r="R22" s="370"/>
      <c r="S22" s="370"/>
      <c r="T22" s="370"/>
      <c r="U22" s="349">
        <f aca="true" t="shared" si="0" ref="U22:U34">SUM(B22:T22)</f>
        <v>110992</v>
      </c>
    </row>
    <row r="23" spans="1:21" ht="11.25" collapsed="1">
      <c r="A23" s="363" t="s">
        <v>397</v>
      </c>
      <c r="B23" s="368">
        <f>SUM(B21:B22)</f>
        <v>346581.94</v>
      </c>
      <c r="C23" s="369"/>
      <c r="D23" s="369"/>
      <c r="E23" s="369"/>
      <c r="F23" s="369"/>
      <c r="G23" s="369"/>
      <c r="H23" s="370"/>
      <c r="I23" s="370"/>
      <c r="J23" s="370"/>
      <c r="K23" s="370"/>
      <c r="L23" s="370"/>
      <c r="M23" s="370"/>
      <c r="N23" s="370"/>
      <c r="O23" s="370"/>
      <c r="P23" s="370"/>
      <c r="Q23" s="370"/>
      <c r="R23" s="370"/>
      <c r="S23" s="370"/>
      <c r="T23" s="370"/>
      <c r="U23" s="349">
        <f t="shared" si="0"/>
        <v>346581.94</v>
      </c>
    </row>
    <row r="24" spans="1:21" ht="11.25" hidden="1" outlineLevel="1">
      <c r="A24" s="315" t="s">
        <v>398</v>
      </c>
      <c r="B24" s="368">
        <f>80429.36+1431.26+3.94</f>
        <v>81864.56</v>
      </c>
      <c r="C24" s="369"/>
      <c r="D24" s="369"/>
      <c r="E24" s="369"/>
      <c r="F24" s="369"/>
      <c r="G24" s="369"/>
      <c r="H24" s="370"/>
      <c r="I24" s="370"/>
      <c r="J24" s="370"/>
      <c r="K24" s="370"/>
      <c r="L24" s="370"/>
      <c r="M24" s="370"/>
      <c r="N24" s="370"/>
      <c r="O24" s="370"/>
      <c r="P24" s="370"/>
      <c r="Q24" s="370"/>
      <c r="R24" s="370"/>
      <c r="S24" s="370"/>
      <c r="T24" s="370"/>
      <c r="U24" s="349">
        <f t="shared" si="0"/>
        <v>81864.56</v>
      </c>
    </row>
    <row r="25" spans="1:21" ht="11.25" hidden="1" outlineLevel="1">
      <c r="A25" s="315" t="s">
        <v>399</v>
      </c>
      <c r="B25" s="368">
        <f>3498+487</f>
        <v>3985</v>
      </c>
      <c r="C25" s="369"/>
      <c r="D25" s="369"/>
      <c r="E25" s="369"/>
      <c r="F25" s="369"/>
      <c r="G25" s="369"/>
      <c r="H25" s="370"/>
      <c r="I25" s="370"/>
      <c r="J25" s="370"/>
      <c r="K25" s="370"/>
      <c r="L25" s="370"/>
      <c r="M25" s="370"/>
      <c r="N25" s="370"/>
      <c r="O25" s="370"/>
      <c r="P25" s="370"/>
      <c r="Q25" s="370"/>
      <c r="R25" s="370"/>
      <c r="S25" s="370"/>
      <c r="T25" s="370"/>
      <c r="U25" s="349">
        <f t="shared" si="0"/>
        <v>3985</v>
      </c>
    </row>
    <row r="26" spans="1:21" ht="11.25" hidden="1" outlineLevel="1">
      <c r="A26" s="315" t="s">
        <v>400</v>
      </c>
      <c r="B26" s="368">
        <v>896038</v>
      </c>
      <c r="C26" s="369"/>
      <c r="D26" s="369"/>
      <c r="E26" s="369"/>
      <c r="F26" s="369"/>
      <c r="G26" s="369"/>
      <c r="H26" s="370"/>
      <c r="I26" s="370"/>
      <c r="J26" s="370"/>
      <c r="K26" s="370"/>
      <c r="L26" s="370"/>
      <c r="M26" s="370"/>
      <c r="N26" s="370"/>
      <c r="O26" s="370"/>
      <c r="P26" s="370"/>
      <c r="Q26" s="370"/>
      <c r="R26" s="370"/>
      <c r="S26" s="370"/>
      <c r="T26" s="370"/>
      <c r="U26" s="349">
        <f t="shared" si="0"/>
        <v>896038</v>
      </c>
    </row>
    <row r="27" spans="1:21" ht="11.25" collapsed="1">
      <c r="A27" s="363" t="s">
        <v>401</v>
      </c>
      <c r="B27" s="368">
        <f>SUM(B24:B26)</f>
        <v>981887.56</v>
      </c>
      <c r="C27" s="369"/>
      <c r="D27" s="369"/>
      <c r="E27" s="369"/>
      <c r="F27" s="369"/>
      <c r="G27" s="369"/>
      <c r="H27" s="370"/>
      <c r="I27" s="370"/>
      <c r="J27" s="370"/>
      <c r="K27" s="370"/>
      <c r="L27" s="370"/>
      <c r="M27" s="370"/>
      <c r="N27" s="370"/>
      <c r="O27" s="370"/>
      <c r="P27" s="370"/>
      <c r="Q27" s="370"/>
      <c r="R27" s="370"/>
      <c r="S27" s="370"/>
      <c r="T27" s="370"/>
      <c r="U27" s="349">
        <f t="shared" si="0"/>
        <v>981887.56</v>
      </c>
    </row>
    <row r="28" spans="1:21" ht="11.25" hidden="1" outlineLevel="1">
      <c r="A28" s="315" t="s">
        <v>387</v>
      </c>
      <c r="B28" s="368"/>
      <c r="C28" s="369">
        <v>139424</v>
      </c>
      <c r="D28" s="369">
        <v>320076.61</v>
      </c>
      <c r="E28" s="369">
        <v>182180</v>
      </c>
      <c r="F28" s="369">
        <v>79783</v>
      </c>
      <c r="G28" s="369">
        <v>21184</v>
      </c>
      <c r="H28" s="370">
        <v>50167</v>
      </c>
      <c r="I28" s="370">
        <v>25444.09</v>
      </c>
      <c r="J28" s="370">
        <v>35795</v>
      </c>
      <c r="K28" s="370">
        <v>2000</v>
      </c>
      <c r="L28" s="370">
        <v>75323</v>
      </c>
      <c r="M28" s="370">
        <v>3369</v>
      </c>
      <c r="N28" s="370">
        <v>4401</v>
      </c>
      <c r="O28" s="370">
        <v>12133</v>
      </c>
      <c r="P28" s="370">
        <v>43187</v>
      </c>
      <c r="Q28" s="370">
        <v>34153</v>
      </c>
      <c r="R28" s="370">
        <v>26597</v>
      </c>
      <c r="S28" s="370">
        <v>18153</v>
      </c>
      <c r="T28" s="370">
        <v>70397</v>
      </c>
      <c r="U28" s="349">
        <f t="shared" si="0"/>
        <v>1143766.7</v>
      </c>
    </row>
    <row r="29" spans="1:21" ht="11.25" hidden="1" outlineLevel="1">
      <c r="A29" s="315" t="s">
        <v>388</v>
      </c>
      <c r="B29" s="368"/>
      <c r="C29" s="369">
        <v>26567</v>
      </c>
      <c r="D29" s="369">
        <v>28321.06</v>
      </c>
      <c r="E29" s="369">
        <v>2156</v>
      </c>
      <c r="F29" s="369">
        <v>9369</v>
      </c>
      <c r="G29" s="369">
        <v>2075</v>
      </c>
      <c r="H29" s="370">
        <v>8427</v>
      </c>
      <c r="I29" s="370"/>
      <c r="J29" s="370">
        <v>6297</v>
      </c>
      <c r="K29" s="370">
        <v>4520</v>
      </c>
      <c r="L29" s="370">
        <v>22932</v>
      </c>
      <c r="M29" s="370"/>
      <c r="N29" s="370">
        <v>1548</v>
      </c>
      <c r="O29" s="370">
        <v>2057</v>
      </c>
      <c r="P29" s="370">
        <v>4976</v>
      </c>
      <c r="Q29" s="370">
        <v>2516</v>
      </c>
      <c r="R29" s="370"/>
      <c r="S29" s="370">
        <v>7424</v>
      </c>
      <c r="T29" s="370">
        <v>897</v>
      </c>
      <c r="U29" s="349">
        <f t="shared" si="0"/>
        <v>130082.06</v>
      </c>
    </row>
    <row r="30" spans="1:21" ht="11.25" collapsed="1">
      <c r="A30" s="363" t="s">
        <v>402</v>
      </c>
      <c r="B30" s="368"/>
      <c r="C30" s="369">
        <f>SUM(C28:C29)</f>
        <v>165991</v>
      </c>
      <c r="D30" s="369">
        <f>SUM(D28:D29)</f>
        <v>348397.67</v>
      </c>
      <c r="E30" s="369">
        <f>SUM(E28:E29)</f>
        <v>184336</v>
      </c>
      <c r="F30" s="369">
        <f>SUM(F28:F29)</f>
        <v>89152</v>
      </c>
      <c r="G30" s="369">
        <f>SUM(G28:G29)</f>
        <v>23259</v>
      </c>
      <c r="H30" s="370">
        <f>SUM(H28:H29)</f>
        <v>58594</v>
      </c>
      <c r="I30" s="370">
        <f aca="true" t="shared" si="1" ref="I30:T30">SUM(I28:I29)</f>
        <v>25444.09</v>
      </c>
      <c r="J30" s="370">
        <f t="shared" si="1"/>
        <v>42092</v>
      </c>
      <c r="K30" s="370">
        <f t="shared" si="1"/>
        <v>6520</v>
      </c>
      <c r="L30" s="370">
        <f t="shared" si="1"/>
        <v>98255</v>
      </c>
      <c r="M30" s="370">
        <f t="shared" si="1"/>
        <v>3369</v>
      </c>
      <c r="N30" s="370">
        <f t="shared" si="1"/>
        <v>5949</v>
      </c>
      <c r="O30" s="370">
        <f t="shared" si="1"/>
        <v>14190</v>
      </c>
      <c r="P30" s="370">
        <f t="shared" si="1"/>
        <v>48163</v>
      </c>
      <c r="Q30" s="370">
        <f t="shared" si="1"/>
        <v>36669</v>
      </c>
      <c r="R30" s="370">
        <f t="shared" si="1"/>
        <v>26597</v>
      </c>
      <c r="S30" s="370">
        <f t="shared" si="1"/>
        <v>25577</v>
      </c>
      <c r="T30" s="370">
        <f t="shared" si="1"/>
        <v>71294</v>
      </c>
      <c r="U30" s="349">
        <f t="shared" si="0"/>
        <v>1273848.7599999998</v>
      </c>
    </row>
    <row r="31" spans="1:21" ht="11.25">
      <c r="A31" s="363" t="s">
        <v>403</v>
      </c>
      <c r="B31" s="368"/>
      <c r="C31" s="369">
        <v>20669</v>
      </c>
      <c r="D31" s="369">
        <v>17879.06</v>
      </c>
      <c r="E31" s="369">
        <v>17920</v>
      </c>
      <c r="F31" s="369">
        <v>10579</v>
      </c>
      <c r="G31" s="369">
        <v>395</v>
      </c>
      <c r="H31" s="370">
        <v>4814</v>
      </c>
      <c r="I31" s="370">
        <v>318.63</v>
      </c>
      <c r="J31" s="370">
        <v>10536</v>
      </c>
      <c r="K31" s="370">
        <v>209</v>
      </c>
      <c r="L31" s="370">
        <v>1962</v>
      </c>
      <c r="M31" s="370">
        <v>904</v>
      </c>
      <c r="N31" s="370">
        <v>290</v>
      </c>
      <c r="O31" s="370">
        <v>0</v>
      </c>
      <c r="P31" s="370">
        <v>6311</v>
      </c>
      <c r="Q31" s="370">
        <v>3662</v>
      </c>
      <c r="R31" s="370">
        <v>0</v>
      </c>
      <c r="S31" s="370">
        <v>4401</v>
      </c>
      <c r="T31" s="370">
        <v>6366</v>
      </c>
      <c r="U31" s="349">
        <f t="shared" si="0"/>
        <v>107215.69</v>
      </c>
    </row>
    <row r="32" spans="1:21" ht="11.25" hidden="1" outlineLevel="1">
      <c r="A32" s="315" t="s">
        <v>404</v>
      </c>
      <c r="B32" s="368"/>
      <c r="C32" s="369">
        <v>1336650</v>
      </c>
      <c r="D32" s="369">
        <v>3180197.61</v>
      </c>
      <c r="E32" s="369">
        <v>2130828</v>
      </c>
      <c r="F32" s="369">
        <v>990474</v>
      </c>
      <c r="G32" s="369">
        <v>199899</v>
      </c>
      <c r="H32" s="370">
        <v>890794</v>
      </c>
      <c r="I32" s="370">
        <v>239950.25</v>
      </c>
      <c r="J32" s="370">
        <v>448213</v>
      </c>
      <c r="K32" s="370">
        <v>38512</v>
      </c>
      <c r="L32" s="370">
        <v>596757</v>
      </c>
      <c r="M32" s="370">
        <v>41361</v>
      </c>
      <c r="N32" s="370">
        <v>53638.83</v>
      </c>
      <c r="O32" s="370">
        <v>208766</v>
      </c>
      <c r="P32" s="370">
        <v>425612</v>
      </c>
      <c r="Q32" s="370">
        <v>432407</v>
      </c>
      <c r="R32" s="370">
        <v>278396</v>
      </c>
      <c r="S32" s="370">
        <v>216315</v>
      </c>
      <c r="T32" s="370">
        <v>603090</v>
      </c>
      <c r="U32" s="349">
        <f t="shared" si="0"/>
        <v>12311860.69</v>
      </c>
    </row>
    <row r="33" spans="1:21" ht="11.25" hidden="1" outlineLevel="1">
      <c r="A33" s="315" t="s">
        <v>405</v>
      </c>
      <c r="B33" s="368"/>
      <c r="C33" s="369">
        <v>299178</v>
      </c>
      <c r="D33" s="369">
        <v>130050.71</v>
      </c>
      <c r="E33" s="369">
        <v>1046</v>
      </c>
      <c r="F33" s="369">
        <v>65600</v>
      </c>
      <c r="G33" s="369">
        <v>39523</v>
      </c>
      <c r="H33" s="370">
        <v>119795</v>
      </c>
      <c r="I33" s="370">
        <v>4197.36</v>
      </c>
      <c r="J33" s="370">
        <v>71293</v>
      </c>
      <c r="K33" s="370">
        <v>25309</v>
      </c>
      <c r="L33" s="370">
        <v>104262</v>
      </c>
      <c r="M33" s="370"/>
      <c r="N33" s="370">
        <v>9109.12</v>
      </c>
      <c r="O33" s="370">
        <v>13369</v>
      </c>
      <c r="P33" s="370">
        <v>29215</v>
      </c>
      <c r="Q33" s="370">
        <v>20965</v>
      </c>
      <c r="R33" s="370"/>
      <c r="S33" s="370">
        <v>66816</v>
      </c>
      <c r="T33" s="370">
        <v>35162</v>
      </c>
      <c r="U33" s="349">
        <f t="shared" si="0"/>
        <v>1034890.19</v>
      </c>
    </row>
    <row r="34" spans="1:21" ht="11.25" collapsed="1">
      <c r="A34" s="363" t="s">
        <v>406</v>
      </c>
      <c r="B34" s="349"/>
      <c r="C34" s="362">
        <f>SUM(C32:C33)</f>
        <v>1635828</v>
      </c>
      <c r="D34" s="362">
        <f>SUM(D32:D33)</f>
        <v>3310248.32</v>
      </c>
      <c r="E34" s="362">
        <f>SUM(E32:E33)</f>
        <v>2131874</v>
      </c>
      <c r="F34" s="362">
        <f>SUM(F32:F33)</f>
        <v>1056074</v>
      </c>
      <c r="G34" s="362">
        <f>SUM(G32:G33)</f>
        <v>239422</v>
      </c>
      <c r="H34" s="334">
        <f>SUM(H32:H33)</f>
        <v>1010589</v>
      </c>
      <c r="I34" s="334">
        <f aca="true" t="shared" si="2" ref="I34:T34">SUM(I32:I33)</f>
        <v>244147.61</v>
      </c>
      <c r="J34" s="334">
        <f t="shared" si="2"/>
        <v>519506</v>
      </c>
      <c r="K34" s="334">
        <f t="shared" si="2"/>
        <v>63821</v>
      </c>
      <c r="L34" s="334">
        <f t="shared" si="2"/>
        <v>701019</v>
      </c>
      <c r="M34" s="334">
        <f t="shared" si="2"/>
        <v>41361</v>
      </c>
      <c r="N34" s="334">
        <f t="shared" si="2"/>
        <v>62747.950000000004</v>
      </c>
      <c r="O34" s="334">
        <f t="shared" si="2"/>
        <v>222135</v>
      </c>
      <c r="P34" s="334">
        <f t="shared" si="2"/>
        <v>454827</v>
      </c>
      <c r="Q34" s="334">
        <f t="shared" si="2"/>
        <v>453372</v>
      </c>
      <c r="R34" s="334">
        <f t="shared" si="2"/>
        <v>278396</v>
      </c>
      <c r="S34" s="334">
        <f t="shared" si="2"/>
        <v>283131</v>
      </c>
      <c r="T34" s="334">
        <f t="shared" si="2"/>
        <v>638252</v>
      </c>
      <c r="U34" s="349">
        <f t="shared" si="0"/>
        <v>13346750.879999999</v>
      </c>
    </row>
    <row r="35" spans="1:21" ht="11.25">
      <c r="A35" s="363"/>
      <c r="B35" s="349"/>
      <c r="C35" s="362"/>
      <c r="D35" s="362"/>
      <c r="E35" s="362"/>
      <c r="F35" s="362"/>
      <c r="G35" s="362"/>
      <c r="H35" s="334"/>
      <c r="I35" s="334"/>
      <c r="J35" s="334"/>
      <c r="K35" s="334"/>
      <c r="L35" s="334"/>
      <c r="M35" s="334"/>
      <c r="N35" s="334"/>
      <c r="O35" s="334"/>
      <c r="P35" s="334"/>
      <c r="Q35" s="334"/>
      <c r="R35" s="334"/>
      <c r="S35" s="334"/>
      <c r="T35" s="334"/>
      <c r="U35" s="371"/>
    </row>
    <row r="36" spans="1:21" ht="11.25">
      <c r="A36" s="372" t="s">
        <v>8</v>
      </c>
      <c r="B36" s="373">
        <f>B23+B27+B30+B31+B34</f>
        <v>1328469.5</v>
      </c>
      <c r="C36" s="374">
        <f aca="true" t="shared" si="3" ref="C36:T36">C30+C31+C34</f>
        <v>1822488</v>
      </c>
      <c r="D36" s="374">
        <f t="shared" si="3"/>
        <v>3676525.05</v>
      </c>
      <c r="E36" s="374">
        <f t="shared" si="3"/>
        <v>2334130</v>
      </c>
      <c r="F36" s="374">
        <f t="shared" si="3"/>
        <v>1155805</v>
      </c>
      <c r="G36" s="374">
        <f t="shared" si="3"/>
        <v>263076</v>
      </c>
      <c r="H36" s="375">
        <f t="shared" si="3"/>
        <v>1073997</v>
      </c>
      <c r="I36" s="375">
        <f t="shared" si="3"/>
        <v>269910.32999999996</v>
      </c>
      <c r="J36" s="375">
        <f t="shared" si="3"/>
        <v>572134</v>
      </c>
      <c r="K36" s="375">
        <f t="shared" si="3"/>
        <v>70550</v>
      </c>
      <c r="L36" s="375">
        <f t="shared" si="3"/>
        <v>801236</v>
      </c>
      <c r="M36" s="375">
        <f t="shared" si="3"/>
        <v>45634</v>
      </c>
      <c r="N36" s="375">
        <f t="shared" si="3"/>
        <v>68986.95000000001</v>
      </c>
      <c r="O36" s="375">
        <f t="shared" si="3"/>
        <v>236325</v>
      </c>
      <c r="P36" s="375">
        <f t="shared" si="3"/>
        <v>509301</v>
      </c>
      <c r="Q36" s="375">
        <f t="shared" si="3"/>
        <v>493703</v>
      </c>
      <c r="R36" s="375">
        <f t="shared" si="3"/>
        <v>304993</v>
      </c>
      <c r="S36" s="375">
        <f t="shared" si="3"/>
        <v>313109</v>
      </c>
      <c r="T36" s="375">
        <f t="shared" si="3"/>
        <v>715912</v>
      </c>
      <c r="U36" s="376">
        <f>SUM(B36:T36)</f>
        <v>16056284.83</v>
      </c>
    </row>
    <row r="37" spans="1:21" ht="11.25">
      <c r="A37" s="315" t="s">
        <v>99</v>
      </c>
      <c r="B37" s="349"/>
      <c r="C37" s="362"/>
      <c r="D37" s="362"/>
      <c r="E37" s="362"/>
      <c r="F37" s="362"/>
      <c r="G37" s="362"/>
      <c r="H37" s="334"/>
      <c r="I37" s="334"/>
      <c r="J37" s="334"/>
      <c r="K37" s="334"/>
      <c r="L37" s="334"/>
      <c r="M37" s="334"/>
      <c r="N37" s="334"/>
      <c r="O37" s="334"/>
      <c r="P37" s="334"/>
      <c r="Q37" s="334"/>
      <c r="R37" s="334"/>
      <c r="S37" s="334"/>
      <c r="T37" s="334"/>
      <c r="U37" s="349"/>
    </row>
    <row r="38" spans="1:22" ht="12" thickBot="1">
      <c r="A38" s="163" t="s">
        <v>407</v>
      </c>
      <c r="B38" s="377"/>
      <c r="C38" s="378"/>
      <c r="D38" s="378"/>
      <c r="E38" s="378"/>
      <c r="F38" s="378"/>
      <c r="G38" s="378"/>
      <c r="H38" s="347"/>
      <c r="I38" s="347"/>
      <c r="J38" s="347"/>
      <c r="K38" s="347"/>
      <c r="L38" s="347"/>
      <c r="M38" s="347"/>
      <c r="N38" s="347"/>
      <c r="O38" s="347"/>
      <c r="P38" s="347"/>
      <c r="Q38" s="347"/>
      <c r="R38" s="347"/>
      <c r="S38" s="347"/>
      <c r="T38" s="347"/>
      <c r="U38" s="377">
        <f>U10+U18-U36</f>
        <v>7067679.539999997</v>
      </c>
      <c r="V38" s="379"/>
    </row>
    <row r="39" spans="2:21" ht="12" thickTop="1">
      <c r="B39" s="349"/>
      <c r="C39" s="362"/>
      <c r="D39" s="362"/>
      <c r="E39" s="362"/>
      <c r="F39" s="362"/>
      <c r="G39" s="362"/>
      <c r="H39" s="334"/>
      <c r="I39" s="334"/>
      <c r="J39" s="334"/>
      <c r="K39" s="334"/>
      <c r="L39" s="334"/>
      <c r="M39" s="334"/>
      <c r="N39" s="334"/>
      <c r="O39" s="334"/>
      <c r="P39" s="334"/>
      <c r="Q39" s="334"/>
      <c r="R39" s="334"/>
      <c r="S39" s="334"/>
      <c r="T39" s="334"/>
      <c r="U39" s="349"/>
    </row>
    <row r="40" spans="1:21" ht="11.25">
      <c r="A40" s="363" t="s">
        <v>408</v>
      </c>
      <c r="B40" s="349">
        <f>1.07+27740+103962</f>
        <v>131703.07</v>
      </c>
      <c r="C40" s="362">
        <f>5995+24066+23032+61059+425390</f>
        <v>539542</v>
      </c>
      <c r="D40" s="362">
        <f>5433.94+23744.29+29297.94+20277.39+229061.39</f>
        <v>307814.95</v>
      </c>
      <c r="E40" s="362">
        <f>104050+721935</f>
        <v>825985</v>
      </c>
      <c r="F40" s="362">
        <f>20681+8364+31259+286634+1345</f>
        <v>348283</v>
      </c>
      <c r="G40" s="362">
        <f>6608+25245+3512+8024+14281</f>
        <v>57670</v>
      </c>
      <c r="H40" s="334">
        <f>2675+50132+19381+264400</f>
        <v>336588</v>
      </c>
      <c r="I40" s="334">
        <f>599+1191.64+10753.91+42177.12</f>
        <v>54721.67</v>
      </c>
      <c r="J40" s="334">
        <f>6271+3702+3777+12750+75643</f>
        <v>102143</v>
      </c>
      <c r="K40" s="334">
        <f>386+2372+5706+3448+41793</f>
        <v>53705</v>
      </c>
      <c r="L40" s="334">
        <f>42556+23817</f>
        <v>66373</v>
      </c>
      <c r="M40" s="334">
        <f>1391+2057</f>
        <v>3448</v>
      </c>
      <c r="N40" s="334">
        <f>865+320+1087.88+554+1162.74</f>
        <v>3989.62</v>
      </c>
      <c r="O40" s="334">
        <f>10009+46875</f>
        <v>56884</v>
      </c>
      <c r="P40" s="334">
        <f>3567+10938+16283+125223</f>
        <v>156011</v>
      </c>
      <c r="Q40" s="334">
        <f>2254+77+643+26515+80836</f>
        <v>110325</v>
      </c>
      <c r="R40" s="334">
        <f>4909+38933</f>
        <v>43842</v>
      </c>
      <c r="S40" s="334">
        <f>4447+3452</f>
        <v>7899</v>
      </c>
      <c r="T40" s="334">
        <f>5498+119620</f>
        <v>125118</v>
      </c>
      <c r="U40" s="349">
        <f>SUM(B40:T40)</f>
        <v>3332045.31</v>
      </c>
    </row>
    <row r="41" spans="2:21" ht="11.25">
      <c r="B41" s="349"/>
      <c r="C41" s="362"/>
      <c r="D41" s="362"/>
      <c r="E41" s="362"/>
      <c r="F41" s="362"/>
      <c r="G41" s="362"/>
      <c r="H41" s="334"/>
      <c r="I41" s="334"/>
      <c r="J41" s="334"/>
      <c r="K41" s="334"/>
      <c r="L41" s="334"/>
      <c r="M41" s="334"/>
      <c r="N41" s="334"/>
      <c r="O41" s="334"/>
      <c r="P41" s="334"/>
      <c r="Q41" s="334"/>
      <c r="R41" s="334"/>
      <c r="S41" s="334"/>
      <c r="T41" s="334"/>
      <c r="U41" s="349"/>
    </row>
    <row r="42" spans="1:21" ht="12" thickBot="1">
      <c r="A42" s="163" t="s">
        <v>409</v>
      </c>
      <c r="B42" s="377"/>
      <c r="C42" s="378"/>
      <c r="D42" s="378"/>
      <c r="E42" s="378"/>
      <c r="F42" s="378"/>
      <c r="G42" s="378"/>
      <c r="H42" s="347"/>
      <c r="I42" s="347"/>
      <c r="J42" s="347"/>
      <c r="K42" s="347"/>
      <c r="L42" s="347"/>
      <c r="M42" s="347"/>
      <c r="N42" s="347"/>
      <c r="O42" s="347"/>
      <c r="P42" s="347"/>
      <c r="Q42" s="347"/>
      <c r="R42" s="347"/>
      <c r="S42" s="347"/>
      <c r="T42" s="347"/>
      <c r="U42" s="377">
        <f>U38-U40</f>
        <v>3735634.229999997</v>
      </c>
    </row>
    <row r="43" spans="1:21" ht="12" thickTop="1">
      <c r="A43" s="351"/>
      <c r="B43" s="349"/>
      <c r="C43" s="349"/>
      <c r="D43" s="349"/>
      <c r="E43" s="349"/>
      <c r="F43" s="349"/>
      <c r="G43" s="349"/>
      <c r="H43" s="349"/>
      <c r="I43" s="349"/>
      <c r="J43" s="349"/>
      <c r="K43" s="349"/>
      <c r="L43" s="349"/>
      <c r="M43" s="349"/>
      <c r="N43" s="349"/>
      <c r="O43" s="349"/>
      <c r="P43" s="349"/>
      <c r="Q43" s="349"/>
      <c r="R43" s="349"/>
      <c r="S43" s="349"/>
      <c r="T43" s="349"/>
      <c r="U43" s="349"/>
    </row>
    <row r="44" spans="1:21" ht="11.25">
      <c r="A44" s="351"/>
      <c r="B44" s="349"/>
      <c r="C44" s="349"/>
      <c r="D44" s="349"/>
      <c r="E44" s="349"/>
      <c r="F44" s="349"/>
      <c r="G44" s="349"/>
      <c r="H44" s="349"/>
      <c r="I44" s="349"/>
      <c r="J44" s="349"/>
      <c r="K44" s="349"/>
      <c r="L44" s="349"/>
      <c r="M44" s="349"/>
      <c r="N44" s="349"/>
      <c r="O44" s="349"/>
      <c r="P44" s="349"/>
      <c r="Q44" s="349"/>
      <c r="R44" s="349"/>
      <c r="S44" s="349"/>
      <c r="T44" s="349"/>
      <c r="U44" s="349"/>
    </row>
    <row r="45" spans="1:21" ht="11.25">
      <c r="A45" s="380" t="s">
        <v>99</v>
      </c>
      <c r="B45" s="381" t="s">
        <v>99</v>
      </c>
      <c r="C45" s="541" t="s">
        <v>267</v>
      </c>
      <c r="D45" s="541"/>
      <c r="E45" s="541"/>
      <c r="F45" s="541"/>
      <c r="G45" s="541"/>
      <c r="H45" s="541" t="s">
        <v>386</v>
      </c>
      <c r="I45" s="541"/>
      <c r="J45" s="541"/>
      <c r="K45" s="541"/>
      <c r="L45" s="541"/>
      <c r="M45" s="541"/>
      <c r="N45" s="541"/>
      <c r="O45" s="541"/>
      <c r="P45" s="541"/>
      <c r="Q45" s="541"/>
      <c r="R45" s="541"/>
      <c r="S45" s="541"/>
      <c r="T45" s="541"/>
      <c r="U45" s="368" t="s">
        <v>99</v>
      </c>
    </row>
    <row r="46" spans="2:21" ht="11.25">
      <c r="B46" s="382" t="s">
        <v>13</v>
      </c>
      <c r="C46" s="383" t="s">
        <v>36</v>
      </c>
      <c r="D46" s="384" t="s">
        <v>37</v>
      </c>
      <c r="E46" s="384" t="s">
        <v>31</v>
      </c>
      <c r="F46" s="384" t="s">
        <v>32</v>
      </c>
      <c r="G46" s="384" t="s">
        <v>38</v>
      </c>
      <c r="H46" s="385" t="s">
        <v>25</v>
      </c>
      <c r="I46" s="385" t="s">
        <v>26</v>
      </c>
      <c r="J46" s="386" t="s">
        <v>27</v>
      </c>
      <c r="K46" s="385" t="s">
        <v>28</v>
      </c>
      <c r="L46" s="385" t="s">
        <v>29</v>
      </c>
      <c r="M46" s="385" t="s">
        <v>40</v>
      </c>
      <c r="N46" s="385" t="s">
        <v>30</v>
      </c>
      <c r="O46" s="385" t="s">
        <v>31</v>
      </c>
      <c r="P46" s="385" t="s">
        <v>32</v>
      </c>
      <c r="Q46" s="385" t="s">
        <v>33</v>
      </c>
      <c r="R46" s="385" t="s">
        <v>41</v>
      </c>
      <c r="S46" s="385" t="s">
        <v>34</v>
      </c>
      <c r="T46" s="385" t="s">
        <v>35</v>
      </c>
      <c r="U46" s="387"/>
    </row>
    <row r="47" spans="2:21" ht="10.5" customHeight="1">
      <c r="B47" s="321" t="s">
        <v>75</v>
      </c>
      <c r="C47" s="322" t="s">
        <v>290</v>
      </c>
      <c r="D47" s="322" t="s">
        <v>289</v>
      </c>
      <c r="E47" s="322" t="s">
        <v>291</v>
      </c>
      <c r="F47" s="538" t="s">
        <v>292</v>
      </c>
      <c r="G47" s="359" t="s">
        <v>293</v>
      </c>
      <c r="H47" s="357" t="s">
        <v>294</v>
      </c>
      <c r="I47" s="535" t="s">
        <v>303</v>
      </c>
      <c r="J47" s="535" t="s">
        <v>300</v>
      </c>
      <c r="K47" s="357" t="s">
        <v>301</v>
      </c>
      <c r="L47" s="535" t="s">
        <v>295</v>
      </c>
      <c r="M47" s="357" t="s">
        <v>296</v>
      </c>
      <c r="N47" s="535" t="s">
        <v>302</v>
      </c>
      <c r="O47" s="357" t="s">
        <v>291</v>
      </c>
      <c r="P47" s="535" t="s">
        <v>292</v>
      </c>
      <c r="Q47" s="535" t="s">
        <v>304</v>
      </c>
      <c r="R47" s="535" t="s">
        <v>297</v>
      </c>
      <c r="S47" s="357" t="s">
        <v>298</v>
      </c>
      <c r="T47" s="535" t="s">
        <v>299</v>
      </c>
      <c r="U47" s="321" t="s">
        <v>118</v>
      </c>
    </row>
    <row r="48" spans="2:21" ht="11.25">
      <c r="B48" s="360"/>
      <c r="C48" s="361"/>
      <c r="D48" s="361"/>
      <c r="E48" s="361"/>
      <c r="F48" s="539"/>
      <c r="G48" s="325"/>
      <c r="H48" s="326"/>
      <c r="I48" s="536"/>
      <c r="J48" s="536"/>
      <c r="K48" s="326"/>
      <c r="L48" s="536"/>
      <c r="M48" s="326"/>
      <c r="N48" s="536"/>
      <c r="O48" s="326"/>
      <c r="P48" s="536"/>
      <c r="Q48" s="536"/>
      <c r="R48" s="536"/>
      <c r="S48" s="326"/>
      <c r="T48" s="536"/>
      <c r="U48" s="360"/>
    </row>
    <row r="49" spans="1:21" ht="11.25">
      <c r="A49" s="163" t="s">
        <v>410</v>
      </c>
      <c r="B49" s="327"/>
      <c r="C49" s="328"/>
      <c r="D49" s="328"/>
      <c r="E49" s="328"/>
      <c r="F49" s="328"/>
      <c r="G49" s="328"/>
      <c r="H49" s="329"/>
      <c r="I49" s="330"/>
      <c r="J49" s="330"/>
      <c r="K49" s="330"/>
      <c r="L49" s="330"/>
      <c r="M49" s="330"/>
      <c r="N49" s="330"/>
      <c r="O49" s="330"/>
      <c r="P49" s="330"/>
      <c r="Q49" s="330"/>
      <c r="R49" s="330"/>
      <c r="S49" s="330"/>
      <c r="T49" s="330"/>
      <c r="U49" s="327">
        <f>91190.2+4425.1+839839.78+449078.41+2813786.63+2185274.67+501814.23+182270.52</f>
        <v>7067679.539999999</v>
      </c>
    </row>
    <row r="50" spans="2:21" ht="11.25">
      <c r="B50" s="327"/>
      <c r="C50" s="328"/>
      <c r="D50" s="328"/>
      <c r="E50" s="328"/>
      <c r="F50" s="328"/>
      <c r="G50" s="328"/>
      <c r="H50" s="329"/>
      <c r="I50" s="330"/>
      <c r="J50" s="330"/>
      <c r="K50" s="330"/>
      <c r="L50" s="330"/>
      <c r="M50" s="330"/>
      <c r="N50" s="330"/>
      <c r="O50" s="330"/>
      <c r="P50" s="330"/>
      <c r="Q50" s="330"/>
      <c r="R50" s="330"/>
      <c r="S50" s="330"/>
      <c r="T50" s="330"/>
      <c r="U50" s="327"/>
    </row>
    <row r="51" spans="1:21" ht="11.25">
      <c r="A51" s="163" t="s">
        <v>384</v>
      </c>
      <c r="B51" s="327"/>
      <c r="C51" s="328"/>
      <c r="D51" s="328"/>
      <c r="E51" s="328"/>
      <c r="F51" s="328"/>
      <c r="G51" s="328"/>
      <c r="H51" s="329"/>
      <c r="I51" s="330"/>
      <c r="J51" s="330"/>
      <c r="K51" s="330"/>
      <c r="L51" s="330"/>
      <c r="M51" s="330"/>
      <c r="N51" s="330"/>
      <c r="O51" s="330"/>
      <c r="P51" s="330"/>
      <c r="Q51" s="330"/>
      <c r="R51" s="330"/>
      <c r="S51" s="330"/>
      <c r="T51" s="330"/>
      <c r="U51" s="327"/>
    </row>
    <row r="52" spans="1:21" ht="11.25">
      <c r="A52" s="363" t="s">
        <v>267</v>
      </c>
      <c r="B52" s="327"/>
      <c r="C52" s="328"/>
      <c r="D52" s="328"/>
      <c r="E52" s="328"/>
      <c r="F52" s="328"/>
      <c r="G52" s="328"/>
      <c r="H52" s="329"/>
      <c r="I52" s="330"/>
      <c r="J52" s="330"/>
      <c r="K52" s="330"/>
      <c r="L52" s="330"/>
      <c r="M52" s="330"/>
      <c r="N52" s="330"/>
      <c r="O52" s="330"/>
      <c r="P52" s="330"/>
      <c r="Q52" s="330"/>
      <c r="R52" s="330"/>
      <c r="S52" s="330"/>
      <c r="T52" s="330"/>
      <c r="U52" s="327">
        <f>5079026.67+5233120.09</f>
        <v>10312146.76</v>
      </c>
    </row>
    <row r="53" spans="1:21" ht="11.25">
      <c r="A53" s="363" t="s">
        <v>386</v>
      </c>
      <c r="B53" s="327"/>
      <c r="C53" s="328"/>
      <c r="D53" s="328"/>
      <c r="E53" s="328"/>
      <c r="F53" s="328"/>
      <c r="G53" s="328"/>
      <c r="H53" s="329"/>
      <c r="I53" s="330"/>
      <c r="J53" s="330"/>
      <c r="K53" s="330"/>
      <c r="L53" s="330"/>
      <c r="M53" s="330"/>
      <c r="N53" s="330"/>
      <c r="O53" s="330"/>
      <c r="P53" s="330"/>
      <c r="Q53" s="330"/>
      <c r="R53" s="330"/>
      <c r="S53" s="330"/>
      <c r="T53" s="330"/>
      <c r="U53" s="327">
        <f>6465711.06+534976.47</f>
        <v>7000687.529999999</v>
      </c>
    </row>
    <row r="54" spans="1:21" ht="11.25">
      <c r="A54" s="363" t="s">
        <v>20</v>
      </c>
      <c r="B54" s="327"/>
      <c r="C54" s="328"/>
      <c r="D54" s="328"/>
      <c r="E54" s="328"/>
      <c r="F54" s="328"/>
      <c r="G54" s="328"/>
      <c r="H54" s="329"/>
      <c r="I54" s="330"/>
      <c r="J54" s="330"/>
      <c r="K54" s="330"/>
      <c r="L54" s="330"/>
      <c r="M54" s="330"/>
      <c r="N54" s="330"/>
      <c r="O54" s="330"/>
      <c r="P54" s="330"/>
      <c r="Q54" s="330"/>
      <c r="R54" s="330"/>
      <c r="S54" s="330"/>
      <c r="T54" s="330"/>
      <c r="U54" s="327">
        <f>141683.58+3863.09</f>
        <v>145546.66999999998</v>
      </c>
    </row>
    <row r="55" spans="1:21" ht="11.25">
      <c r="A55" s="363" t="s">
        <v>385</v>
      </c>
      <c r="B55" s="327"/>
      <c r="C55" s="328"/>
      <c r="D55" s="328"/>
      <c r="E55" s="328"/>
      <c r="F55" s="328"/>
      <c r="G55" s="328"/>
      <c r="H55" s="329">
        <v>15000</v>
      </c>
      <c r="I55" s="330"/>
      <c r="J55" s="330"/>
      <c r="K55" s="330"/>
      <c r="L55" s="330"/>
      <c r="M55" s="330"/>
      <c r="N55" s="330"/>
      <c r="O55" s="330"/>
      <c r="P55" s="330"/>
      <c r="Q55" s="330"/>
      <c r="R55" s="330"/>
      <c r="S55" s="330"/>
      <c r="T55" s="330"/>
      <c r="U55" s="327">
        <f>SUM(B55:T55)</f>
        <v>15000</v>
      </c>
    </row>
    <row r="56" spans="1:21" ht="11.25">
      <c r="A56" s="363" t="s">
        <v>396</v>
      </c>
      <c r="B56" s="338"/>
      <c r="C56" s="340"/>
      <c r="D56" s="340"/>
      <c r="E56" s="340"/>
      <c r="F56" s="340"/>
      <c r="G56" s="340"/>
      <c r="H56" s="341"/>
      <c r="I56" s="341"/>
      <c r="J56" s="341"/>
      <c r="K56" s="341"/>
      <c r="L56" s="341"/>
      <c r="M56" s="341"/>
      <c r="N56" s="341"/>
      <c r="O56" s="341"/>
      <c r="P56" s="341"/>
      <c r="Q56" s="341"/>
      <c r="R56" s="341"/>
      <c r="S56" s="341"/>
      <c r="T56" s="341"/>
      <c r="U56" s="338">
        <v>-3700000</v>
      </c>
    </row>
    <row r="57" spans="1:21" ht="11.25">
      <c r="A57" s="363"/>
      <c r="B57" s="327"/>
      <c r="C57" s="328"/>
      <c r="D57" s="328"/>
      <c r="E57" s="328"/>
      <c r="F57" s="328"/>
      <c r="G57" s="328"/>
      <c r="H57" s="329"/>
      <c r="I57" s="330"/>
      <c r="J57" s="330"/>
      <c r="K57" s="330"/>
      <c r="L57" s="330"/>
      <c r="M57" s="330"/>
      <c r="N57" s="330"/>
      <c r="O57" s="330"/>
      <c r="P57" s="330"/>
      <c r="Q57" s="330"/>
      <c r="R57" s="330"/>
      <c r="S57" s="330"/>
      <c r="T57" s="330"/>
      <c r="U57" s="327"/>
    </row>
    <row r="58" spans="1:21" ht="11.25">
      <c r="A58" s="163" t="s">
        <v>7</v>
      </c>
      <c r="B58" s="327"/>
      <c r="C58" s="328"/>
      <c r="D58" s="328"/>
      <c r="E58" s="328"/>
      <c r="F58" s="328"/>
      <c r="G58" s="328"/>
      <c r="H58" s="329"/>
      <c r="I58" s="330"/>
      <c r="J58" s="330"/>
      <c r="K58" s="330"/>
      <c r="L58" s="330"/>
      <c r="M58" s="330"/>
      <c r="N58" s="330"/>
      <c r="O58" s="330"/>
      <c r="P58" s="330"/>
      <c r="Q58" s="330"/>
      <c r="R58" s="330"/>
      <c r="S58" s="330"/>
      <c r="T58" s="330"/>
      <c r="U58" s="327">
        <f>SUM(U52:U56)</f>
        <v>13773380.96</v>
      </c>
    </row>
    <row r="59" spans="2:21" ht="11.25">
      <c r="B59" s="327"/>
      <c r="C59" s="328"/>
      <c r="D59" s="328"/>
      <c r="E59" s="328"/>
      <c r="F59" s="328"/>
      <c r="G59" s="328"/>
      <c r="H59" s="329"/>
      <c r="I59" s="330"/>
      <c r="J59" s="330"/>
      <c r="K59" s="330"/>
      <c r="L59" s="330"/>
      <c r="M59" s="330"/>
      <c r="N59" s="330"/>
      <c r="O59" s="330"/>
      <c r="P59" s="330"/>
      <c r="Q59" s="330"/>
      <c r="R59" s="330"/>
      <c r="S59" s="330"/>
      <c r="T59" s="330"/>
      <c r="U59" s="327"/>
    </row>
    <row r="60" spans="1:21" ht="11.25">
      <c r="A60" s="163" t="s">
        <v>89</v>
      </c>
      <c r="B60" s="327"/>
      <c r="C60" s="328"/>
      <c r="D60" s="328"/>
      <c r="E60" s="328"/>
      <c r="F60" s="328"/>
      <c r="G60" s="328"/>
      <c r="H60" s="329"/>
      <c r="I60" s="330"/>
      <c r="J60" s="330"/>
      <c r="K60" s="330"/>
      <c r="L60" s="330"/>
      <c r="M60" s="330"/>
      <c r="N60" s="330"/>
      <c r="O60" s="330"/>
      <c r="P60" s="330"/>
      <c r="Q60" s="330"/>
      <c r="R60" s="330"/>
      <c r="S60" s="330"/>
      <c r="T60" s="330"/>
      <c r="U60" s="327"/>
    </row>
    <row r="61" spans="1:21" ht="11.25" hidden="1" outlineLevel="1">
      <c r="A61" s="315" t="s">
        <v>124</v>
      </c>
      <c r="B61" s="327">
        <f>357200.5+21.21-124.86</f>
        <v>357096.85000000003</v>
      </c>
      <c r="C61" s="328"/>
      <c r="D61" s="328"/>
      <c r="E61" s="328"/>
      <c r="F61" s="328"/>
      <c r="G61" s="328"/>
      <c r="H61" s="329"/>
      <c r="I61" s="330"/>
      <c r="J61" s="330"/>
      <c r="K61" s="330"/>
      <c r="L61" s="330"/>
      <c r="M61" s="330"/>
      <c r="N61" s="330"/>
      <c r="O61" s="330"/>
      <c r="P61" s="330"/>
      <c r="Q61" s="330"/>
      <c r="R61" s="330"/>
      <c r="S61" s="330"/>
      <c r="T61" s="330"/>
      <c r="U61" s="327">
        <f>SUM(B61:T61)</f>
        <v>357096.85000000003</v>
      </c>
    </row>
    <row r="62" spans="1:21" ht="11.25" hidden="1" outlineLevel="1">
      <c r="A62" s="315" t="s">
        <v>39</v>
      </c>
      <c r="B62" s="327">
        <f>45636.07+15247</f>
        <v>60883.07</v>
      </c>
      <c r="C62" s="328"/>
      <c r="D62" s="328"/>
      <c r="E62" s="328"/>
      <c r="F62" s="328"/>
      <c r="G62" s="328"/>
      <c r="H62" s="329"/>
      <c r="I62" s="330"/>
      <c r="J62" s="330"/>
      <c r="K62" s="330"/>
      <c r="L62" s="330"/>
      <c r="M62" s="330"/>
      <c r="N62" s="330"/>
      <c r="O62" s="330"/>
      <c r="P62" s="330"/>
      <c r="Q62" s="330"/>
      <c r="R62" s="330"/>
      <c r="S62" s="330"/>
      <c r="T62" s="330"/>
      <c r="U62" s="327">
        <f aca="true" t="shared" si="4" ref="U62:U74">SUM(B62:T62)</f>
        <v>60883.07</v>
      </c>
    </row>
    <row r="63" spans="1:21" ht="11.25" collapsed="1">
      <c r="A63" s="363" t="s">
        <v>397</v>
      </c>
      <c r="B63" s="327">
        <f>SUM(B61:B62)</f>
        <v>417979.92000000004</v>
      </c>
      <c r="C63" s="328"/>
      <c r="D63" s="328"/>
      <c r="E63" s="328"/>
      <c r="F63" s="328"/>
      <c r="G63" s="328"/>
      <c r="H63" s="329"/>
      <c r="I63" s="330"/>
      <c r="J63" s="330"/>
      <c r="K63" s="330"/>
      <c r="L63" s="330"/>
      <c r="M63" s="330"/>
      <c r="N63" s="330"/>
      <c r="O63" s="330"/>
      <c r="P63" s="330"/>
      <c r="Q63" s="330"/>
      <c r="R63" s="330"/>
      <c r="S63" s="330"/>
      <c r="T63" s="330"/>
      <c r="U63" s="327">
        <f t="shared" si="4"/>
        <v>417979.92000000004</v>
      </c>
    </row>
    <row r="64" spans="1:21" ht="11.25" hidden="1" outlineLevel="1">
      <c r="A64" s="315" t="s">
        <v>398</v>
      </c>
      <c r="B64" s="327">
        <f>230648.07-3.94-0.02</f>
        <v>230644.11000000002</v>
      </c>
      <c r="C64" s="328"/>
      <c r="D64" s="328"/>
      <c r="E64" s="328"/>
      <c r="F64" s="328"/>
      <c r="G64" s="328"/>
      <c r="H64" s="329"/>
      <c r="I64" s="330"/>
      <c r="J64" s="330"/>
      <c r="K64" s="330"/>
      <c r="L64" s="330"/>
      <c r="M64" s="330"/>
      <c r="N64" s="330"/>
      <c r="O64" s="330"/>
      <c r="P64" s="330"/>
      <c r="Q64" s="330"/>
      <c r="R64" s="330"/>
      <c r="S64" s="330"/>
      <c r="T64" s="330"/>
      <c r="U64" s="327">
        <f t="shared" si="4"/>
        <v>230644.11000000002</v>
      </c>
    </row>
    <row r="65" spans="1:21" ht="11.25" hidden="1" outlineLevel="1">
      <c r="A65" s="315" t="s">
        <v>399</v>
      </c>
      <c r="B65" s="327">
        <f>9071.99</f>
        <v>9071.99</v>
      </c>
      <c r="C65" s="328"/>
      <c r="D65" s="328"/>
      <c r="E65" s="328"/>
      <c r="F65" s="328"/>
      <c r="G65" s="328"/>
      <c r="H65" s="329"/>
      <c r="I65" s="330"/>
      <c r="J65" s="330"/>
      <c r="K65" s="330"/>
      <c r="L65" s="330"/>
      <c r="M65" s="330"/>
      <c r="N65" s="330"/>
      <c r="O65" s="330"/>
      <c r="P65" s="330"/>
      <c r="Q65" s="330"/>
      <c r="R65" s="330"/>
      <c r="S65" s="330"/>
      <c r="T65" s="330"/>
      <c r="U65" s="327">
        <f t="shared" si="4"/>
        <v>9071.99</v>
      </c>
    </row>
    <row r="66" spans="1:21" ht="11.25" hidden="1" outlineLevel="1">
      <c r="A66" s="315" t="s">
        <v>400</v>
      </c>
      <c r="B66" s="327">
        <v>116455</v>
      </c>
      <c r="C66" s="328"/>
      <c r="D66" s="328"/>
      <c r="E66" s="328"/>
      <c r="F66" s="328"/>
      <c r="G66" s="328"/>
      <c r="H66" s="329"/>
      <c r="I66" s="330"/>
      <c r="J66" s="330"/>
      <c r="K66" s="330"/>
      <c r="L66" s="330"/>
      <c r="M66" s="330"/>
      <c r="N66" s="330"/>
      <c r="O66" s="330"/>
      <c r="P66" s="330"/>
      <c r="Q66" s="330"/>
      <c r="R66" s="330"/>
      <c r="S66" s="330"/>
      <c r="T66" s="330"/>
      <c r="U66" s="327">
        <f t="shared" si="4"/>
        <v>116455</v>
      </c>
    </row>
    <row r="67" spans="1:21" ht="11.25" collapsed="1">
      <c r="A67" s="363" t="s">
        <v>401</v>
      </c>
      <c r="B67" s="327">
        <f>SUM(B64:B66)</f>
        <v>356171.1</v>
      </c>
      <c r="C67" s="328"/>
      <c r="D67" s="328"/>
      <c r="E67" s="328"/>
      <c r="F67" s="328"/>
      <c r="G67" s="328"/>
      <c r="H67" s="329"/>
      <c r="I67" s="330"/>
      <c r="J67" s="330"/>
      <c r="K67" s="330"/>
      <c r="L67" s="330"/>
      <c r="M67" s="330"/>
      <c r="N67" s="330"/>
      <c r="O67" s="330"/>
      <c r="P67" s="330"/>
      <c r="Q67" s="330"/>
      <c r="R67" s="330"/>
      <c r="S67" s="330"/>
      <c r="T67" s="330"/>
      <c r="U67" s="327">
        <f t="shared" si="4"/>
        <v>356171.1</v>
      </c>
    </row>
    <row r="68" spans="1:21" ht="11.25" hidden="1" outlineLevel="1">
      <c r="A68" s="315" t="s">
        <v>387</v>
      </c>
      <c r="B68" s="327"/>
      <c r="C68" s="328">
        <v>175723</v>
      </c>
      <c r="D68" s="328">
        <v>170716.94</v>
      </c>
      <c r="E68" s="328">
        <v>165030.12</v>
      </c>
      <c r="F68" s="328">
        <f>42090</f>
        <v>42090</v>
      </c>
      <c r="G68" s="328">
        <v>22582</v>
      </c>
      <c r="H68" s="329">
        <v>41655.86</v>
      </c>
      <c r="I68" s="330">
        <v>12429.46</v>
      </c>
      <c r="J68" s="330">
        <v>26551</v>
      </c>
      <c r="K68" s="330">
        <v>6734</v>
      </c>
      <c r="L68" s="330">
        <v>68484</v>
      </c>
      <c r="M68" s="330">
        <v>3294</v>
      </c>
      <c r="N68" s="330">
        <v>5632.82</v>
      </c>
      <c r="O68" s="330">
        <v>23181.75</v>
      </c>
      <c r="P68" s="330">
        <v>22439</v>
      </c>
      <c r="Q68" s="330">
        <v>41195</v>
      </c>
      <c r="R68" s="330">
        <v>9916</v>
      </c>
      <c r="S68" s="330">
        <v>15980</v>
      </c>
      <c r="T68" s="330">
        <f>16964+60264</f>
        <v>77228</v>
      </c>
      <c r="U68" s="327">
        <f t="shared" si="4"/>
        <v>930862.95</v>
      </c>
    </row>
    <row r="69" spans="1:21" ht="11.25" hidden="1" outlineLevel="1">
      <c r="A69" s="315" t="s">
        <v>388</v>
      </c>
      <c r="B69" s="327"/>
      <c r="C69" s="328">
        <f>2022+32827</f>
        <v>34849</v>
      </c>
      <c r="D69" s="328">
        <f>1720.15+14517.79</f>
        <v>16237.94</v>
      </c>
      <c r="E69" s="328">
        <v>52.51</v>
      </c>
      <c r="F69" s="328">
        <f>551+5611</f>
        <v>6162</v>
      </c>
      <c r="G69" s="328">
        <f>460+3780</f>
        <v>4240</v>
      </c>
      <c r="H69" s="329">
        <f>2675+12462.8</f>
        <v>15137.8</v>
      </c>
      <c r="I69" s="330">
        <v>1.73</v>
      </c>
      <c r="J69" s="330">
        <f>3702+4140</f>
        <v>7842</v>
      </c>
      <c r="K69" s="330">
        <f>2372+3470</f>
        <v>5842</v>
      </c>
      <c r="L69" s="330">
        <v>8640</v>
      </c>
      <c r="M69" s="330"/>
      <c r="N69" s="330">
        <f>87.37+30</f>
        <v>117.37</v>
      </c>
      <c r="O69" s="330">
        <v>29.91</v>
      </c>
      <c r="P69" s="330">
        <f>3936</f>
        <v>3936</v>
      </c>
      <c r="Q69" s="330">
        <f>77+5815</f>
        <v>5892</v>
      </c>
      <c r="R69" s="330"/>
      <c r="S69" s="330">
        <v>3524</v>
      </c>
      <c r="T69" s="330">
        <f>383+1715</f>
        <v>2098</v>
      </c>
      <c r="U69" s="327">
        <f t="shared" si="4"/>
        <v>114602.26</v>
      </c>
    </row>
    <row r="70" spans="1:21" ht="11.25" collapsed="1">
      <c r="A70" s="363" t="s">
        <v>402</v>
      </c>
      <c r="B70" s="327"/>
      <c r="C70" s="328">
        <f>SUM(C68:C69)</f>
        <v>210572</v>
      </c>
      <c r="D70" s="328">
        <f aca="true" t="shared" si="5" ref="D70:T70">SUM(D68:D69)</f>
        <v>186954.88</v>
      </c>
      <c r="E70" s="328">
        <f t="shared" si="5"/>
        <v>165082.63</v>
      </c>
      <c r="F70" s="328">
        <f t="shared" si="5"/>
        <v>48252</v>
      </c>
      <c r="G70" s="328">
        <f t="shared" si="5"/>
        <v>26822</v>
      </c>
      <c r="H70" s="329">
        <f t="shared" si="5"/>
        <v>56793.66</v>
      </c>
      <c r="I70" s="329">
        <f t="shared" si="5"/>
        <v>12431.189999999999</v>
      </c>
      <c r="J70" s="329">
        <f t="shared" si="5"/>
        <v>34393</v>
      </c>
      <c r="K70" s="329">
        <f t="shared" si="5"/>
        <v>12576</v>
      </c>
      <c r="L70" s="329">
        <f t="shared" si="5"/>
        <v>77124</v>
      </c>
      <c r="M70" s="329">
        <f t="shared" si="5"/>
        <v>3294</v>
      </c>
      <c r="N70" s="329">
        <f t="shared" si="5"/>
        <v>5750.19</v>
      </c>
      <c r="O70" s="329">
        <f t="shared" si="5"/>
        <v>23211.66</v>
      </c>
      <c r="P70" s="329">
        <f t="shared" si="5"/>
        <v>26375</v>
      </c>
      <c r="Q70" s="329">
        <f t="shared" si="5"/>
        <v>47087</v>
      </c>
      <c r="R70" s="329">
        <f t="shared" si="5"/>
        <v>9916</v>
      </c>
      <c r="S70" s="329">
        <f t="shared" si="5"/>
        <v>19504</v>
      </c>
      <c r="T70" s="329">
        <f t="shared" si="5"/>
        <v>79326</v>
      </c>
      <c r="U70" s="327">
        <f t="shared" si="4"/>
        <v>1045465.21</v>
      </c>
    </row>
    <row r="71" spans="1:21" ht="11.25">
      <c r="A71" s="363" t="s">
        <v>403</v>
      </c>
      <c r="B71" s="327"/>
      <c r="C71" s="328">
        <v>30807</v>
      </c>
      <c r="D71" s="328">
        <v>14336.6</v>
      </c>
      <c r="E71" s="328">
        <v>1464</v>
      </c>
      <c r="F71" s="328">
        <f>7083</f>
        <v>7083</v>
      </c>
      <c r="G71" s="328">
        <v>5969</v>
      </c>
      <c r="H71" s="329">
        <v>2464.28</v>
      </c>
      <c r="I71" s="330">
        <f>338.88</f>
        <v>338.88</v>
      </c>
      <c r="J71" s="330">
        <v>8458</v>
      </c>
      <c r="K71" s="330">
        <v>388</v>
      </c>
      <c r="L71" s="330">
        <v>207</v>
      </c>
      <c r="M71" s="330">
        <v>188</v>
      </c>
      <c r="N71" s="330">
        <v>50</v>
      </c>
      <c r="O71" s="330"/>
      <c r="P71" s="330">
        <f>926</f>
        <v>926</v>
      </c>
      <c r="Q71" s="330">
        <v>3540</v>
      </c>
      <c r="R71" s="330">
        <v>895</v>
      </c>
      <c r="S71" s="330">
        <v>1799</v>
      </c>
      <c r="T71" s="330">
        <v>3930</v>
      </c>
      <c r="U71" s="327">
        <f t="shared" si="4"/>
        <v>82843.76</v>
      </c>
    </row>
    <row r="72" spans="1:21" ht="11.25" hidden="1" outlineLevel="1">
      <c r="A72" s="315" t="s">
        <v>238</v>
      </c>
      <c r="B72" s="327"/>
      <c r="C72" s="328">
        <v>1662908</v>
      </c>
      <c r="D72" s="328">
        <v>1625345.31</v>
      </c>
      <c r="E72" s="328">
        <v>858888.88</v>
      </c>
      <c r="F72" s="328">
        <f>444772</f>
        <v>444772</v>
      </c>
      <c r="G72" s="328">
        <v>232218</v>
      </c>
      <c r="H72" s="329">
        <v>632086.42</v>
      </c>
      <c r="I72" s="330">
        <v>97582.73</v>
      </c>
      <c r="J72" s="330">
        <v>252973</v>
      </c>
      <c r="K72" s="330">
        <v>67706</v>
      </c>
      <c r="L72" s="330">
        <v>608361</v>
      </c>
      <c r="M72" s="330">
        <v>31235</v>
      </c>
      <c r="N72" s="330">
        <v>57530.65</v>
      </c>
      <c r="O72" s="330">
        <v>160621.25</v>
      </c>
      <c r="P72" s="330">
        <v>213508</v>
      </c>
      <c r="Q72" s="330">
        <v>566568</v>
      </c>
      <c r="R72" s="330">
        <v>99734</v>
      </c>
      <c r="S72" s="330">
        <v>178567</v>
      </c>
      <c r="T72" s="330">
        <f>110230+679781</f>
        <v>790011</v>
      </c>
      <c r="U72" s="327">
        <f t="shared" si="4"/>
        <v>8580616.24</v>
      </c>
    </row>
    <row r="73" spans="1:21" ht="11.25" hidden="1" outlineLevel="1">
      <c r="A73" s="315" t="s">
        <v>389</v>
      </c>
      <c r="B73" s="327"/>
      <c r="C73" s="328">
        <f>16328+320881</f>
        <v>337209</v>
      </c>
      <c r="D73" s="328">
        <f>8598.23+139388.06</f>
        <v>147986.29</v>
      </c>
      <c r="E73" s="328">
        <v>955.49</v>
      </c>
      <c r="F73" s="328">
        <f>748+19014</f>
        <v>19762</v>
      </c>
      <c r="G73" s="328">
        <f>4015+53335</f>
        <v>57350</v>
      </c>
      <c r="H73" s="329">
        <f>25661+169972.13</f>
        <v>195633.13</v>
      </c>
      <c r="I73" s="330">
        <f>-5.32+10263.95</f>
        <v>10258.630000000001</v>
      </c>
      <c r="J73" s="330">
        <f>3777+48058</f>
        <v>51835</v>
      </c>
      <c r="K73" s="330">
        <f>5706+39776</f>
        <v>45482</v>
      </c>
      <c r="L73" s="330">
        <f>23817+99360</f>
        <v>123177</v>
      </c>
      <c r="M73" s="330"/>
      <c r="N73" s="330">
        <f>582.84+505.04</f>
        <v>1087.88</v>
      </c>
      <c r="O73" s="330">
        <v>554.09</v>
      </c>
      <c r="P73" s="330">
        <f>1843+9075</f>
        <v>10918</v>
      </c>
      <c r="Q73" s="330">
        <f>643+33769</f>
        <v>34412</v>
      </c>
      <c r="R73" s="330"/>
      <c r="S73" s="330">
        <v>53764</v>
      </c>
      <c r="T73" s="330">
        <f>914+1430</f>
        <v>2344</v>
      </c>
      <c r="U73" s="327">
        <f t="shared" si="4"/>
        <v>1092728.51</v>
      </c>
    </row>
    <row r="74" spans="1:21" ht="11.25" collapsed="1">
      <c r="A74" s="363" t="s">
        <v>411</v>
      </c>
      <c r="B74" s="327"/>
      <c r="C74" s="328">
        <f>SUM(C72:C73)</f>
        <v>2000117</v>
      </c>
      <c r="D74" s="328">
        <f aca="true" t="shared" si="6" ref="D74:T74">SUM(D72:D73)</f>
        <v>1773331.6</v>
      </c>
      <c r="E74" s="328">
        <f t="shared" si="6"/>
        <v>859844.37</v>
      </c>
      <c r="F74" s="328">
        <f t="shared" si="6"/>
        <v>464534</v>
      </c>
      <c r="G74" s="328">
        <f t="shared" si="6"/>
        <v>289568</v>
      </c>
      <c r="H74" s="329">
        <f t="shared" si="6"/>
        <v>827719.55</v>
      </c>
      <c r="I74" s="329">
        <f t="shared" si="6"/>
        <v>107841.36</v>
      </c>
      <c r="J74" s="329">
        <f t="shared" si="6"/>
        <v>304808</v>
      </c>
      <c r="K74" s="329">
        <f t="shared" si="6"/>
        <v>113188</v>
      </c>
      <c r="L74" s="329">
        <f t="shared" si="6"/>
        <v>731538</v>
      </c>
      <c r="M74" s="329">
        <f t="shared" si="6"/>
        <v>31235</v>
      </c>
      <c r="N74" s="329">
        <f t="shared" si="6"/>
        <v>58618.53</v>
      </c>
      <c r="O74" s="329">
        <f t="shared" si="6"/>
        <v>161175.34</v>
      </c>
      <c r="P74" s="329">
        <f t="shared" si="6"/>
        <v>224426</v>
      </c>
      <c r="Q74" s="329">
        <f t="shared" si="6"/>
        <v>600980</v>
      </c>
      <c r="R74" s="329">
        <f t="shared" si="6"/>
        <v>99734</v>
      </c>
      <c r="S74" s="329">
        <f t="shared" si="6"/>
        <v>232331</v>
      </c>
      <c r="T74" s="329">
        <f t="shared" si="6"/>
        <v>792355</v>
      </c>
      <c r="U74" s="327">
        <f t="shared" si="4"/>
        <v>9673344.75</v>
      </c>
    </row>
    <row r="75" spans="2:21" ht="11.25">
      <c r="B75" s="327"/>
      <c r="C75" s="328"/>
      <c r="D75" s="328"/>
      <c r="E75" s="328"/>
      <c r="F75" s="328"/>
      <c r="G75" s="328"/>
      <c r="H75" s="329"/>
      <c r="I75" s="330"/>
      <c r="J75" s="330"/>
      <c r="K75" s="330"/>
      <c r="L75" s="330"/>
      <c r="M75" s="330"/>
      <c r="N75" s="330"/>
      <c r="O75" s="330"/>
      <c r="P75" s="330"/>
      <c r="Q75" s="330"/>
      <c r="R75" s="330"/>
      <c r="S75" s="330"/>
      <c r="T75" s="330"/>
      <c r="U75" s="327"/>
    </row>
    <row r="76" spans="1:21" ht="11.25">
      <c r="A76" s="163" t="s">
        <v>8</v>
      </c>
      <c r="B76" s="388">
        <f aca="true" t="shared" si="7" ref="B76:T76">B63++B67+B70+B71+B74</f>
        <v>774151.02</v>
      </c>
      <c r="C76" s="389">
        <f t="shared" si="7"/>
        <v>2241496</v>
      </c>
      <c r="D76" s="389">
        <f t="shared" si="7"/>
        <v>1974623.08</v>
      </c>
      <c r="E76" s="389">
        <f t="shared" si="7"/>
        <v>1026391</v>
      </c>
      <c r="F76" s="389">
        <f t="shared" si="7"/>
        <v>519869</v>
      </c>
      <c r="G76" s="389">
        <f t="shared" si="7"/>
        <v>322359</v>
      </c>
      <c r="H76" s="390">
        <f t="shared" si="7"/>
        <v>886977.49</v>
      </c>
      <c r="I76" s="390">
        <f t="shared" si="7"/>
        <v>120611.43</v>
      </c>
      <c r="J76" s="390">
        <f t="shared" si="7"/>
        <v>347659</v>
      </c>
      <c r="K76" s="390">
        <f t="shared" si="7"/>
        <v>126152</v>
      </c>
      <c r="L76" s="390">
        <f t="shared" si="7"/>
        <v>808869</v>
      </c>
      <c r="M76" s="390">
        <f t="shared" si="7"/>
        <v>34717</v>
      </c>
      <c r="N76" s="390">
        <f t="shared" si="7"/>
        <v>64418.72</v>
      </c>
      <c r="O76" s="390">
        <f t="shared" si="7"/>
        <v>184387</v>
      </c>
      <c r="P76" s="390">
        <f t="shared" si="7"/>
        <v>251727</v>
      </c>
      <c r="Q76" s="390">
        <f t="shared" si="7"/>
        <v>651607</v>
      </c>
      <c r="R76" s="390">
        <f t="shared" si="7"/>
        <v>110545</v>
      </c>
      <c r="S76" s="390">
        <f t="shared" si="7"/>
        <v>253634</v>
      </c>
      <c r="T76" s="390">
        <f t="shared" si="7"/>
        <v>875611</v>
      </c>
      <c r="U76" s="388">
        <f>SUM(B76:T76)</f>
        <v>11575804.74</v>
      </c>
    </row>
    <row r="77" spans="1:21" ht="11.25">
      <c r="A77" s="163"/>
      <c r="B77" s="327"/>
      <c r="C77" s="328"/>
      <c r="D77" s="328"/>
      <c r="E77" s="328"/>
      <c r="F77" s="328"/>
      <c r="G77" s="328"/>
      <c r="H77" s="329"/>
      <c r="I77" s="330"/>
      <c r="J77" s="330"/>
      <c r="K77" s="330"/>
      <c r="L77" s="330"/>
      <c r="M77" s="330"/>
      <c r="N77" s="330"/>
      <c r="O77" s="330"/>
      <c r="P77" s="330"/>
      <c r="Q77" s="330"/>
      <c r="R77" s="330"/>
      <c r="S77" s="330"/>
      <c r="T77" s="330"/>
      <c r="U77" s="338"/>
    </row>
    <row r="78" spans="1:23" ht="12" thickBot="1">
      <c r="A78" s="163" t="s">
        <v>412</v>
      </c>
      <c r="B78" s="342"/>
      <c r="C78" s="343"/>
      <c r="D78" s="343"/>
      <c r="E78" s="343"/>
      <c r="F78" s="343"/>
      <c r="G78" s="343"/>
      <c r="H78" s="344"/>
      <c r="I78" s="344"/>
      <c r="J78" s="344"/>
      <c r="K78" s="344"/>
      <c r="L78" s="344"/>
      <c r="M78" s="344"/>
      <c r="N78" s="344"/>
      <c r="O78" s="344"/>
      <c r="P78" s="344"/>
      <c r="Q78" s="344"/>
      <c r="R78" s="344"/>
      <c r="S78" s="344"/>
      <c r="T78" s="344"/>
      <c r="U78" s="342">
        <f>U49+U58-U76</f>
        <v>9265255.76</v>
      </c>
      <c r="V78" s="349"/>
      <c r="W78" s="379"/>
    </row>
    <row r="79" spans="2:21" ht="12" thickTop="1">
      <c r="B79" s="327"/>
      <c r="C79" s="328"/>
      <c r="D79" s="328"/>
      <c r="E79" s="328"/>
      <c r="F79" s="328"/>
      <c r="G79" s="328"/>
      <c r="H79" s="329"/>
      <c r="I79" s="330"/>
      <c r="J79" s="330"/>
      <c r="K79" s="330"/>
      <c r="L79" s="330"/>
      <c r="M79" s="330"/>
      <c r="N79" s="330"/>
      <c r="O79" s="330"/>
      <c r="P79" s="330"/>
      <c r="Q79" s="330"/>
      <c r="R79" s="330"/>
      <c r="S79" s="330"/>
      <c r="T79" s="330"/>
      <c r="U79" s="327"/>
    </row>
    <row r="80" spans="1:21" ht="11.25">
      <c r="A80" s="363" t="s">
        <v>413</v>
      </c>
      <c r="B80" s="327">
        <f>'[1]Obligations 11-13 at 6-30-13'!P69+'[1]Obligations 11-13 at 6-30-13'!P166</f>
        <v>945.01</v>
      </c>
      <c r="C80" s="328">
        <f>'[1]Obligations 11-13 at 6-30-13'!P45+'[1]Obligations 11-13 at 6-30-13'!P55+'[1]Obligations 11-13 at 6-30-13'!P141+'[1]Obligations 11-13 at 6-30-13'!P152+'[1]Obligations 11-13 at 6-30-13'!P177</f>
        <v>799313</v>
      </c>
      <c r="D80" s="328">
        <f>'[1]Obligations 11-13 at 6-30-13'!P46+'[1]Obligations 11-13 at 6-30-13'!P56+'[1]Obligations 11-13 at 6-30-13'!P143+'[1]Obligations 11-13 at 6-30-13'!P153+'[1]Obligations 11-13 at 6-30-13'!P178</f>
        <v>238303.87</v>
      </c>
      <c r="E80" s="328">
        <f>'[1]Obligations 11-13 at 6-30-13'!P47+'[1]Obligations 11-13 at 6-30-13'!P57+'[1]Obligations 11-13 at 6-30-13'!P144+'[1]Obligations 11-13 at 6-30-13'!P154+'[1]Obligations 11-13 at 6-30-13'!P179</f>
        <v>2482270</v>
      </c>
      <c r="F80" s="328">
        <f>'[1]Obligations 11-13 at 6-30-13'!P48+'[1]Obligations 11-13 at 6-30-13'!P58+'[1]Obligations 11-13 at 6-30-13'!P145+'[1]Obligations 11-13 at 6-30-13'!P155+'[1]Obligations 11-13 at 6-30-13'!P180</f>
        <v>1021910</v>
      </c>
      <c r="G80" s="328">
        <f>'[1]Obligations 11-13 at 6-30-13'!P49+'[1]Obligations 11-13 at 6-30-13'!P59+'[1]Obligations 11-13 at 6-30-13'!P146+'[1]Obligations 11-13 at 6-30-13'!P156+'[1]Obligations 11-13 at 6-30-13'!P181</f>
        <v>59720</v>
      </c>
      <c r="H80" s="329">
        <f>'[1]Obligations 11-13 at 6-30-13'!P9+'[1]Obligations 11-13 at 6-30-13'!P25+'[1]Obligations 11-13 at 6-30-13'!P79+'[1]Obligations 11-13 at 6-30-13'!P101+'[1]Obligations 11-13 at 6-30-13'!P119</f>
        <v>433612.51</v>
      </c>
      <c r="I80" s="330">
        <f>'[1]Obligations 11-13 at 6-30-13'!P10+'[1]Obligations 11-13 at 6-30-13'!P26+'[1]Obligations 11-13 at 6-30-13'!P80+'[1]Obligations 11-13 at 6-30-13'!P102+'[1]Obligations 11-13 at 6-30-13'!P120</f>
        <v>119720.24</v>
      </c>
      <c r="J80" s="330">
        <f>'[1]Obligations 11-13 at 6-30-13'!P11+'[1]Obligations 11-13 at 6-30-13'!P27+'[1]Obligations 11-13 at 6-30-13'!P81+'[1]Obligations 11-13 at 6-30-13'!P103+'[1]Obligations 11-13 at 6-30-13'!P121</f>
        <v>40929</v>
      </c>
      <c r="K80" s="330">
        <f>'[1]Obligations 11-13 at 6-30-13'!P12+'[1]Obligations 11-13 at 6-30-13'!P28+'[1]Obligations 11-13 at 6-30-13'!P82+'[1]Obligations 11-13 at 6-30-13'!P104+'[1]Obligations 11-13 at 6-30-13'!P122</f>
        <v>26442</v>
      </c>
      <c r="L80" s="330">
        <f>'[1]Obligations 11-13 at 6-30-13'!P13+'[1]Obligations 11-13 at 6-30-13'!P29+'[1]Obligations 11-13 at 6-30-13'!P83+'[1]Obligations 11-13 at 6-30-13'!P105+'[1]Obligations 11-13 at 6-30-13'!P123</f>
        <v>201139</v>
      </c>
      <c r="M80" s="330">
        <f>'[1]Obligations 11-13 at 6-30-13'!P84+'[1]Obligations 11-13 at 6-30-13'!P106+'[1]Obligations 11-13 at 6-30-13'!P124</f>
        <v>40576</v>
      </c>
      <c r="N80" s="330">
        <f>'[1]Obligations 11-13 at 6-30-13'!P14+'[1]Obligations 11-13 at 6-30-13'!P30+'[1]Obligations 11-13 at 6-30-13'!P85+'[1]Obligations 11-13 at 6-30-13'!P107+'[1]Obligations 11-13 at 6-30-13'!P125</f>
        <v>14211.9</v>
      </c>
      <c r="O80" s="330">
        <f>'[1]Obligations 11-13 at 6-30-13'!P15+'[1]Obligations 11-13 at 6-30-13'!P31+'[1]Obligations 11-13 at 6-30-13'!P86+'[1]Obligations 11-13 at 6-30-13'!P108+'[1]Obligations 11-13 at 6-30-13'!P126</f>
        <v>628880</v>
      </c>
      <c r="P80" s="330">
        <f>'[1]Obligations 11-13 at 6-30-13'!P16+'[1]Obligations 11-13 at 6-30-13'!P32+'[1]Obligations 11-13 at 6-30-13'!P87+'[1]Obligations 11-13 at 6-30-13'!P109+'[1]Obligations 11-13 at 6-30-13'!P127</f>
        <v>196713</v>
      </c>
      <c r="Q80" s="330">
        <f>'[1]Obligations 11-13 at 6-30-13'!P17+'[1]Obligations 11-13 at 6-30-13'!P33+'[1]Obligations 11-13 at 6-30-13'!P88+'[1]Obligations 11-13 at 6-30-13'!P110+'[1]Obligations 11-13 at 6-30-13'!P128</f>
        <v>195962</v>
      </c>
      <c r="R80" s="330">
        <f>'[1]Obligations 11-13 at 6-30-13'!P89+'[1]Obligations 11-13 at 6-30-13'!P111+'[1]Obligations 11-13 at 6-30-13'!P129</f>
        <v>259308</v>
      </c>
      <c r="S80" s="330">
        <f>'[1]Obligations 11-13 at 6-30-13'!P18+'[1]Obligations 11-13 at 6-30-13'!P34+'[1]Obligations 11-13 at 6-30-13'!P90+'[1]Obligations 11-13 at 6-30-13'!P112+'[1]Obligations 11-13 at 6-30-13'!P130</f>
        <v>53261</v>
      </c>
      <c r="T80" s="330">
        <f>'[1]Obligations 11-13 at 6-30-13'!P19+'[1]Obligations 11-13 at 6-30-13'!P35+'[1]Obligations 11-13 at 6-30-13'!P91+'[1]Obligations 11-13 at 6-30-13'!P113+'[1]Obligations 11-13 at 6-30-13'!P131</f>
        <v>52375</v>
      </c>
      <c r="U80" s="327">
        <f>SUM(B80:T80)</f>
        <v>6865591.53</v>
      </c>
    </row>
    <row r="81" spans="2:21" ht="11.25">
      <c r="B81" s="327"/>
      <c r="C81" s="328"/>
      <c r="D81" s="328"/>
      <c r="E81" s="328"/>
      <c r="F81" s="328"/>
      <c r="G81" s="328"/>
      <c r="H81" s="329"/>
      <c r="I81" s="330"/>
      <c r="J81" s="330"/>
      <c r="K81" s="330"/>
      <c r="L81" s="330"/>
      <c r="M81" s="330"/>
      <c r="N81" s="330"/>
      <c r="O81" s="330"/>
      <c r="P81" s="330"/>
      <c r="Q81" s="330"/>
      <c r="R81" s="330"/>
      <c r="S81" s="330"/>
      <c r="T81" s="330"/>
      <c r="U81" s="327"/>
    </row>
    <row r="82" spans="1:22" ht="12" thickBot="1">
      <c r="A82" s="163" t="s">
        <v>414</v>
      </c>
      <c r="B82" s="391"/>
      <c r="C82" s="392"/>
      <c r="D82" s="392"/>
      <c r="E82" s="392"/>
      <c r="F82" s="392"/>
      <c r="G82" s="392"/>
      <c r="H82" s="393"/>
      <c r="I82" s="347"/>
      <c r="J82" s="347"/>
      <c r="K82" s="347"/>
      <c r="L82" s="347"/>
      <c r="M82" s="347"/>
      <c r="N82" s="347"/>
      <c r="O82" s="347"/>
      <c r="P82" s="347"/>
      <c r="Q82" s="347"/>
      <c r="R82" s="347"/>
      <c r="S82" s="347"/>
      <c r="T82" s="347"/>
      <c r="U82" s="342">
        <f>U78-U80</f>
        <v>2399664.2299999995</v>
      </c>
      <c r="V82" s="379"/>
    </row>
    <row r="83" spans="1:21" ht="12" thickTop="1">
      <c r="A83" s="163"/>
      <c r="B83" s="331"/>
      <c r="C83" s="394"/>
      <c r="D83" s="394"/>
      <c r="E83" s="394"/>
      <c r="F83" s="394"/>
      <c r="G83" s="394"/>
      <c r="H83" s="394"/>
      <c r="I83" s="395"/>
      <c r="J83" s="395"/>
      <c r="K83" s="395"/>
      <c r="L83" s="395"/>
      <c r="M83" s="395"/>
      <c r="N83" s="395"/>
      <c r="O83" s="395"/>
      <c r="P83" s="395"/>
      <c r="Q83" s="395"/>
      <c r="R83" s="395"/>
      <c r="S83" s="395"/>
      <c r="T83" s="395"/>
      <c r="U83" s="331"/>
    </row>
    <row r="84" spans="2:21" ht="11.25">
      <c r="B84" s="331"/>
      <c r="C84" s="394"/>
      <c r="D84" s="394"/>
      <c r="E84" s="394"/>
      <c r="F84" s="394"/>
      <c r="G84" s="394"/>
      <c r="H84" s="394"/>
      <c r="I84" s="395"/>
      <c r="J84" s="395"/>
      <c r="K84" s="395"/>
      <c r="L84" s="395"/>
      <c r="M84" s="395"/>
      <c r="N84" s="395"/>
      <c r="O84" s="395"/>
      <c r="P84" s="395"/>
      <c r="Q84" s="395"/>
      <c r="R84" s="395"/>
      <c r="S84" s="395"/>
      <c r="T84" s="395"/>
      <c r="U84" s="331"/>
    </row>
    <row r="85" spans="1:21" ht="11.25">
      <c r="A85" s="396"/>
      <c r="B85" s="331"/>
      <c r="C85" s="540" t="s">
        <v>267</v>
      </c>
      <c r="D85" s="540"/>
      <c r="E85" s="540"/>
      <c r="F85" s="540"/>
      <c r="G85" s="540"/>
      <c r="H85" s="540" t="s">
        <v>386</v>
      </c>
      <c r="I85" s="540"/>
      <c r="J85" s="540"/>
      <c r="K85" s="540"/>
      <c r="L85" s="540"/>
      <c r="M85" s="540"/>
      <c r="N85" s="540"/>
      <c r="O85" s="540"/>
      <c r="P85" s="540"/>
      <c r="Q85" s="540"/>
      <c r="R85" s="540"/>
      <c r="S85" s="540"/>
      <c r="T85" s="540"/>
      <c r="U85" s="331"/>
    </row>
    <row r="86" spans="2:21" ht="11.25">
      <c r="B86" s="397" t="s">
        <v>13</v>
      </c>
      <c r="C86" s="383" t="s">
        <v>36</v>
      </c>
      <c r="D86" s="383" t="s">
        <v>37</v>
      </c>
      <c r="E86" s="383" t="s">
        <v>31</v>
      </c>
      <c r="F86" s="383" t="s">
        <v>32</v>
      </c>
      <c r="G86" s="383" t="s">
        <v>38</v>
      </c>
      <c r="H86" s="398" t="s">
        <v>25</v>
      </c>
      <c r="I86" s="398" t="s">
        <v>26</v>
      </c>
      <c r="J86" s="398" t="s">
        <v>27</v>
      </c>
      <c r="K86" s="398" t="s">
        <v>28</v>
      </c>
      <c r="L86" s="398" t="s">
        <v>29</v>
      </c>
      <c r="M86" s="398" t="s">
        <v>40</v>
      </c>
      <c r="N86" s="398" t="s">
        <v>30</v>
      </c>
      <c r="O86" s="398" t="s">
        <v>31</v>
      </c>
      <c r="P86" s="398" t="s">
        <v>32</v>
      </c>
      <c r="Q86" s="398" t="s">
        <v>33</v>
      </c>
      <c r="R86" s="398" t="s">
        <v>41</v>
      </c>
      <c r="S86" s="398" t="s">
        <v>34</v>
      </c>
      <c r="T86" s="398" t="s">
        <v>35</v>
      </c>
      <c r="U86" s="349"/>
    </row>
    <row r="87" spans="2:21" ht="10.5" customHeight="1">
      <c r="B87" s="321" t="s">
        <v>75</v>
      </c>
      <c r="C87" s="322" t="s">
        <v>290</v>
      </c>
      <c r="D87" s="322" t="s">
        <v>289</v>
      </c>
      <c r="E87" s="322" t="s">
        <v>291</v>
      </c>
      <c r="F87" s="538" t="s">
        <v>292</v>
      </c>
      <c r="G87" s="359" t="s">
        <v>293</v>
      </c>
      <c r="H87" s="357" t="s">
        <v>294</v>
      </c>
      <c r="I87" s="535" t="s">
        <v>303</v>
      </c>
      <c r="J87" s="535" t="s">
        <v>300</v>
      </c>
      <c r="K87" s="357" t="s">
        <v>301</v>
      </c>
      <c r="L87" s="535" t="s">
        <v>295</v>
      </c>
      <c r="M87" s="357" t="s">
        <v>296</v>
      </c>
      <c r="N87" s="535" t="s">
        <v>302</v>
      </c>
      <c r="O87" s="357" t="s">
        <v>291</v>
      </c>
      <c r="P87" s="535" t="s">
        <v>292</v>
      </c>
      <c r="Q87" s="535" t="s">
        <v>304</v>
      </c>
      <c r="R87" s="535" t="s">
        <v>297</v>
      </c>
      <c r="S87" s="357" t="s">
        <v>298</v>
      </c>
      <c r="T87" s="535" t="s">
        <v>299</v>
      </c>
      <c r="U87" s="321" t="s">
        <v>118</v>
      </c>
    </row>
    <row r="88" spans="2:21" ht="11.25">
      <c r="B88" s="360"/>
      <c r="C88" s="361"/>
      <c r="D88" s="361"/>
      <c r="E88" s="361"/>
      <c r="F88" s="539"/>
      <c r="G88" s="325"/>
      <c r="H88" s="326"/>
      <c r="I88" s="536"/>
      <c r="J88" s="536"/>
      <c r="K88" s="326"/>
      <c r="L88" s="536"/>
      <c r="M88" s="326"/>
      <c r="N88" s="536"/>
      <c r="O88" s="326"/>
      <c r="P88" s="536"/>
      <c r="Q88" s="536"/>
      <c r="R88" s="536"/>
      <c r="S88" s="326"/>
      <c r="T88" s="536"/>
      <c r="U88" s="360"/>
    </row>
    <row r="89" spans="1:21" ht="11.25">
      <c r="A89" s="163" t="s">
        <v>415</v>
      </c>
      <c r="B89" s="327"/>
      <c r="C89" s="328"/>
      <c r="D89" s="328"/>
      <c r="E89" s="328"/>
      <c r="F89" s="328"/>
      <c r="G89" s="328"/>
      <c r="H89" s="329"/>
      <c r="I89" s="330"/>
      <c r="J89" s="330"/>
      <c r="K89" s="330"/>
      <c r="L89" s="330"/>
      <c r="M89" s="330"/>
      <c r="N89" s="330"/>
      <c r="O89" s="330"/>
      <c r="P89" s="330"/>
      <c r="Q89" s="330"/>
      <c r="R89" s="330"/>
      <c r="S89" s="330"/>
      <c r="T89" s="330"/>
      <c r="U89" s="388">
        <f>7303.85+191107.05+280599.83+427260.38+5237111.44+2546122.23+293700+282050.98</f>
        <v>9265255.760000002</v>
      </c>
    </row>
    <row r="90" spans="2:21" ht="11.25">
      <c r="B90" s="327"/>
      <c r="C90" s="328"/>
      <c r="D90" s="328"/>
      <c r="E90" s="328"/>
      <c r="F90" s="328"/>
      <c r="G90" s="328"/>
      <c r="H90" s="329"/>
      <c r="I90" s="330"/>
      <c r="J90" s="330"/>
      <c r="K90" s="330"/>
      <c r="L90" s="330"/>
      <c r="M90" s="330"/>
      <c r="N90" s="330"/>
      <c r="O90" s="330"/>
      <c r="P90" s="330"/>
      <c r="Q90" s="330"/>
      <c r="R90" s="330"/>
      <c r="S90" s="330"/>
      <c r="T90" s="330"/>
      <c r="U90" s="327"/>
    </row>
    <row r="91" spans="1:21" ht="11.25">
      <c r="A91" s="163" t="s">
        <v>384</v>
      </c>
      <c r="B91" s="327"/>
      <c r="C91" s="328"/>
      <c r="D91" s="328"/>
      <c r="E91" s="328"/>
      <c r="F91" s="328"/>
      <c r="G91" s="328"/>
      <c r="H91" s="329"/>
      <c r="I91" s="330"/>
      <c r="J91" s="330"/>
      <c r="K91" s="330"/>
      <c r="L91" s="330"/>
      <c r="M91" s="330"/>
      <c r="N91" s="330"/>
      <c r="O91" s="330"/>
      <c r="P91" s="330"/>
      <c r="Q91" s="330"/>
      <c r="R91" s="330"/>
      <c r="S91" s="330"/>
      <c r="T91" s="330"/>
      <c r="U91" s="327"/>
    </row>
    <row r="92" spans="1:21" ht="11.25">
      <c r="A92" s="315" t="s">
        <v>267</v>
      </c>
      <c r="B92" s="327"/>
      <c r="C92" s="328"/>
      <c r="D92" s="328"/>
      <c r="E92" s="328"/>
      <c r="F92" s="328"/>
      <c r="G92" s="328"/>
      <c r="H92" s="329"/>
      <c r="I92" s="330"/>
      <c r="J92" s="330"/>
      <c r="K92" s="330"/>
      <c r="L92" s="330"/>
      <c r="M92" s="330"/>
      <c r="N92" s="330"/>
      <c r="O92" s="330"/>
      <c r="P92" s="330"/>
      <c r="Q92" s="330"/>
      <c r="R92" s="330"/>
      <c r="S92" s="330"/>
      <c r="T92" s="330"/>
      <c r="U92" s="327">
        <v>10459484.27</v>
      </c>
    </row>
    <row r="93" spans="1:21" ht="11.25">
      <c r="A93" s="315" t="s">
        <v>386</v>
      </c>
      <c r="B93" s="327"/>
      <c r="C93" s="328"/>
      <c r="D93" s="328"/>
      <c r="E93" s="328"/>
      <c r="F93" s="328"/>
      <c r="G93" s="328"/>
      <c r="H93" s="329"/>
      <c r="I93" s="330"/>
      <c r="J93" s="330"/>
      <c r="K93" s="330"/>
      <c r="L93" s="330"/>
      <c r="M93" s="330"/>
      <c r="N93" s="330"/>
      <c r="O93" s="330"/>
      <c r="P93" s="330"/>
      <c r="Q93" s="330"/>
      <c r="R93" s="330"/>
      <c r="S93" s="330"/>
      <c r="T93" s="330"/>
      <c r="U93" s="327">
        <v>7351445.78</v>
      </c>
    </row>
    <row r="94" spans="1:21" ht="11.25">
      <c r="A94" s="399" t="s">
        <v>20</v>
      </c>
      <c r="B94" s="338"/>
      <c r="C94" s="340"/>
      <c r="D94" s="340"/>
      <c r="E94" s="340"/>
      <c r="F94" s="340"/>
      <c r="G94" s="340"/>
      <c r="H94" s="341"/>
      <c r="I94" s="341"/>
      <c r="J94" s="341"/>
      <c r="K94" s="341"/>
      <c r="L94" s="341"/>
      <c r="M94" s="341"/>
      <c r="N94" s="341"/>
      <c r="O94" s="341"/>
      <c r="P94" s="341"/>
      <c r="Q94" s="341"/>
      <c r="R94" s="341"/>
      <c r="S94" s="341"/>
      <c r="T94" s="341"/>
      <c r="U94" s="338">
        <v>176795.47</v>
      </c>
    </row>
    <row r="95" spans="1:21" ht="11.25">
      <c r="A95" s="399"/>
      <c r="B95" s="327"/>
      <c r="C95" s="328"/>
      <c r="D95" s="328"/>
      <c r="E95" s="328"/>
      <c r="F95" s="328"/>
      <c r="G95" s="328"/>
      <c r="H95" s="329"/>
      <c r="I95" s="329"/>
      <c r="J95" s="329"/>
      <c r="K95" s="329"/>
      <c r="L95" s="329"/>
      <c r="M95" s="329"/>
      <c r="N95" s="329"/>
      <c r="O95" s="329"/>
      <c r="P95" s="329"/>
      <c r="Q95" s="329"/>
      <c r="R95" s="329"/>
      <c r="S95" s="329"/>
      <c r="T95" s="329"/>
      <c r="U95" s="327"/>
    </row>
    <row r="96" spans="1:21" ht="11.25">
      <c r="A96" s="163" t="s">
        <v>7</v>
      </c>
      <c r="B96" s="327"/>
      <c r="C96" s="328"/>
      <c r="D96" s="328"/>
      <c r="E96" s="328"/>
      <c r="F96" s="328"/>
      <c r="G96" s="328"/>
      <c r="H96" s="329"/>
      <c r="I96" s="330"/>
      <c r="J96" s="330"/>
      <c r="K96" s="330"/>
      <c r="L96" s="330"/>
      <c r="M96" s="330"/>
      <c r="N96" s="330"/>
      <c r="O96" s="330"/>
      <c r="P96" s="330"/>
      <c r="Q96" s="330"/>
      <c r="R96" s="330"/>
      <c r="S96" s="330"/>
      <c r="T96" s="330"/>
      <c r="U96" s="327">
        <f>SUM(U92:U94)</f>
        <v>17987725.52</v>
      </c>
    </row>
    <row r="97" spans="2:21" ht="11.25">
      <c r="B97" s="327"/>
      <c r="C97" s="328"/>
      <c r="D97" s="328"/>
      <c r="E97" s="328"/>
      <c r="F97" s="328"/>
      <c r="G97" s="328"/>
      <c r="H97" s="329"/>
      <c r="I97" s="330"/>
      <c r="J97" s="330"/>
      <c r="K97" s="330"/>
      <c r="L97" s="330"/>
      <c r="M97" s="330"/>
      <c r="N97" s="330"/>
      <c r="O97" s="330"/>
      <c r="P97" s="330"/>
      <c r="Q97" s="330"/>
      <c r="R97" s="330"/>
      <c r="S97" s="330"/>
      <c r="T97" s="330"/>
      <c r="U97" s="327"/>
    </row>
    <row r="98" spans="1:21" ht="11.25">
      <c r="A98" s="163" t="s">
        <v>89</v>
      </c>
      <c r="B98" s="327"/>
      <c r="C98" s="328"/>
      <c r="D98" s="328"/>
      <c r="E98" s="328"/>
      <c r="F98" s="328"/>
      <c r="G98" s="328"/>
      <c r="H98" s="329"/>
      <c r="I98" s="330"/>
      <c r="J98" s="330"/>
      <c r="K98" s="330"/>
      <c r="L98" s="330"/>
      <c r="M98" s="330"/>
      <c r="N98" s="330"/>
      <c r="O98" s="330"/>
      <c r="P98" s="330"/>
      <c r="Q98" s="330"/>
      <c r="R98" s="330"/>
      <c r="S98" s="330"/>
      <c r="T98" s="330"/>
      <c r="U98" s="327"/>
    </row>
    <row r="99" spans="1:21" ht="11.25" hidden="1" outlineLevel="1">
      <c r="A99" s="315" t="s">
        <v>124</v>
      </c>
      <c r="B99" s="327">
        <f>278741.99+124.86-179.36</f>
        <v>278687.49</v>
      </c>
      <c r="C99" s="328"/>
      <c r="D99" s="328"/>
      <c r="E99" s="328"/>
      <c r="F99" s="328"/>
      <c r="G99" s="328"/>
      <c r="H99" s="329"/>
      <c r="I99" s="330"/>
      <c r="J99" s="330"/>
      <c r="K99" s="330"/>
      <c r="L99" s="330"/>
      <c r="M99" s="330"/>
      <c r="N99" s="330"/>
      <c r="O99" s="330"/>
      <c r="P99" s="330"/>
      <c r="Q99" s="330"/>
      <c r="R99" s="330"/>
      <c r="S99" s="330"/>
      <c r="T99" s="330"/>
      <c r="U99" s="327">
        <f>SUM(B99:T99)</f>
        <v>278687.49</v>
      </c>
    </row>
    <row r="100" spans="1:21" ht="11.25" hidden="1" outlineLevel="1">
      <c r="A100" s="315" t="s">
        <v>39</v>
      </c>
      <c r="B100" s="327">
        <v>53087</v>
      </c>
      <c r="C100" s="328"/>
      <c r="D100" s="328"/>
      <c r="E100" s="328"/>
      <c r="F100" s="328"/>
      <c r="G100" s="328"/>
      <c r="H100" s="329"/>
      <c r="I100" s="330"/>
      <c r="J100" s="330"/>
      <c r="K100" s="330"/>
      <c r="L100" s="330"/>
      <c r="M100" s="330"/>
      <c r="N100" s="330"/>
      <c r="O100" s="330"/>
      <c r="P100" s="330"/>
      <c r="Q100" s="330"/>
      <c r="R100" s="330"/>
      <c r="S100" s="330"/>
      <c r="T100" s="330"/>
      <c r="U100" s="327">
        <f aca="true" t="shared" si="8" ref="U100:U111">SUM(B100:T100)</f>
        <v>53087</v>
      </c>
    </row>
    <row r="101" spans="1:21" ht="11.25" collapsed="1">
      <c r="A101" s="363" t="s">
        <v>397</v>
      </c>
      <c r="B101" s="327">
        <f>SUM(B99:B100)</f>
        <v>331774.49</v>
      </c>
      <c r="C101" s="328"/>
      <c r="D101" s="328"/>
      <c r="E101" s="328"/>
      <c r="F101" s="328"/>
      <c r="G101" s="328"/>
      <c r="H101" s="329"/>
      <c r="I101" s="330"/>
      <c r="J101" s="330"/>
      <c r="K101" s="330"/>
      <c r="L101" s="330"/>
      <c r="M101" s="330"/>
      <c r="N101" s="330"/>
      <c r="O101" s="330"/>
      <c r="P101" s="330"/>
      <c r="Q101" s="330"/>
      <c r="R101" s="330"/>
      <c r="S101" s="330"/>
      <c r="T101" s="330"/>
      <c r="U101" s="327">
        <f t="shared" si="8"/>
        <v>331774.49</v>
      </c>
    </row>
    <row r="102" spans="1:21" ht="11.25" hidden="1" outlineLevel="1">
      <c r="A102" s="315" t="s">
        <v>398</v>
      </c>
      <c r="B102" s="327">
        <f>322082.84+0.02</f>
        <v>322082.86000000004</v>
      </c>
      <c r="C102" s="328"/>
      <c r="D102" s="328"/>
      <c r="E102" s="328"/>
      <c r="F102" s="328"/>
      <c r="G102" s="328"/>
      <c r="H102" s="329"/>
      <c r="I102" s="330"/>
      <c r="J102" s="330"/>
      <c r="K102" s="330"/>
      <c r="L102" s="330"/>
      <c r="M102" s="330"/>
      <c r="N102" s="330"/>
      <c r="O102" s="330"/>
      <c r="P102" s="330"/>
      <c r="Q102" s="330"/>
      <c r="R102" s="330"/>
      <c r="S102" s="330"/>
      <c r="T102" s="330"/>
      <c r="U102" s="327">
        <f t="shared" si="8"/>
        <v>322082.86000000004</v>
      </c>
    </row>
    <row r="103" spans="1:21" ht="11.25" hidden="1" outlineLevel="1">
      <c r="A103" s="315" t="s">
        <v>399</v>
      </c>
      <c r="B103" s="327">
        <v>4152.81</v>
      </c>
      <c r="C103" s="328"/>
      <c r="D103" s="328"/>
      <c r="E103" s="328"/>
      <c r="F103" s="328"/>
      <c r="G103" s="328"/>
      <c r="H103" s="329"/>
      <c r="I103" s="330" t="s">
        <v>99</v>
      </c>
      <c r="J103" s="330"/>
      <c r="K103" s="330"/>
      <c r="L103" s="330"/>
      <c r="M103" s="330"/>
      <c r="N103" s="330"/>
      <c r="O103" s="330"/>
      <c r="P103" s="330"/>
      <c r="Q103" s="330"/>
      <c r="R103" s="330"/>
      <c r="S103" s="330"/>
      <c r="T103" s="330"/>
      <c r="U103" s="327">
        <f t="shared" si="8"/>
        <v>4152.81</v>
      </c>
    </row>
    <row r="104" spans="1:21" ht="11.25" collapsed="1">
      <c r="A104" s="363" t="s">
        <v>401</v>
      </c>
      <c r="B104" s="327">
        <f>SUM(B102:B103)</f>
        <v>326235.67000000004</v>
      </c>
      <c r="C104" s="328"/>
      <c r="D104" s="328"/>
      <c r="E104" s="328"/>
      <c r="F104" s="328"/>
      <c r="G104" s="328"/>
      <c r="H104" s="329"/>
      <c r="I104" s="330"/>
      <c r="J104" s="330"/>
      <c r="K104" s="330"/>
      <c r="L104" s="330"/>
      <c r="M104" s="330"/>
      <c r="N104" s="330"/>
      <c r="O104" s="330"/>
      <c r="P104" s="330"/>
      <c r="Q104" s="330"/>
      <c r="R104" s="330"/>
      <c r="S104" s="330"/>
      <c r="T104" s="330"/>
      <c r="U104" s="327">
        <f t="shared" si="8"/>
        <v>326235.67000000004</v>
      </c>
    </row>
    <row r="105" spans="1:21" ht="11.25" hidden="1" outlineLevel="1">
      <c r="A105" s="315" t="s">
        <v>387</v>
      </c>
      <c r="B105" s="327"/>
      <c r="C105" s="328">
        <v>256113</v>
      </c>
      <c r="D105" s="328">
        <v>99189.71</v>
      </c>
      <c r="E105" s="328">
        <v>201744.28</v>
      </c>
      <c r="F105" s="328">
        <v>134638</v>
      </c>
      <c r="G105" s="328">
        <v>25223</v>
      </c>
      <c r="H105" s="329">
        <v>91665.52</v>
      </c>
      <c r="I105" s="330">
        <v>22540.16</v>
      </c>
      <c r="J105" s="330">
        <v>17152</v>
      </c>
      <c r="K105" s="330">
        <v>4037</v>
      </c>
      <c r="L105" s="330">
        <v>91159</v>
      </c>
      <c r="M105" s="330">
        <v>6758.8</v>
      </c>
      <c r="N105" s="330">
        <v>8301.58</v>
      </c>
      <c r="O105" s="330">
        <v>37930.38</v>
      </c>
      <c r="P105" s="330">
        <v>26736</v>
      </c>
      <c r="Q105" s="330">
        <v>33633</v>
      </c>
      <c r="R105" s="330">
        <v>28585.39</v>
      </c>
      <c r="S105" s="330">
        <v>24205</v>
      </c>
      <c r="T105" s="330">
        <f>34174+44626</f>
        <v>78800</v>
      </c>
      <c r="U105" s="327">
        <f t="shared" si="8"/>
        <v>1188411.82</v>
      </c>
    </row>
    <row r="106" spans="1:21" ht="11.25" hidden="1" outlineLevel="1">
      <c r="A106" s="315" t="s">
        <v>388</v>
      </c>
      <c r="B106" s="327"/>
      <c r="C106" s="328">
        <v>25667</v>
      </c>
      <c r="D106" s="328">
        <v>7882.48</v>
      </c>
      <c r="E106" s="328">
        <v>7326.69</v>
      </c>
      <c r="F106" s="328">
        <v>5944</v>
      </c>
      <c r="G106" s="328">
        <v>7010</v>
      </c>
      <c r="H106" s="329">
        <v>14027.2</v>
      </c>
      <c r="I106" s="330">
        <v>3587.16</v>
      </c>
      <c r="J106" s="330">
        <v>4564</v>
      </c>
      <c r="K106" s="330">
        <v>4118</v>
      </c>
      <c r="L106" s="330">
        <v>8644</v>
      </c>
      <c r="M106" s="330"/>
      <c r="N106" s="330">
        <v>290.63</v>
      </c>
      <c r="O106" s="330">
        <v>3841.95</v>
      </c>
      <c r="P106" s="330">
        <v>2336</v>
      </c>
      <c r="Q106" s="330">
        <v>4929</v>
      </c>
      <c r="R106" s="330"/>
      <c r="S106" s="330">
        <v>7269.25</v>
      </c>
      <c r="T106" s="330">
        <f>483+2148</f>
        <v>2631</v>
      </c>
      <c r="U106" s="327">
        <f t="shared" si="8"/>
        <v>110068.36</v>
      </c>
    </row>
    <row r="107" spans="1:21" ht="11.25" collapsed="1">
      <c r="A107" s="363" t="s">
        <v>402</v>
      </c>
      <c r="B107" s="327"/>
      <c r="C107" s="328">
        <f>SUM(C105:C106)</f>
        <v>281780</v>
      </c>
      <c r="D107" s="328">
        <f aca="true" t="shared" si="9" ref="D107:T107">SUM(D105:D106)</f>
        <v>107072.19</v>
      </c>
      <c r="E107" s="328">
        <f t="shared" si="9"/>
        <v>209070.97</v>
      </c>
      <c r="F107" s="328">
        <f t="shared" si="9"/>
        <v>140582</v>
      </c>
      <c r="G107" s="328">
        <f t="shared" si="9"/>
        <v>32233</v>
      </c>
      <c r="H107" s="329">
        <f t="shared" si="9"/>
        <v>105692.72</v>
      </c>
      <c r="I107" s="329">
        <f t="shared" si="9"/>
        <v>26127.32</v>
      </c>
      <c r="J107" s="329">
        <f t="shared" si="9"/>
        <v>21716</v>
      </c>
      <c r="K107" s="329">
        <f t="shared" si="9"/>
        <v>8155</v>
      </c>
      <c r="L107" s="329">
        <f t="shared" si="9"/>
        <v>99803</v>
      </c>
      <c r="M107" s="329">
        <f t="shared" si="9"/>
        <v>6758.8</v>
      </c>
      <c r="N107" s="329">
        <f t="shared" si="9"/>
        <v>8592.21</v>
      </c>
      <c r="O107" s="329">
        <f t="shared" si="9"/>
        <v>41772.329999999994</v>
      </c>
      <c r="P107" s="329">
        <f t="shared" si="9"/>
        <v>29072</v>
      </c>
      <c r="Q107" s="329">
        <f t="shared" si="9"/>
        <v>38562</v>
      </c>
      <c r="R107" s="329">
        <f t="shared" si="9"/>
        <v>28585.39</v>
      </c>
      <c r="S107" s="329">
        <f t="shared" si="9"/>
        <v>31474.25</v>
      </c>
      <c r="T107" s="329">
        <f t="shared" si="9"/>
        <v>81431</v>
      </c>
      <c r="U107" s="327">
        <f t="shared" si="8"/>
        <v>1298480.18</v>
      </c>
    </row>
    <row r="108" spans="1:21" ht="11.25">
      <c r="A108" s="363" t="s">
        <v>403</v>
      </c>
      <c r="B108" s="327"/>
      <c r="C108" s="328">
        <v>12797</v>
      </c>
      <c r="D108" s="328">
        <v>14916.5</v>
      </c>
      <c r="E108" s="328">
        <v>33116</v>
      </c>
      <c r="F108" s="328">
        <v>7058</v>
      </c>
      <c r="G108" s="328">
        <v>4708</v>
      </c>
      <c r="H108" s="329">
        <v>8977.72</v>
      </c>
      <c r="I108" s="330">
        <v>2081.12</v>
      </c>
      <c r="J108" s="330">
        <v>6606</v>
      </c>
      <c r="K108" s="330">
        <v>319</v>
      </c>
      <c r="L108" s="330">
        <v>5679</v>
      </c>
      <c r="M108" s="330">
        <v>231.98</v>
      </c>
      <c r="N108" s="330">
        <v>486.62</v>
      </c>
      <c r="O108" s="330">
        <v>11827.96</v>
      </c>
      <c r="P108" s="330">
        <v>4311</v>
      </c>
      <c r="Q108" s="330">
        <v>2014</v>
      </c>
      <c r="R108" s="330">
        <v>1790</v>
      </c>
      <c r="S108" s="330">
        <v>6376</v>
      </c>
      <c r="T108" s="330">
        <f>2131+3747</f>
        <v>5878</v>
      </c>
      <c r="U108" s="327">
        <f t="shared" si="8"/>
        <v>129173.9</v>
      </c>
    </row>
    <row r="109" spans="1:21" ht="11.25" hidden="1" outlineLevel="1">
      <c r="A109" s="315" t="s">
        <v>238</v>
      </c>
      <c r="B109" s="327"/>
      <c r="C109" s="328">
        <v>2447691</v>
      </c>
      <c r="D109" s="328">
        <v>978361.91</v>
      </c>
      <c r="E109" s="328">
        <v>3721346.71</v>
      </c>
      <c r="F109" s="328">
        <v>1365591</v>
      </c>
      <c r="G109" s="328">
        <v>210345</v>
      </c>
      <c r="H109" s="329">
        <v>971995.96</v>
      </c>
      <c r="I109" s="330">
        <v>197794.21</v>
      </c>
      <c r="J109" s="330">
        <v>147213</v>
      </c>
      <c r="K109" s="330">
        <v>40229</v>
      </c>
      <c r="L109" s="330">
        <v>925223</v>
      </c>
      <c r="M109" s="330">
        <v>76513.89</v>
      </c>
      <c r="N109" s="330">
        <v>24301.4</v>
      </c>
      <c r="O109" s="330">
        <v>703185.21</v>
      </c>
      <c r="P109" s="330">
        <v>178106</v>
      </c>
      <c r="Q109" s="330">
        <v>813313</v>
      </c>
      <c r="R109" s="330">
        <v>292678.34</v>
      </c>
      <c r="S109" s="330">
        <v>174803.25</v>
      </c>
      <c r="T109" s="330">
        <f>301668+395493</f>
        <v>697161</v>
      </c>
      <c r="U109" s="327">
        <f t="shared" si="8"/>
        <v>13965852.880000003</v>
      </c>
    </row>
    <row r="110" spans="1:21" ht="11.25" hidden="1" outlineLevel="1">
      <c r="A110" s="315" t="s">
        <v>389</v>
      </c>
      <c r="B110" s="327"/>
      <c r="C110" s="328">
        <v>287077</v>
      </c>
      <c r="D110" s="328">
        <v>112579.02</v>
      </c>
      <c r="E110" s="328">
        <v>139116.01</v>
      </c>
      <c r="F110" s="328">
        <v>96366</v>
      </c>
      <c r="G110" s="328">
        <v>61405</v>
      </c>
      <c r="H110" s="329">
        <v>159058.87</v>
      </c>
      <c r="I110" s="330">
        <v>18355.65</v>
      </c>
      <c r="J110" s="330">
        <v>64164</v>
      </c>
      <c r="K110" s="330">
        <v>47780</v>
      </c>
      <c r="L110" s="330">
        <v>99360</v>
      </c>
      <c r="M110" s="330"/>
      <c r="N110" s="330">
        <v>919.31</v>
      </c>
      <c r="O110" s="330">
        <v>72879.83</v>
      </c>
      <c r="P110" s="330">
        <v>34508.75</v>
      </c>
      <c r="Q110" s="330">
        <v>29231</v>
      </c>
      <c r="R110" s="330"/>
      <c r="S110" s="330">
        <v>75358</v>
      </c>
      <c r="T110" s="330">
        <f>3005+22264</f>
        <v>25269</v>
      </c>
      <c r="U110" s="327">
        <f t="shared" si="8"/>
        <v>1323427.4400000002</v>
      </c>
    </row>
    <row r="111" spans="1:21" ht="11.25" collapsed="1">
      <c r="A111" s="363" t="s">
        <v>411</v>
      </c>
      <c r="B111" s="327"/>
      <c r="C111" s="328">
        <f>SUM(C109:C110)</f>
        <v>2734768</v>
      </c>
      <c r="D111" s="328">
        <f aca="true" t="shared" si="10" ref="D111:T111">SUM(D109:D110)</f>
        <v>1090940.93</v>
      </c>
      <c r="E111" s="328">
        <f t="shared" si="10"/>
        <v>3860462.7199999997</v>
      </c>
      <c r="F111" s="328">
        <f t="shared" si="10"/>
        <v>1461957</v>
      </c>
      <c r="G111" s="328">
        <f t="shared" si="10"/>
        <v>271750</v>
      </c>
      <c r="H111" s="329">
        <f t="shared" si="10"/>
        <v>1131054.83</v>
      </c>
      <c r="I111" s="329">
        <f t="shared" si="10"/>
        <v>216149.86</v>
      </c>
      <c r="J111" s="329">
        <f t="shared" si="10"/>
        <v>211377</v>
      </c>
      <c r="K111" s="329">
        <f t="shared" si="10"/>
        <v>88009</v>
      </c>
      <c r="L111" s="329">
        <f t="shared" si="10"/>
        <v>1024583</v>
      </c>
      <c r="M111" s="329">
        <f t="shared" si="10"/>
        <v>76513.89</v>
      </c>
      <c r="N111" s="329">
        <f t="shared" si="10"/>
        <v>25220.710000000003</v>
      </c>
      <c r="O111" s="329">
        <f t="shared" si="10"/>
        <v>776065.0399999999</v>
      </c>
      <c r="P111" s="329">
        <f t="shared" si="10"/>
        <v>212614.75</v>
      </c>
      <c r="Q111" s="329">
        <f t="shared" si="10"/>
        <v>842544</v>
      </c>
      <c r="R111" s="329">
        <f t="shared" si="10"/>
        <v>292678.34</v>
      </c>
      <c r="S111" s="329">
        <f t="shared" si="10"/>
        <v>250161.25</v>
      </c>
      <c r="T111" s="329">
        <f t="shared" si="10"/>
        <v>722430</v>
      </c>
      <c r="U111" s="327">
        <f t="shared" si="8"/>
        <v>15289280.319999998</v>
      </c>
    </row>
    <row r="112" spans="2:21" ht="11.25">
      <c r="B112" s="327"/>
      <c r="C112" s="328"/>
      <c r="D112" s="328"/>
      <c r="E112" s="328"/>
      <c r="F112" s="328"/>
      <c r="G112" s="328"/>
      <c r="H112" s="329"/>
      <c r="I112" s="330"/>
      <c r="J112" s="330"/>
      <c r="K112" s="330"/>
      <c r="L112" s="330"/>
      <c r="M112" s="330"/>
      <c r="N112" s="330"/>
      <c r="O112" s="330"/>
      <c r="P112" s="330"/>
      <c r="Q112" s="330"/>
      <c r="R112" s="330"/>
      <c r="S112" s="330"/>
      <c r="T112" s="330"/>
      <c r="U112" s="327"/>
    </row>
    <row r="113" spans="1:21" ht="11.25">
      <c r="A113" s="163" t="s">
        <v>8</v>
      </c>
      <c r="B113" s="388">
        <f aca="true" t="shared" si="11" ref="B113:T113">B101+B104+B107+B108+B111</f>
        <v>658010.16</v>
      </c>
      <c r="C113" s="389">
        <f t="shared" si="11"/>
        <v>3029345</v>
      </c>
      <c r="D113" s="389">
        <f t="shared" si="11"/>
        <v>1212929.6199999999</v>
      </c>
      <c r="E113" s="389">
        <f t="shared" si="11"/>
        <v>4102649.69</v>
      </c>
      <c r="F113" s="389">
        <f t="shared" si="11"/>
        <v>1609597</v>
      </c>
      <c r="G113" s="389">
        <f t="shared" si="11"/>
        <v>308691</v>
      </c>
      <c r="H113" s="390">
        <f t="shared" si="11"/>
        <v>1245725.27</v>
      </c>
      <c r="I113" s="390">
        <f t="shared" si="11"/>
        <v>244358.3</v>
      </c>
      <c r="J113" s="390">
        <f t="shared" si="11"/>
        <v>239699</v>
      </c>
      <c r="K113" s="390">
        <f t="shared" si="11"/>
        <v>96483</v>
      </c>
      <c r="L113" s="390">
        <f t="shared" si="11"/>
        <v>1130065</v>
      </c>
      <c r="M113" s="390">
        <f t="shared" si="11"/>
        <v>83504.67</v>
      </c>
      <c r="N113" s="390">
        <f t="shared" si="11"/>
        <v>34299.54</v>
      </c>
      <c r="O113" s="390">
        <f t="shared" si="11"/>
        <v>829665.33</v>
      </c>
      <c r="P113" s="390">
        <f t="shared" si="11"/>
        <v>245997.75</v>
      </c>
      <c r="Q113" s="390">
        <f t="shared" si="11"/>
        <v>883120</v>
      </c>
      <c r="R113" s="390">
        <f t="shared" si="11"/>
        <v>323053.73000000004</v>
      </c>
      <c r="S113" s="390">
        <f t="shared" si="11"/>
        <v>288011.5</v>
      </c>
      <c r="T113" s="390">
        <f t="shared" si="11"/>
        <v>809739</v>
      </c>
      <c r="U113" s="388">
        <f>SUM(B113:T113)</f>
        <v>17374944.560000002</v>
      </c>
    </row>
    <row r="114" spans="1:21" ht="11.25">
      <c r="A114" s="163"/>
      <c r="B114" s="327"/>
      <c r="C114" s="328"/>
      <c r="D114" s="328"/>
      <c r="E114" s="328"/>
      <c r="F114" s="328"/>
      <c r="G114" s="328"/>
      <c r="H114" s="329"/>
      <c r="I114" s="330"/>
      <c r="J114" s="330"/>
      <c r="K114" s="330"/>
      <c r="L114" s="330"/>
      <c r="M114" s="330"/>
      <c r="N114" s="330"/>
      <c r="O114" s="330"/>
      <c r="P114" s="330"/>
      <c r="Q114" s="330"/>
      <c r="R114" s="330"/>
      <c r="S114" s="330"/>
      <c r="T114" s="330"/>
      <c r="U114" s="327"/>
    </row>
    <row r="115" spans="1:22" ht="12" thickBot="1">
      <c r="A115" s="163" t="s">
        <v>416</v>
      </c>
      <c r="B115" s="342"/>
      <c r="C115" s="343"/>
      <c r="D115" s="343"/>
      <c r="E115" s="343"/>
      <c r="F115" s="343"/>
      <c r="G115" s="343"/>
      <c r="H115" s="344"/>
      <c r="I115" s="344"/>
      <c r="J115" s="344"/>
      <c r="K115" s="344"/>
      <c r="L115" s="344"/>
      <c r="M115" s="344"/>
      <c r="N115" s="344"/>
      <c r="O115" s="344"/>
      <c r="P115" s="344"/>
      <c r="Q115" s="344"/>
      <c r="R115" s="344"/>
      <c r="S115" s="344"/>
      <c r="T115" s="344"/>
      <c r="U115" s="342">
        <f>U89+U96-U113</f>
        <v>9878036.719999999</v>
      </c>
      <c r="V115" s="379"/>
    </row>
    <row r="116" spans="2:21" ht="12" thickTop="1">
      <c r="B116" s="327"/>
      <c r="C116" s="328"/>
      <c r="D116" s="328"/>
      <c r="E116" s="328"/>
      <c r="F116" s="328"/>
      <c r="G116" s="328"/>
      <c r="H116" s="329"/>
      <c r="I116" s="330"/>
      <c r="J116" s="330"/>
      <c r="K116" s="330"/>
      <c r="L116" s="330"/>
      <c r="M116" s="330"/>
      <c r="N116" s="330"/>
      <c r="O116" s="330"/>
      <c r="P116" s="330"/>
      <c r="Q116" s="330"/>
      <c r="R116" s="330"/>
      <c r="S116" s="330"/>
      <c r="T116" s="330"/>
      <c r="U116" s="327"/>
    </row>
    <row r="117" spans="1:21" ht="11.25">
      <c r="A117" s="363" t="s">
        <v>417</v>
      </c>
      <c r="B117" s="327">
        <f>'[1]Obligations 13-15 at 6-30-15'!P179</f>
        <v>0</v>
      </c>
      <c r="C117" s="328">
        <f>'[1]Obligations 13-15 at 6-30-15'!P45+'[1]Obligations 13-15 at 6-30-15'!P55+'[1]Obligations 13-15 at 6-30-15'!P141+'[1]Obligations 13-15 at 6-30-15'!P151+'[1]Obligations 13-15 at 6-30-15'!P165</f>
        <v>680811</v>
      </c>
      <c r="D117" s="328">
        <f>'[1]Obligations 13-15 at 6-30-15'!P46+'[1]Obligations 13-15 at 6-30-15'!P56+'[1]Obligations 13-15 at 6-30-15'!P142+'[1]Obligations 13-15 at 6-30-15'!P152+'[1]Obligations 13-15 at 6-30-15'!P166</f>
        <v>809414.25</v>
      </c>
      <c r="E117" s="328">
        <f>'[1]Obligations 13-15 at 6-30-15'!P47+'[1]Obligations 13-15 at 6-30-15'!P57+'[1]Obligations 13-15 at 6-30-15'!P143+'[1]Obligations 13-15 at 6-30-15'!P153+'[1]Obligations 13-15 at 6-30-15'!P167</f>
        <v>503140.31</v>
      </c>
      <c r="F117" s="328">
        <f>'[1]Obligations 13-15 at 6-30-15'!P48+'[1]Obligations 13-15 at 6-30-15'!P58+'[1]Obligations 13-15 at 6-30-15'!P144+'[1]Obligations 13-15 at 6-30-15'!P154+'[1]Obligations 13-15 at 6-30-15'!P168</f>
        <v>210600.52</v>
      </c>
      <c r="G117" s="328">
        <f>'[1]Obligations 13-15 at 6-30-15'!P49+'[1]Obligations 13-15 at 6-30-15'!P59+'[1]Obligations 13-15 at 6-30-15'!P145+'[1]Obligations 13-15 at 6-30-15'!P155+'[1]Obligations 13-15 at 6-30-15'!P169</f>
        <v>132781</v>
      </c>
      <c r="H117" s="329">
        <f>'[1]Obligations 13-15 at 6-30-15'!P9+'[1]Obligations 13-15 at 6-30-15'!P25+'[1]Obligations 13-15 at 6-30-15'!P79+'[1]Obligations 13-15 at 6-30-15'!P101+'[1]Obligations 13-15 at 6-30-15'!P119</f>
        <v>176490.97999999998</v>
      </c>
      <c r="I117" s="330">
        <f>'[1]Obligations 13-15 at 6-30-15'!P10+'[1]Obligations 13-15 at 6-30-15'!P26+'[1]Obligations 13-15 at 6-30-15'!P80+'[1]Obligations 13-15 at 6-30-15'!P102+'[1]Obligations 13-15 at 6-30-15'!P120</f>
        <v>63541.7</v>
      </c>
      <c r="J117" s="330">
        <f>'[1]Obligations 13-15 at 6-30-15'!P11+'[1]Obligations 13-15 at 6-30-15'!P27+'[1]Obligations 13-15 at 6-30-15'!P81+'[1]Obligations 13-15 at 6-30-15'!P103+'[1]Obligations 13-15 at 6-30-15'!P121</f>
        <v>92902</v>
      </c>
      <c r="K117" s="330">
        <f>'[1]Obligations 13-15 at 6-30-15'!P12+'[1]Obligations 13-15 at 6-30-15'!P28+'[1]Obligations 13-15 at 6-30-15'!P82+'[1]Obligations 13-15 at 6-30-15'!P104+'[1]Obligations 13-15 at 6-30-15'!P122</f>
        <v>28917</v>
      </c>
      <c r="L117" s="330">
        <f>'[1]Obligations 13-15 at 6-30-15'!P13+'[1]Obligations 13-15 at 6-30-15'!P29+'[1]Obligations 13-15 at 6-30-15'!P83+'[1]Obligations 13-15 at 6-30-15'!P105+'[1]Obligations 13-15 at 6-30-15'!P123</f>
        <v>31294</v>
      </c>
      <c r="M117" s="330">
        <f>'[1]Obligations 13-15 at 6-30-15'!P84+'[1]Obligations 13-15 at 6-30-15'!P106+'[1]Obligations 13-15 at 6-30-15'!P124</f>
        <v>18715.33</v>
      </c>
      <c r="N117" s="330">
        <f>'[1]Obligations 13-15 at 6-30-15'!P14+'[1]Obligations 13-15 at 6-30-15'!P30+'[1]Obligations 13-15 at 6-30-15'!P85+'[1]Obligations 13-15 at 6-30-15'!P107+'[1]Obligations 13-15 at 6-30-15'!P125</f>
        <v>56505.98</v>
      </c>
      <c r="O117" s="330">
        <f>'[1]Obligations 13-15 at 6-30-15'!P15+'[1]Obligations 13-15 at 6-30-15'!P31+'[1]Obligations 13-15 at 6-30-15'!P86+'[1]Obligations 13-15 at 6-30-15'!P108+'[1]Obligations 13-15 at 6-30-15'!P126</f>
        <v>492298.86</v>
      </c>
      <c r="P117" s="330">
        <f>'[1]Obligations 13-15 at 6-30-15'!P16+'[1]Obligations 13-15 at 6-30-15'!P32+'[1]Obligations 13-15 at 6-30-15'!P87+'[1]Obligations 13-15 at 6-30-15'!P109+'[1]Obligations 13-15 at 6-30-15'!P127</f>
        <v>48503</v>
      </c>
      <c r="Q117" s="330">
        <f>'[1]Obligations 13-15 at 6-30-15'!P17+'[1]Obligations 13-15 at 6-30-15'!P33+'[1]Obligations 13-15 at 6-30-15'!P88+'[1]Obligations 13-15 at 6-30-15'!P110+'[1]Obligations 13-15 at 6-30-15'!P128</f>
        <v>119430</v>
      </c>
      <c r="R117" s="330">
        <f>'[1]Obligations 13-15 at 6-30-15'!P89+'[1]Obligations 13-15 at 6-30-15'!P111+'[1]Obligations 13-15 at 6-30-15'!P129</f>
        <v>255173.1</v>
      </c>
      <c r="S117" s="330">
        <f>'[1]Obligations 13-15 at 6-30-15'!P18+'[1]Obligations 13-15 at 6-30-15'!P34+'[1]Obligations 13-15 at 6-30-15'!P90+'[1]Obligations 13-15 at 6-30-15'!P112+'[1]Obligations 13-15 at 6-30-15'!P130</f>
        <v>68736.75</v>
      </c>
      <c r="T117" s="330">
        <f>'[1]Obligations 13-15 at 6-30-15'!P19+'[1]Obligations 13-15 at 6-30-15'!P35+'[1]Obligations 13-15 at 6-30-15'!P91+'[1]Obligations 13-15 at 6-30-15'!P113+'[1]Obligations 13-15 at 6-30-15'!P131</f>
        <v>53478</v>
      </c>
      <c r="U117" s="327">
        <f>SUM(B117:T117)</f>
        <v>3842733.7800000003</v>
      </c>
    </row>
    <row r="118" spans="2:21" ht="11.25">
      <c r="B118" s="327"/>
      <c r="C118" s="328"/>
      <c r="D118" s="328"/>
      <c r="E118" s="328"/>
      <c r="F118" s="328"/>
      <c r="G118" s="328"/>
      <c r="H118" s="329"/>
      <c r="I118" s="330"/>
      <c r="J118" s="330"/>
      <c r="K118" s="330"/>
      <c r="L118" s="330"/>
      <c r="M118" s="330"/>
      <c r="N118" s="330"/>
      <c r="O118" s="330"/>
      <c r="P118" s="330"/>
      <c r="Q118" s="330"/>
      <c r="R118" s="330"/>
      <c r="S118" s="330"/>
      <c r="T118" s="330"/>
      <c r="U118" s="327"/>
    </row>
    <row r="119" spans="1:21" ht="12" thickBot="1">
      <c r="A119" s="163" t="s">
        <v>418</v>
      </c>
      <c r="B119" s="342"/>
      <c r="C119" s="343"/>
      <c r="D119" s="343"/>
      <c r="E119" s="343"/>
      <c r="F119" s="343"/>
      <c r="G119" s="343"/>
      <c r="H119" s="344"/>
      <c r="I119" s="344"/>
      <c r="J119" s="344"/>
      <c r="K119" s="344"/>
      <c r="L119" s="344"/>
      <c r="M119" s="344"/>
      <c r="N119" s="344"/>
      <c r="O119" s="344"/>
      <c r="P119" s="344"/>
      <c r="Q119" s="344"/>
      <c r="R119" s="344"/>
      <c r="S119" s="344"/>
      <c r="T119" s="344"/>
      <c r="U119" s="342">
        <f>U115-U117</f>
        <v>6035302.939999999</v>
      </c>
    </row>
    <row r="120" spans="1:21" ht="12" thickTop="1">
      <c r="A120" s="163"/>
      <c r="B120" s="327"/>
      <c r="C120" s="400"/>
      <c r="D120" s="400"/>
      <c r="E120" s="400"/>
      <c r="F120" s="400"/>
      <c r="G120" s="400"/>
      <c r="H120" s="327"/>
      <c r="I120" s="401"/>
      <c r="J120" s="401"/>
      <c r="K120" s="401"/>
      <c r="L120" s="401"/>
      <c r="M120" s="401"/>
      <c r="N120" s="401"/>
      <c r="O120" s="401"/>
      <c r="P120" s="401"/>
      <c r="Q120" s="401"/>
      <c r="R120" s="401"/>
      <c r="S120" s="401"/>
      <c r="T120" s="401"/>
      <c r="U120" s="327"/>
    </row>
    <row r="121" spans="1:21" ht="11.25">
      <c r="A121" s="163"/>
      <c r="B121" s="327"/>
      <c r="C121" s="400"/>
      <c r="D121" s="400"/>
      <c r="E121" s="400"/>
      <c r="F121" s="400"/>
      <c r="G121" s="400"/>
      <c r="H121" s="327"/>
      <c r="I121" s="401"/>
      <c r="J121" s="401"/>
      <c r="K121" s="401"/>
      <c r="L121" s="401"/>
      <c r="M121" s="401"/>
      <c r="N121" s="401"/>
      <c r="O121" s="401"/>
      <c r="P121" s="401"/>
      <c r="Q121" s="401"/>
      <c r="R121" s="401"/>
      <c r="S121" s="401"/>
      <c r="T121" s="401"/>
      <c r="U121" s="327"/>
    </row>
    <row r="122" spans="1:21" ht="11.25">
      <c r="A122" s="396"/>
      <c r="B122" s="327"/>
      <c r="C122" s="537" t="s">
        <v>267</v>
      </c>
      <c r="D122" s="537"/>
      <c r="E122" s="537"/>
      <c r="F122" s="537"/>
      <c r="G122" s="537"/>
      <c r="H122" s="537" t="s">
        <v>386</v>
      </c>
      <c r="I122" s="537"/>
      <c r="J122" s="537"/>
      <c r="K122" s="537"/>
      <c r="L122" s="537"/>
      <c r="M122" s="537"/>
      <c r="N122" s="537"/>
      <c r="O122" s="537"/>
      <c r="P122" s="537"/>
      <c r="Q122" s="537"/>
      <c r="R122" s="537"/>
      <c r="S122" s="537"/>
      <c r="T122" s="537"/>
      <c r="U122" s="327"/>
    </row>
    <row r="123" spans="2:21" ht="11.25">
      <c r="B123" s="397" t="s">
        <v>13</v>
      </c>
      <c r="C123" s="383" t="s">
        <v>36</v>
      </c>
      <c r="D123" s="383" t="s">
        <v>37</v>
      </c>
      <c r="E123" s="383" t="s">
        <v>31</v>
      </c>
      <c r="F123" s="383" t="s">
        <v>32</v>
      </c>
      <c r="G123" s="383" t="s">
        <v>38</v>
      </c>
      <c r="H123" s="398" t="s">
        <v>25</v>
      </c>
      <c r="I123" s="398" t="s">
        <v>26</v>
      </c>
      <c r="J123" s="398" t="s">
        <v>27</v>
      </c>
      <c r="K123" s="398" t="s">
        <v>28</v>
      </c>
      <c r="L123" s="398" t="s">
        <v>29</v>
      </c>
      <c r="M123" s="398" t="s">
        <v>40</v>
      </c>
      <c r="N123" s="398" t="s">
        <v>30</v>
      </c>
      <c r="O123" s="398" t="s">
        <v>31</v>
      </c>
      <c r="P123" s="398" t="s">
        <v>32</v>
      </c>
      <c r="Q123" s="398" t="s">
        <v>33</v>
      </c>
      <c r="R123" s="398" t="s">
        <v>41</v>
      </c>
      <c r="S123" s="398" t="s">
        <v>34</v>
      </c>
      <c r="T123" s="398" t="s">
        <v>35</v>
      </c>
      <c r="U123" s="349"/>
    </row>
    <row r="124" spans="2:21" ht="10.5" customHeight="1">
      <c r="B124" s="321" t="s">
        <v>75</v>
      </c>
      <c r="C124" s="322" t="s">
        <v>290</v>
      </c>
      <c r="D124" s="322" t="s">
        <v>289</v>
      </c>
      <c r="E124" s="322" t="s">
        <v>291</v>
      </c>
      <c r="F124" s="538" t="s">
        <v>292</v>
      </c>
      <c r="G124" s="359" t="s">
        <v>293</v>
      </c>
      <c r="H124" s="357" t="s">
        <v>294</v>
      </c>
      <c r="I124" s="535" t="s">
        <v>303</v>
      </c>
      <c r="J124" s="535" t="s">
        <v>300</v>
      </c>
      <c r="K124" s="357" t="s">
        <v>301</v>
      </c>
      <c r="L124" s="535" t="s">
        <v>295</v>
      </c>
      <c r="M124" s="357" t="s">
        <v>296</v>
      </c>
      <c r="N124" s="535" t="s">
        <v>302</v>
      </c>
      <c r="O124" s="357" t="s">
        <v>291</v>
      </c>
      <c r="P124" s="535" t="s">
        <v>292</v>
      </c>
      <c r="Q124" s="535" t="s">
        <v>304</v>
      </c>
      <c r="R124" s="535" t="s">
        <v>297</v>
      </c>
      <c r="S124" s="357" t="s">
        <v>298</v>
      </c>
      <c r="T124" s="535" t="s">
        <v>299</v>
      </c>
      <c r="U124" s="321" t="s">
        <v>118</v>
      </c>
    </row>
    <row r="125" spans="2:21" ht="11.25">
      <c r="B125" s="360"/>
      <c r="C125" s="361"/>
      <c r="D125" s="361"/>
      <c r="E125" s="361"/>
      <c r="F125" s="539"/>
      <c r="G125" s="325"/>
      <c r="H125" s="326"/>
      <c r="I125" s="536"/>
      <c r="J125" s="536"/>
      <c r="K125" s="326"/>
      <c r="L125" s="536"/>
      <c r="M125" s="326"/>
      <c r="N125" s="536"/>
      <c r="O125" s="326"/>
      <c r="P125" s="536"/>
      <c r="Q125" s="536"/>
      <c r="R125" s="536"/>
      <c r="S125" s="326"/>
      <c r="T125" s="536"/>
      <c r="U125" s="360"/>
    </row>
    <row r="126" spans="1:21" ht="11.25">
      <c r="A126" s="163" t="s">
        <v>201</v>
      </c>
      <c r="B126" s="327" t="s">
        <v>99</v>
      </c>
      <c r="C126" s="328" t="s">
        <v>99</v>
      </c>
      <c r="D126" s="328" t="s">
        <v>99</v>
      </c>
      <c r="E126" s="328" t="s">
        <v>99</v>
      </c>
      <c r="F126" s="328"/>
      <c r="G126" s="328" t="s">
        <v>99</v>
      </c>
      <c r="H126" s="329" t="s">
        <v>99</v>
      </c>
      <c r="I126" s="330"/>
      <c r="J126" s="330"/>
      <c r="K126" s="330"/>
      <c r="L126" s="330"/>
      <c r="M126" s="330"/>
      <c r="N126" s="330"/>
      <c r="O126" s="330"/>
      <c r="P126" s="330"/>
      <c r="Q126" s="330"/>
      <c r="R126" s="330"/>
      <c r="S126" s="330"/>
      <c r="T126" s="330"/>
      <c r="U126" s="388">
        <v>9878036.72</v>
      </c>
    </row>
    <row r="127" spans="2:21" ht="11.25">
      <c r="B127" s="335"/>
      <c r="C127" s="336"/>
      <c r="D127" s="336"/>
      <c r="E127" s="336"/>
      <c r="F127" s="336"/>
      <c r="G127" s="336"/>
      <c r="H127" s="337"/>
      <c r="I127" s="334"/>
      <c r="J127" s="334"/>
      <c r="K127" s="334"/>
      <c r="L127" s="334"/>
      <c r="M127" s="334"/>
      <c r="N127" s="334"/>
      <c r="O127" s="334"/>
      <c r="P127" s="334"/>
      <c r="Q127" s="334"/>
      <c r="R127" s="334"/>
      <c r="S127" s="334"/>
      <c r="T127" s="334"/>
      <c r="U127" s="335"/>
    </row>
    <row r="128" spans="1:21" ht="11.25">
      <c r="A128" s="163" t="s">
        <v>384</v>
      </c>
      <c r="B128" s="335" t="s">
        <v>99</v>
      </c>
      <c r="C128" s="336" t="s">
        <v>99</v>
      </c>
      <c r="D128" s="336" t="s">
        <v>99</v>
      </c>
      <c r="E128" s="336" t="s">
        <v>99</v>
      </c>
      <c r="F128" s="336"/>
      <c r="G128" s="336" t="s">
        <v>99</v>
      </c>
      <c r="H128" s="337" t="s">
        <v>99</v>
      </c>
      <c r="I128" s="334"/>
      <c r="J128" s="334"/>
      <c r="K128" s="334"/>
      <c r="L128" s="334"/>
      <c r="M128" s="334"/>
      <c r="N128" s="334"/>
      <c r="O128" s="334"/>
      <c r="P128" s="334"/>
      <c r="Q128" s="334"/>
      <c r="R128" s="334"/>
      <c r="S128" s="334"/>
      <c r="T128" s="334"/>
      <c r="U128" s="335" t="s">
        <v>99</v>
      </c>
    </row>
    <row r="129" spans="1:21" ht="11.25">
      <c r="A129" s="315" t="s">
        <v>267</v>
      </c>
      <c r="B129" s="335"/>
      <c r="C129" s="336"/>
      <c r="D129" s="336"/>
      <c r="E129" s="336"/>
      <c r="F129" s="336"/>
      <c r="G129" s="336"/>
      <c r="H129" s="337"/>
      <c r="I129" s="334"/>
      <c r="J129" s="334"/>
      <c r="K129" s="334"/>
      <c r="L129" s="334"/>
      <c r="M129" s="334"/>
      <c r="N129" s="334"/>
      <c r="O129" s="334"/>
      <c r="P129" s="334"/>
      <c r="Q129" s="334"/>
      <c r="R129" s="334"/>
      <c r="S129" s="334"/>
      <c r="T129" s="334"/>
      <c r="U129" s="335">
        <f>'PPC ECHO WX External wrkng copy'!U134</f>
        <v>10496986.76</v>
      </c>
    </row>
    <row r="130" spans="1:21" ht="11.25">
      <c r="A130" s="315" t="s">
        <v>386</v>
      </c>
      <c r="B130" s="335"/>
      <c r="C130" s="336"/>
      <c r="D130" s="336"/>
      <c r="E130" s="336"/>
      <c r="F130" s="336"/>
      <c r="G130" s="336"/>
      <c r="H130" s="337"/>
      <c r="I130" s="334"/>
      <c r="J130" s="334"/>
      <c r="K130" s="334"/>
      <c r="L130" s="334"/>
      <c r="M130" s="334"/>
      <c r="N130" s="334"/>
      <c r="O130" s="334"/>
      <c r="P130" s="334"/>
      <c r="Q130" s="334"/>
      <c r="R130" s="334"/>
      <c r="S130" s="334"/>
      <c r="T130" s="334"/>
      <c r="U130" s="335">
        <f>'PPC ECHO WX External wrkng copy'!U135</f>
        <v>7583792.75</v>
      </c>
    </row>
    <row r="131" spans="1:21" ht="11.25">
      <c r="A131" s="315" t="s">
        <v>385</v>
      </c>
      <c r="B131" s="335"/>
      <c r="C131" s="336"/>
      <c r="D131" s="336"/>
      <c r="E131" s="336">
        <f>'PPC ECHO WX External wrkng copy'!E136</f>
        <v>13648.58</v>
      </c>
      <c r="F131" s="336"/>
      <c r="G131" s="336"/>
      <c r="H131" s="337">
        <f>'PPC ECHO WX External wrkng copy'!H136</f>
        <v>15634</v>
      </c>
      <c r="I131" s="334"/>
      <c r="J131" s="334"/>
      <c r="K131" s="334"/>
      <c r="L131" s="334"/>
      <c r="M131" s="334"/>
      <c r="N131" s="334"/>
      <c r="O131" s="334"/>
      <c r="P131" s="334"/>
      <c r="Q131" s="334"/>
      <c r="R131" s="334"/>
      <c r="S131" s="334"/>
      <c r="T131" s="334"/>
      <c r="U131" s="335">
        <f>'PPC ECHO WX External wrkng copy'!U136</f>
        <v>29282.58</v>
      </c>
    </row>
    <row r="132" spans="1:21" ht="11.25">
      <c r="A132" s="315" t="s">
        <v>20</v>
      </c>
      <c r="B132" s="348"/>
      <c r="C132" s="402"/>
      <c r="D132" s="402"/>
      <c r="E132" s="402"/>
      <c r="F132" s="402"/>
      <c r="G132" s="402"/>
      <c r="H132" s="403" t="s">
        <v>99</v>
      </c>
      <c r="I132" s="367"/>
      <c r="J132" s="367"/>
      <c r="K132" s="367"/>
      <c r="L132" s="367"/>
      <c r="M132" s="367"/>
      <c r="N132" s="367"/>
      <c r="O132" s="367"/>
      <c r="P132" s="367"/>
      <c r="Q132" s="367"/>
      <c r="R132" s="367"/>
      <c r="S132" s="367"/>
      <c r="T132" s="367"/>
      <c r="U132" s="348">
        <f>'PPC ECHO WX External wrkng copy'!U137</f>
        <v>329959.73</v>
      </c>
    </row>
    <row r="133" spans="2:21" ht="11.25">
      <c r="B133" s="335"/>
      <c r="C133" s="336"/>
      <c r="D133" s="336"/>
      <c r="E133" s="336"/>
      <c r="F133" s="336"/>
      <c r="G133" s="336"/>
      <c r="H133" s="337"/>
      <c r="I133" s="404"/>
      <c r="J133" s="404"/>
      <c r="K133" s="404"/>
      <c r="L133" s="404"/>
      <c r="M133" s="404"/>
      <c r="N133" s="404"/>
      <c r="O133" s="404"/>
      <c r="P133" s="404"/>
      <c r="Q133" s="404"/>
      <c r="R133" s="404"/>
      <c r="S133" s="404"/>
      <c r="T133" s="404"/>
      <c r="U133" s="335"/>
    </row>
    <row r="134" spans="1:21" ht="11.25">
      <c r="A134" s="163" t="s">
        <v>7</v>
      </c>
      <c r="B134" s="335" t="s">
        <v>99</v>
      </c>
      <c r="C134" s="336" t="s">
        <v>99</v>
      </c>
      <c r="D134" s="336" t="s">
        <v>99</v>
      </c>
      <c r="E134" s="336" t="s">
        <v>99</v>
      </c>
      <c r="F134" s="336"/>
      <c r="G134" s="336" t="s">
        <v>99</v>
      </c>
      <c r="H134" s="337" t="s">
        <v>99</v>
      </c>
      <c r="I134" s="334"/>
      <c r="J134" s="334"/>
      <c r="K134" s="334"/>
      <c r="L134" s="334"/>
      <c r="M134" s="334"/>
      <c r="N134" s="334"/>
      <c r="O134" s="334"/>
      <c r="P134" s="334"/>
      <c r="Q134" s="334"/>
      <c r="R134" s="334"/>
      <c r="S134" s="334"/>
      <c r="T134" s="334"/>
      <c r="U134" s="335">
        <f>SUM(U129:U132)</f>
        <v>18440021.819999997</v>
      </c>
    </row>
    <row r="135" spans="2:21" ht="11.25">
      <c r="B135" s="331"/>
      <c r="C135" s="332"/>
      <c r="D135" s="332"/>
      <c r="E135" s="332"/>
      <c r="F135" s="332"/>
      <c r="G135" s="332"/>
      <c r="H135" s="333"/>
      <c r="I135" s="334"/>
      <c r="J135" s="334"/>
      <c r="K135" s="334"/>
      <c r="L135" s="334"/>
      <c r="M135" s="334"/>
      <c r="N135" s="334"/>
      <c r="O135" s="334"/>
      <c r="P135" s="334"/>
      <c r="Q135" s="334"/>
      <c r="R135" s="334"/>
      <c r="S135" s="334"/>
      <c r="T135" s="334"/>
      <c r="U135" s="331"/>
    </row>
    <row r="136" spans="1:21" ht="11.25">
      <c r="A136" s="163" t="s">
        <v>89</v>
      </c>
      <c r="B136" s="327"/>
      <c r="C136" s="328"/>
      <c r="D136" s="328"/>
      <c r="E136" s="328"/>
      <c r="F136" s="328"/>
      <c r="G136" s="328"/>
      <c r="H136" s="329"/>
      <c r="I136" s="330"/>
      <c r="J136" s="330"/>
      <c r="K136" s="330"/>
      <c r="L136" s="330"/>
      <c r="M136" s="330"/>
      <c r="N136" s="330"/>
      <c r="O136" s="330"/>
      <c r="P136" s="330"/>
      <c r="Q136" s="330"/>
      <c r="R136" s="330"/>
      <c r="S136" s="330"/>
      <c r="T136" s="330"/>
      <c r="U136" s="327"/>
    </row>
    <row r="137" spans="1:21" ht="11.25" outlineLevel="1">
      <c r="A137" s="315" t="s">
        <v>124</v>
      </c>
      <c r="B137" s="327">
        <f>'PPC ECHO WX External wrkng copy'!B142</f>
        <v>559744.24</v>
      </c>
      <c r="C137" s="328"/>
      <c r="D137" s="328"/>
      <c r="E137" s="328"/>
      <c r="F137" s="328"/>
      <c r="G137" s="328"/>
      <c r="H137" s="329"/>
      <c r="I137" s="330"/>
      <c r="J137" s="330"/>
      <c r="K137" s="330"/>
      <c r="L137" s="330"/>
      <c r="M137" s="330"/>
      <c r="N137" s="330"/>
      <c r="O137" s="330"/>
      <c r="P137" s="330"/>
      <c r="Q137" s="330"/>
      <c r="R137" s="330"/>
      <c r="S137" s="330"/>
      <c r="T137" s="330"/>
      <c r="U137" s="327">
        <f>SUM(B137:T137)</f>
        <v>559744.24</v>
      </c>
    </row>
    <row r="138" spans="1:21" ht="11.25" outlineLevel="1">
      <c r="A138" s="315" t="s">
        <v>39</v>
      </c>
      <c r="B138" s="327">
        <f>'PPC ECHO WX External wrkng copy'!B143</f>
        <v>69255</v>
      </c>
      <c r="C138" s="328"/>
      <c r="D138" s="328"/>
      <c r="E138" s="328"/>
      <c r="F138" s="328"/>
      <c r="G138" s="328"/>
      <c r="H138" s="329"/>
      <c r="I138" s="330"/>
      <c r="J138" s="330"/>
      <c r="K138" s="330"/>
      <c r="L138" s="330"/>
      <c r="M138" s="330"/>
      <c r="N138" s="330"/>
      <c r="O138" s="330"/>
      <c r="P138" s="330"/>
      <c r="Q138" s="330"/>
      <c r="R138" s="330"/>
      <c r="S138" s="330"/>
      <c r="T138" s="330"/>
      <c r="U138" s="327">
        <f aca="true" t="shared" si="12" ref="U138:U147">SUM(B138:T138)</f>
        <v>69255</v>
      </c>
    </row>
    <row r="139" spans="1:21" ht="11.25">
      <c r="A139" s="363" t="s">
        <v>397</v>
      </c>
      <c r="B139" s="327">
        <f>SUM(B137:B138)</f>
        <v>628999.24</v>
      </c>
      <c r="C139" s="328"/>
      <c r="D139" s="328"/>
      <c r="E139" s="328"/>
      <c r="F139" s="328"/>
      <c r="G139" s="328"/>
      <c r="H139" s="329"/>
      <c r="I139" s="330"/>
      <c r="J139" s="330"/>
      <c r="K139" s="330"/>
      <c r="L139" s="330"/>
      <c r="M139" s="330"/>
      <c r="N139" s="330"/>
      <c r="O139" s="330"/>
      <c r="P139" s="330"/>
      <c r="Q139" s="330"/>
      <c r="R139" s="330"/>
      <c r="S139" s="330"/>
      <c r="T139" s="330"/>
      <c r="U139" s="327">
        <f t="shared" si="12"/>
        <v>628999.24</v>
      </c>
    </row>
    <row r="140" spans="1:21" ht="11.25">
      <c r="A140" s="363" t="s">
        <v>401</v>
      </c>
      <c r="B140" s="327">
        <f>'PPC ECHO WX External wrkng copy'!B145</f>
        <v>255609.07</v>
      </c>
      <c r="C140" s="328"/>
      <c r="D140" s="328"/>
      <c r="E140" s="328"/>
      <c r="F140" s="328"/>
      <c r="G140" s="328"/>
      <c r="H140" s="329"/>
      <c r="I140" s="330"/>
      <c r="J140" s="330"/>
      <c r="K140" s="330"/>
      <c r="L140" s="330"/>
      <c r="M140" s="330"/>
      <c r="N140" s="330"/>
      <c r="O140" s="330"/>
      <c r="P140" s="330"/>
      <c r="Q140" s="330"/>
      <c r="R140" s="330"/>
      <c r="S140" s="330"/>
      <c r="T140" s="330"/>
      <c r="U140" s="327">
        <f t="shared" si="12"/>
        <v>255609.07</v>
      </c>
    </row>
    <row r="141" spans="1:21" ht="11.25" outlineLevel="1">
      <c r="A141" s="315" t="s">
        <v>387</v>
      </c>
      <c r="B141" s="327"/>
      <c r="C141" s="328">
        <f>'PPC ECHO WX External wrkng copy'!C146</f>
        <v>204196</v>
      </c>
      <c r="D141" s="328">
        <f>'PPC ECHO WX External wrkng copy'!D146</f>
        <v>238315.51</v>
      </c>
      <c r="E141" s="328">
        <f>'PPC ECHO WX External wrkng copy'!E146</f>
        <v>234515.1</v>
      </c>
      <c r="F141" s="328">
        <f>'PPC ECHO WX External wrkng copy'!F146</f>
        <v>136914</v>
      </c>
      <c r="G141" s="328">
        <f>'PPC ECHO WX External wrkng copy'!G146</f>
        <v>40505.61</v>
      </c>
      <c r="H141" s="329">
        <f>'PPC ECHO WX External wrkng copy'!H146</f>
        <v>108714.23</v>
      </c>
      <c r="I141" s="329">
        <f>'PPC ECHO WX External wrkng copy'!I146</f>
        <v>17413.79</v>
      </c>
      <c r="J141" s="329">
        <f>'PPC ECHO WX External wrkng copy'!J146</f>
        <v>26037</v>
      </c>
      <c r="K141" s="329">
        <f>'PPC ECHO WX External wrkng copy'!K146</f>
        <v>4194</v>
      </c>
      <c r="L141" s="329">
        <f>'PPC ECHO WX External wrkng copy'!L146</f>
        <v>60137</v>
      </c>
      <c r="M141" s="329">
        <f>'PPC ECHO WX External wrkng copy'!M146</f>
        <v>11030.02</v>
      </c>
      <c r="N141" s="329">
        <f>'PPC ECHO WX External wrkng copy'!N146</f>
        <v>5860.58</v>
      </c>
      <c r="O141" s="329">
        <f>'PPC ECHO WX External wrkng copy'!O146</f>
        <v>57901.53</v>
      </c>
      <c r="P141" s="329">
        <f>'PPC ECHO WX External wrkng copy'!P146</f>
        <v>26120</v>
      </c>
      <c r="Q141" s="329">
        <f>'PPC ECHO WX External wrkng copy'!Q146</f>
        <v>52578</v>
      </c>
      <c r="R141" s="329">
        <f>'PPC ECHO WX External wrkng copy'!R146</f>
        <v>47357.06</v>
      </c>
      <c r="S141" s="329">
        <f>'PPC ECHO WX External wrkng copy'!S146</f>
        <v>13777</v>
      </c>
      <c r="T141" s="329">
        <f>'PPC ECHO WX External wrkng copy'!T146</f>
        <v>91095</v>
      </c>
      <c r="U141" s="327">
        <f t="shared" si="12"/>
        <v>1376661.4300000002</v>
      </c>
    </row>
    <row r="142" spans="1:21" ht="11.25" outlineLevel="1">
      <c r="A142" s="315" t="s">
        <v>388</v>
      </c>
      <c r="B142" s="327"/>
      <c r="C142" s="328">
        <f>'PPC ECHO WX External wrkng copy'!C147</f>
        <v>29786</v>
      </c>
      <c r="D142" s="328">
        <f>'PPC ECHO WX External wrkng copy'!D147</f>
        <v>22056.52</v>
      </c>
      <c r="E142" s="328">
        <f>'PPC ECHO WX External wrkng copy'!E147</f>
        <v>4203.09</v>
      </c>
      <c r="F142" s="328">
        <f>'PPC ECHO WX External wrkng copy'!F147</f>
        <v>2235</v>
      </c>
      <c r="G142" s="328">
        <f>'PPC ECHO WX External wrkng copy'!G147</f>
        <v>11369.84</v>
      </c>
      <c r="H142" s="329">
        <f>'PPC ECHO WX External wrkng copy'!H147</f>
        <v>16147</v>
      </c>
      <c r="I142" s="329">
        <f>'PPC ECHO WX External wrkng copy'!I147</f>
        <v>839.22</v>
      </c>
      <c r="J142" s="329">
        <f>'PPC ECHO WX External wrkng copy'!J147</f>
        <v>2379</v>
      </c>
      <c r="K142" s="329">
        <f>'PPC ECHO WX External wrkng copy'!K147</f>
        <v>1518</v>
      </c>
      <c r="L142" s="329">
        <f>'PPC ECHO WX External wrkng copy'!L147</f>
        <v>7544</v>
      </c>
      <c r="M142" s="329">
        <f>'PPC ECHO WX External wrkng copy'!M147</f>
        <v>183</v>
      </c>
      <c r="N142" s="329">
        <f>'PPC ECHO WX External wrkng copy'!N147</f>
        <v>114</v>
      </c>
      <c r="O142" s="329">
        <f>'PPC ECHO WX External wrkng copy'!O147</f>
        <v>2614.54</v>
      </c>
      <c r="P142" s="329">
        <f>'PPC ECHO WX External wrkng copy'!P147</f>
        <v>1556</v>
      </c>
      <c r="Q142" s="329">
        <f>'PPC ECHO WX External wrkng copy'!Q147</f>
        <v>4697</v>
      </c>
      <c r="R142" s="329">
        <f>'PPC ECHO WX External wrkng copy'!R147</f>
        <v>0</v>
      </c>
      <c r="S142" s="329">
        <f>'PPC ECHO WX External wrkng copy'!S147</f>
        <v>4576</v>
      </c>
      <c r="T142" s="329">
        <f>'PPC ECHO WX External wrkng copy'!T147</f>
        <v>3322</v>
      </c>
      <c r="U142" s="327">
        <f t="shared" si="12"/>
        <v>115140.20999999999</v>
      </c>
    </row>
    <row r="143" spans="1:21" ht="11.25">
      <c r="A143" s="363" t="s">
        <v>402</v>
      </c>
      <c r="B143" s="327"/>
      <c r="C143" s="328">
        <f>SUM(C141:C142)</f>
        <v>233982</v>
      </c>
      <c r="D143" s="328">
        <f aca="true" t="shared" si="13" ref="D143:T143">SUM(D141:D142)</f>
        <v>260372.03</v>
      </c>
      <c r="E143" s="328">
        <f t="shared" si="13"/>
        <v>238718.19</v>
      </c>
      <c r="F143" s="328">
        <f t="shared" si="13"/>
        <v>139149</v>
      </c>
      <c r="G143" s="328">
        <f t="shared" si="13"/>
        <v>51875.45</v>
      </c>
      <c r="H143" s="329">
        <f t="shared" si="13"/>
        <v>124861.23</v>
      </c>
      <c r="I143" s="329">
        <f t="shared" si="13"/>
        <v>18253.010000000002</v>
      </c>
      <c r="J143" s="329">
        <f t="shared" si="13"/>
        <v>28416</v>
      </c>
      <c r="K143" s="329">
        <f t="shared" si="13"/>
        <v>5712</v>
      </c>
      <c r="L143" s="329">
        <f t="shared" si="13"/>
        <v>67681</v>
      </c>
      <c r="M143" s="329">
        <f t="shared" si="13"/>
        <v>11213.02</v>
      </c>
      <c r="N143" s="329">
        <f t="shared" si="13"/>
        <v>5974.58</v>
      </c>
      <c r="O143" s="329">
        <f t="shared" si="13"/>
        <v>60516.07</v>
      </c>
      <c r="P143" s="329">
        <f t="shared" si="13"/>
        <v>27676</v>
      </c>
      <c r="Q143" s="329">
        <f t="shared" si="13"/>
        <v>57275</v>
      </c>
      <c r="R143" s="329">
        <f t="shared" si="13"/>
        <v>47357.06</v>
      </c>
      <c r="S143" s="329">
        <f t="shared" si="13"/>
        <v>18353</v>
      </c>
      <c r="T143" s="329">
        <f t="shared" si="13"/>
        <v>94417</v>
      </c>
      <c r="U143" s="327">
        <f t="shared" si="12"/>
        <v>1491801.6400000001</v>
      </c>
    </row>
    <row r="144" spans="1:21" ht="11.25">
      <c r="A144" s="363" t="s">
        <v>403</v>
      </c>
      <c r="B144" s="327">
        <f>'PPC ECHO WX External wrkng copy'!B149</f>
        <v>13651</v>
      </c>
      <c r="C144" s="328">
        <f>'PPC ECHO WX External wrkng copy'!C149</f>
        <v>29487</v>
      </c>
      <c r="D144" s="328">
        <f>'PPC ECHO WX External wrkng copy'!D149</f>
        <v>16670.56</v>
      </c>
      <c r="E144" s="328">
        <f>'PPC ECHO WX External wrkng copy'!E149</f>
        <v>23720</v>
      </c>
      <c r="F144" s="328">
        <f>'PPC ECHO WX External wrkng copy'!F149</f>
        <v>14288</v>
      </c>
      <c r="G144" s="328">
        <f>'PPC ECHO WX External wrkng copy'!G149</f>
        <v>6474.05</v>
      </c>
      <c r="H144" s="329">
        <f>'PPC ECHO WX External wrkng copy'!H149</f>
        <v>7628</v>
      </c>
      <c r="I144" s="329">
        <f>'PPC ECHO WX External wrkng copy'!I149</f>
        <v>3630</v>
      </c>
      <c r="J144" s="329">
        <f>'PPC ECHO WX External wrkng copy'!J149</f>
        <v>5728.76</v>
      </c>
      <c r="K144" s="329">
        <f>'PPC ECHO WX External wrkng copy'!K149</f>
        <v>214</v>
      </c>
      <c r="L144" s="329">
        <f>'PPC ECHO WX External wrkng copy'!L149</f>
        <v>3924</v>
      </c>
      <c r="M144" s="329">
        <f>'PPC ECHO WX External wrkng copy'!M149</f>
        <v>376</v>
      </c>
      <c r="N144" s="329">
        <f>'PPC ECHO WX External wrkng copy'!N149</f>
        <v>340.12</v>
      </c>
      <c r="O144" s="329">
        <f>'PPC ECHO WX External wrkng copy'!O149</f>
        <v>12102.04</v>
      </c>
      <c r="P144" s="329">
        <f>'PPC ECHO WX External wrkng copy'!P149</f>
        <v>1481</v>
      </c>
      <c r="Q144" s="329">
        <f>'PPC ECHO WX External wrkng copy'!Q149</f>
        <v>2785</v>
      </c>
      <c r="R144" s="329">
        <f>'PPC ECHO WX External wrkng copy'!R149</f>
        <v>1790</v>
      </c>
      <c r="S144" s="329">
        <f>'PPC ECHO WX External wrkng copy'!S149</f>
        <v>5450</v>
      </c>
      <c r="T144" s="329">
        <f>'PPC ECHO WX External wrkng copy'!T149</f>
        <v>5128</v>
      </c>
      <c r="U144" s="327">
        <f t="shared" si="12"/>
        <v>154867.53</v>
      </c>
    </row>
    <row r="145" spans="1:21" ht="11.25" outlineLevel="1">
      <c r="A145" s="315" t="s">
        <v>238</v>
      </c>
      <c r="B145" s="327"/>
      <c r="C145" s="328">
        <f>'PPC ECHO WX External wrkng copy'!C150</f>
        <v>3191780</v>
      </c>
      <c r="D145" s="328">
        <f>'PPC ECHO WX External wrkng copy'!D150</f>
        <v>2251363.45</v>
      </c>
      <c r="E145" s="328">
        <f>'PPC ECHO WX External wrkng copy'!E150</f>
        <v>4041733.63</v>
      </c>
      <c r="F145" s="328">
        <f>'PPC ECHO WX External wrkng copy'!F150</f>
        <v>1433246</v>
      </c>
      <c r="G145" s="328">
        <f>'PPC ECHO WX External wrkng copy'!G150</f>
        <v>310404.15</v>
      </c>
      <c r="H145" s="329">
        <f>'PPC ECHO WX External wrkng copy'!H150</f>
        <v>1306464.83</v>
      </c>
      <c r="I145" s="329">
        <f>'PPC ECHO WX External wrkng copy'!I150</f>
        <v>140470.76</v>
      </c>
      <c r="J145" s="329">
        <f>'PPC ECHO WX External wrkng copy'!J150</f>
        <v>247684.22</v>
      </c>
      <c r="K145" s="329">
        <f>'PPC ECHO WX External wrkng copy'!K150</f>
        <v>51437</v>
      </c>
      <c r="L145" s="329">
        <f>'PPC ECHO WX External wrkng copy'!L150</f>
        <v>816179</v>
      </c>
      <c r="M145" s="329">
        <f>'PPC ECHO WX External wrkng copy'!M150</f>
        <v>108243.46</v>
      </c>
      <c r="N145" s="329">
        <f>'PPC ECHO WX External wrkng copy'!N150</f>
        <v>67066.79</v>
      </c>
      <c r="O145" s="329">
        <f>'PPC ECHO WX External wrkng copy'!O150</f>
        <v>881679.82</v>
      </c>
      <c r="P145" s="329">
        <f>'PPC ECHO WX External wrkng copy'!P150</f>
        <v>264031</v>
      </c>
      <c r="Q145" s="329">
        <f>'PPC ECHO WX External wrkng copy'!Q150</f>
        <v>892769</v>
      </c>
      <c r="R145" s="329">
        <f>'PPC ECHO WX External wrkng copy'!R150</f>
        <v>529976.63</v>
      </c>
      <c r="S145" s="329">
        <f>'PPC ECHO WX External wrkng copy'!S150</f>
        <v>186335</v>
      </c>
      <c r="T145" s="329">
        <f>'PPC ECHO WX External wrkng copy'!T150</f>
        <v>638881</v>
      </c>
      <c r="U145" s="327">
        <f t="shared" si="12"/>
        <v>17359745.740000002</v>
      </c>
    </row>
    <row r="146" spans="1:21" ht="11.25" outlineLevel="1">
      <c r="A146" s="315" t="s">
        <v>389</v>
      </c>
      <c r="B146" s="327"/>
      <c r="C146" s="328">
        <f>'PPC ECHO WX External wrkng copy'!C151</f>
        <v>484462</v>
      </c>
      <c r="D146" s="328">
        <f>'PPC ECHO WX External wrkng copy'!D151</f>
        <v>194320.98</v>
      </c>
      <c r="E146" s="328">
        <f>'PPC ECHO WX External wrkng copy'!E151</f>
        <v>72498.04</v>
      </c>
      <c r="F146" s="328">
        <f>'PPC ECHO WX External wrkng copy'!F151</f>
        <v>26680</v>
      </c>
      <c r="G146" s="328">
        <f>'PPC ECHO WX External wrkng copy'!G151</f>
        <v>89830.44</v>
      </c>
      <c r="H146" s="329">
        <f>'PPC ECHO WX External wrkng copy'!H151</f>
        <v>97700</v>
      </c>
      <c r="I146" s="329">
        <f>'PPC ECHO WX External wrkng copy'!I151</f>
        <v>9554.72</v>
      </c>
      <c r="J146" s="329">
        <f>'PPC ECHO WX External wrkng copy'!J151</f>
        <v>46168.97</v>
      </c>
      <c r="K146" s="329">
        <f>'PPC ECHO WX External wrkng copy'!K151</f>
        <v>17945</v>
      </c>
      <c r="L146" s="329">
        <f>'PPC ECHO WX External wrkng copy'!L151</f>
        <v>65621</v>
      </c>
      <c r="M146" s="329">
        <f>'PPC ECHO WX External wrkng copy'!M151</f>
        <v>1486.31</v>
      </c>
      <c r="N146" s="329">
        <f>'PPC ECHO WX External wrkng copy'!N151</f>
        <v>395.69</v>
      </c>
      <c r="O146" s="329">
        <f>'PPC ECHO WX External wrkng copy'!O151</f>
        <v>37048.04</v>
      </c>
      <c r="P146" s="329">
        <f>'PPC ECHO WX External wrkng copy'!P151</f>
        <v>17478</v>
      </c>
      <c r="Q146" s="329">
        <f>'PPC ECHO WX External wrkng copy'!Q151</f>
        <v>31545</v>
      </c>
      <c r="R146" s="329">
        <f>'PPC ECHO WX External wrkng copy'!R151</f>
        <v>0</v>
      </c>
      <c r="S146" s="329">
        <f>'PPC ECHO WX External wrkng copy'!S151</f>
        <v>51797</v>
      </c>
      <c r="T146" s="329">
        <f>'PPC ECHO WX External wrkng copy'!T151</f>
        <v>35449</v>
      </c>
      <c r="U146" s="327">
        <f t="shared" si="12"/>
        <v>1279980.19</v>
      </c>
    </row>
    <row r="147" spans="1:21" ht="11.25">
      <c r="A147" s="363" t="s">
        <v>411</v>
      </c>
      <c r="B147" s="327"/>
      <c r="C147" s="328">
        <f>SUM(C145:C146)</f>
        <v>3676242</v>
      </c>
      <c r="D147" s="328">
        <f aca="true" t="shared" si="14" ref="D147:T147">SUM(D145:D146)</f>
        <v>2445684.43</v>
      </c>
      <c r="E147" s="328">
        <f t="shared" si="14"/>
        <v>4114231.67</v>
      </c>
      <c r="F147" s="328">
        <f t="shared" si="14"/>
        <v>1459926</v>
      </c>
      <c r="G147" s="328">
        <f t="shared" si="14"/>
        <v>400234.59</v>
      </c>
      <c r="H147" s="329">
        <f t="shared" si="14"/>
        <v>1404164.83</v>
      </c>
      <c r="I147" s="329">
        <f t="shared" si="14"/>
        <v>150025.48</v>
      </c>
      <c r="J147" s="329">
        <f t="shared" si="14"/>
        <v>293853.19</v>
      </c>
      <c r="K147" s="329">
        <f t="shared" si="14"/>
        <v>69382</v>
      </c>
      <c r="L147" s="329">
        <f t="shared" si="14"/>
        <v>881800</v>
      </c>
      <c r="M147" s="329">
        <f t="shared" si="14"/>
        <v>109729.77</v>
      </c>
      <c r="N147" s="329">
        <f t="shared" si="14"/>
        <v>67462.48</v>
      </c>
      <c r="O147" s="329">
        <f t="shared" si="14"/>
        <v>918727.86</v>
      </c>
      <c r="P147" s="329">
        <f t="shared" si="14"/>
        <v>281509</v>
      </c>
      <c r="Q147" s="329">
        <f t="shared" si="14"/>
        <v>924314</v>
      </c>
      <c r="R147" s="329">
        <f t="shared" si="14"/>
        <v>529976.63</v>
      </c>
      <c r="S147" s="329">
        <f t="shared" si="14"/>
        <v>238132</v>
      </c>
      <c r="T147" s="329">
        <f t="shared" si="14"/>
        <v>674330</v>
      </c>
      <c r="U147" s="327">
        <f t="shared" si="12"/>
        <v>18639725.929999996</v>
      </c>
    </row>
    <row r="148" spans="2:21" ht="11.25">
      <c r="B148" s="327"/>
      <c r="C148" s="328"/>
      <c r="D148" s="328"/>
      <c r="E148" s="328"/>
      <c r="F148" s="328"/>
      <c r="G148" s="328"/>
      <c r="H148" s="329"/>
      <c r="I148" s="330"/>
      <c r="J148" s="330"/>
      <c r="K148" s="330"/>
      <c r="L148" s="330"/>
      <c r="M148" s="330"/>
      <c r="N148" s="330"/>
      <c r="O148" s="330"/>
      <c r="P148" s="330"/>
      <c r="Q148" s="330"/>
      <c r="R148" s="330"/>
      <c r="S148" s="330"/>
      <c r="T148" s="330"/>
      <c r="U148" s="327"/>
    </row>
    <row r="149" spans="1:21" ht="11.25">
      <c r="A149" s="163" t="s">
        <v>8</v>
      </c>
      <c r="B149" s="388">
        <f>B139+B140+B143+B144+B147</f>
        <v>898259.31</v>
      </c>
      <c r="C149" s="389">
        <f aca="true" t="shared" si="15" ref="C149:T149">C139+C140+C143+C144+C147</f>
        <v>3939711</v>
      </c>
      <c r="D149" s="389">
        <f t="shared" si="15"/>
        <v>2722727.02</v>
      </c>
      <c r="E149" s="389">
        <f t="shared" si="15"/>
        <v>4376669.86</v>
      </c>
      <c r="F149" s="389">
        <f t="shared" si="15"/>
        <v>1613363</v>
      </c>
      <c r="G149" s="389">
        <f t="shared" si="15"/>
        <v>458584.09</v>
      </c>
      <c r="H149" s="390">
        <f t="shared" si="15"/>
        <v>1536654.06</v>
      </c>
      <c r="I149" s="390">
        <f t="shared" si="15"/>
        <v>171908.49000000002</v>
      </c>
      <c r="J149" s="390">
        <f t="shared" si="15"/>
        <v>327997.95</v>
      </c>
      <c r="K149" s="390">
        <f t="shared" si="15"/>
        <v>75308</v>
      </c>
      <c r="L149" s="390">
        <f t="shared" si="15"/>
        <v>953405</v>
      </c>
      <c r="M149" s="390">
        <f t="shared" si="15"/>
        <v>121318.79000000001</v>
      </c>
      <c r="N149" s="390">
        <f t="shared" si="15"/>
        <v>73777.18</v>
      </c>
      <c r="O149" s="390">
        <f t="shared" si="15"/>
        <v>991345.97</v>
      </c>
      <c r="P149" s="390">
        <f t="shared" si="15"/>
        <v>310666</v>
      </c>
      <c r="Q149" s="390">
        <f t="shared" si="15"/>
        <v>984374</v>
      </c>
      <c r="R149" s="390">
        <f t="shared" si="15"/>
        <v>579123.69</v>
      </c>
      <c r="S149" s="390">
        <f t="shared" si="15"/>
        <v>261935</v>
      </c>
      <c r="T149" s="390">
        <f t="shared" si="15"/>
        <v>773875</v>
      </c>
      <c r="U149" s="388">
        <f>SUM(B149:T149)</f>
        <v>21171003.41</v>
      </c>
    </row>
    <row r="150" spans="1:21" ht="11.25">
      <c r="A150" s="163"/>
      <c r="B150" s="327"/>
      <c r="C150" s="328"/>
      <c r="D150" s="328"/>
      <c r="E150" s="328"/>
      <c r="F150" s="328"/>
      <c r="G150" s="328"/>
      <c r="H150" s="329"/>
      <c r="I150" s="329"/>
      <c r="J150" s="329"/>
      <c r="K150" s="329"/>
      <c r="L150" s="329"/>
      <c r="M150" s="329"/>
      <c r="N150" s="329"/>
      <c r="O150" s="329"/>
      <c r="P150" s="329"/>
      <c r="Q150" s="329"/>
      <c r="R150" s="329"/>
      <c r="S150" s="329"/>
      <c r="T150" s="329"/>
      <c r="U150" s="327"/>
    </row>
    <row r="151" spans="1:22" ht="12" thickBot="1">
      <c r="A151" s="163" t="s">
        <v>452</v>
      </c>
      <c r="B151" s="342"/>
      <c r="C151" s="343"/>
      <c r="D151" s="343"/>
      <c r="E151" s="343"/>
      <c r="F151" s="343"/>
      <c r="G151" s="343"/>
      <c r="H151" s="344"/>
      <c r="I151" s="344"/>
      <c r="J151" s="344"/>
      <c r="K151" s="344"/>
      <c r="L151" s="344"/>
      <c r="M151" s="344"/>
      <c r="N151" s="344"/>
      <c r="O151" s="344"/>
      <c r="P151" s="344"/>
      <c r="Q151" s="344"/>
      <c r="R151" s="344"/>
      <c r="S151" s="344"/>
      <c r="T151" s="344"/>
      <c r="U151" s="342">
        <f>U126+U134-U149</f>
        <v>7147055.129999999</v>
      </c>
      <c r="V151" s="379"/>
    </row>
    <row r="152" spans="2:21" ht="12" thickTop="1">
      <c r="B152" s="327"/>
      <c r="C152" s="328"/>
      <c r="D152" s="328"/>
      <c r="E152" s="328"/>
      <c r="F152" s="328"/>
      <c r="G152" s="328"/>
      <c r="H152" s="329"/>
      <c r="I152" s="330"/>
      <c r="J152" s="330"/>
      <c r="K152" s="330"/>
      <c r="L152" s="330"/>
      <c r="M152" s="330"/>
      <c r="N152" s="330"/>
      <c r="O152" s="330"/>
      <c r="P152" s="330"/>
      <c r="Q152" s="330"/>
      <c r="R152" s="330"/>
      <c r="S152" s="330"/>
      <c r="T152" s="330"/>
      <c r="U152" s="327"/>
    </row>
    <row r="153" spans="1:21" ht="11.25">
      <c r="A153" s="363" t="s">
        <v>456</v>
      </c>
      <c r="B153" s="335">
        <f>'PPC ECHO WX External wrkng copy'!B158</f>
        <v>0</v>
      </c>
      <c r="C153" s="336">
        <f>'PPC ECHO WX External wrkng copy'!C158</f>
        <v>539789</v>
      </c>
      <c r="D153" s="336">
        <f>'PPC ECHO WX External wrkng copy'!D158</f>
        <v>724950.23</v>
      </c>
      <c r="E153" s="336">
        <f>'PPC ECHO WX External wrkng copy'!E158</f>
        <v>301580.45</v>
      </c>
      <c r="F153" s="336">
        <f>'PPC ECHO WX External wrkng copy'!F158</f>
        <v>304107.52</v>
      </c>
      <c r="G153" s="336">
        <f>'PPC ECHO WX External wrkng copy'!G158</f>
        <v>179419.91</v>
      </c>
      <c r="H153" s="337">
        <f>'PPC ECHO WX External wrkng copy'!H158</f>
        <v>120968.92</v>
      </c>
      <c r="I153" s="337">
        <f>'PPC ECHO WX External wrkng copy'!I158</f>
        <v>148185.21</v>
      </c>
      <c r="J153" s="337">
        <f>'PPC ECHO WX External wrkng copy'!J158</f>
        <v>235783.05</v>
      </c>
      <c r="K153" s="337">
        <f>'PPC ECHO WX External wrkng copy'!K158</f>
        <v>99529</v>
      </c>
      <c r="L153" s="337">
        <f>'PPC ECHO WX External wrkng copy'!L158</f>
        <v>377131</v>
      </c>
      <c r="M153" s="337">
        <f>'PPC ECHO WX External wrkng copy'!M158</f>
        <v>2750.54</v>
      </c>
      <c r="N153" s="337">
        <f>'PPC ECHO WX External wrkng copy'!N158</f>
        <v>78716.8</v>
      </c>
      <c r="O153" s="337">
        <f>'PPC ECHO WX External wrkng copy'!O158</f>
        <v>328142.27</v>
      </c>
      <c r="P153" s="337">
        <f>'PPC ECHO WX External wrkng copy'!P158</f>
        <v>78513</v>
      </c>
      <c r="Q153" s="337">
        <f>'PPC ECHO WX External wrkng copy'!Q158</f>
        <v>173137</v>
      </c>
      <c r="R153" s="337">
        <f>'PPC ECHO WX External wrkng copy'!R158</f>
        <v>138428.41</v>
      </c>
      <c r="S153" s="337">
        <f>'PPC ECHO WX External wrkng copy'!S158</f>
        <v>214682.75</v>
      </c>
      <c r="T153" s="337">
        <f>'PPC ECHO WX External wrkng copy'!T158</f>
        <v>384806</v>
      </c>
      <c r="U153" s="335">
        <f>SUM(B153:T153)</f>
        <v>4430621.06</v>
      </c>
    </row>
    <row r="154" spans="2:21" ht="11.25">
      <c r="B154" s="331"/>
      <c r="C154" s="332"/>
      <c r="D154" s="332"/>
      <c r="E154" s="332"/>
      <c r="F154" s="332"/>
      <c r="G154" s="332"/>
      <c r="H154" s="333"/>
      <c r="I154" s="334"/>
      <c r="J154" s="334"/>
      <c r="K154" s="334"/>
      <c r="L154" s="334"/>
      <c r="M154" s="334"/>
      <c r="N154" s="334"/>
      <c r="O154" s="334"/>
      <c r="P154" s="334"/>
      <c r="Q154" s="334"/>
      <c r="R154" s="334"/>
      <c r="S154" s="334"/>
      <c r="T154" s="334"/>
      <c r="U154" s="331"/>
    </row>
    <row r="155" spans="1:21" ht="12" thickBot="1">
      <c r="A155" s="163" t="s">
        <v>454</v>
      </c>
      <c r="B155" s="339" t="s">
        <v>99</v>
      </c>
      <c r="C155" s="345" t="s">
        <v>99</v>
      </c>
      <c r="D155" s="345" t="s">
        <v>99</v>
      </c>
      <c r="E155" s="345" t="s">
        <v>99</v>
      </c>
      <c r="F155" s="345" t="s">
        <v>99</v>
      </c>
      <c r="G155" s="345" t="s">
        <v>99</v>
      </c>
      <c r="H155" s="346" t="s">
        <v>99</v>
      </c>
      <c r="I155" s="347"/>
      <c r="J155" s="347"/>
      <c r="K155" s="347"/>
      <c r="L155" s="347"/>
      <c r="M155" s="347"/>
      <c r="N155" s="347"/>
      <c r="O155" s="347"/>
      <c r="P155" s="347"/>
      <c r="Q155" s="347"/>
      <c r="R155" s="347"/>
      <c r="S155" s="347"/>
      <c r="T155" s="347"/>
      <c r="U155" s="339">
        <f>U151-U153</f>
        <v>2716434.0699999994</v>
      </c>
    </row>
    <row r="156" spans="2:8" ht="12" thickTop="1">
      <c r="B156" s="405"/>
      <c r="C156" s="406"/>
      <c r="D156" s="406"/>
      <c r="E156" s="406"/>
      <c r="F156" s="406"/>
      <c r="G156" s="406"/>
      <c r="H156" s="405"/>
    </row>
    <row r="157" spans="2:7" ht="11.25">
      <c r="B157" s="379"/>
      <c r="C157" s="379"/>
      <c r="D157" s="379"/>
      <c r="E157" s="379"/>
      <c r="F157" s="379"/>
      <c r="G157" s="379"/>
    </row>
    <row r="158" spans="1:21" ht="11.25">
      <c r="A158" s="396"/>
      <c r="B158" s="327"/>
      <c r="C158" s="537" t="s">
        <v>267</v>
      </c>
      <c r="D158" s="537"/>
      <c r="E158" s="537"/>
      <c r="F158" s="537"/>
      <c r="G158" s="537"/>
      <c r="H158" s="537" t="s">
        <v>386</v>
      </c>
      <c r="I158" s="537"/>
      <c r="J158" s="537"/>
      <c r="K158" s="537"/>
      <c r="L158" s="537"/>
      <c r="M158" s="537"/>
      <c r="N158" s="537"/>
      <c r="O158" s="537"/>
      <c r="P158" s="537"/>
      <c r="Q158" s="537"/>
      <c r="R158" s="537"/>
      <c r="S158" s="537"/>
      <c r="T158" s="537"/>
      <c r="U158" s="327"/>
    </row>
    <row r="159" spans="2:21" ht="11.25">
      <c r="B159" s="397" t="s">
        <v>13</v>
      </c>
      <c r="C159" s="383" t="s">
        <v>36</v>
      </c>
      <c r="D159" s="383" t="s">
        <v>37</v>
      </c>
      <c r="E159" s="383" t="s">
        <v>31</v>
      </c>
      <c r="F159" s="383" t="s">
        <v>32</v>
      </c>
      <c r="G159" s="383" t="s">
        <v>38</v>
      </c>
      <c r="H159" s="398" t="s">
        <v>25</v>
      </c>
      <c r="I159" s="398" t="s">
        <v>26</v>
      </c>
      <c r="J159" s="398" t="s">
        <v>27</v>
      </c>
      <c r="K159" s="398" t="s">
        <v>28</v>
      </c>
      <c r="L159" s="398" t="s">
        <v>29</v>
      </c>
      <c r="M159" s="398" t="s">
        <v>40</v>
      </c>
      <c r="N159" s="398" t="s">
        <v>30</v>
      </c>
      <c r="O159" s="398" t="s">
        <v>31</v>
      </c>
      <c r="P159" s="398" t="s">
        <v>32</v>
      </c>
      <c r="Q159" s="398" t="s">
        <v>33</v>
      </c>
      <c r="R159" s="398" t="s">
        <v>41</v>
      </c>
      <c r="S159" s="398" t="s">
        <v>34</v>
      </c>
      <c r="T159" s="398" t="s">
        <v>35</v>
      </c>
      <c r="U159" s="349"/>
    </row>
    <row r="160" spans="2:21" ht="11.25">
      <c r="B160" s="321" t="s">
        <v>75</v>
      </c>
      <c r="C160" s="474" t="s">
        <v>290</v>
      </c>
      <c r="D160" s="474" t="s">
        <v>289</v>
      </c>
      <c r="E160" s="474" t="s">
        <v>291</v>
      </c>
      <c r="F160" s="538" t="s">
        <v>292</v>
      </c>
      <c r="G160" s="359" t="s">
        <v>293</v>
      </c>
      <c r="H160" s="472" t="s">
        <v>294</v>
      </c>
      <c r="I160" s="535" t="s">
        <v>303</v>
      </c>
      <c r="J160" s="535" t="s">
        <v>300</v>
      </c>
      <c r="K160" s="472" t="s">
        <v>301</v>
      </c>
      <c r="L160" s="535" t="s">
        <v>295</v>
      </c>
      <c r="M160" s="472" t="s">
        <v>296</v>
      </c>
      <c r="N160" s="535" t="s">
        <v>302</v>
      </c>
      <c r="O160" s="472" t="s">
        <v>291</v>
      </c>
      <c r="P160" s="535" t="s">
        <v>292</v>
      </c>
      <c r="Q160" s="535" t="s">
        <v>304</v>
      </c>
      <c r="R160" s="535" t="s">
        <v>297</v>
      </c>
      <c r="S160" s="472" t="s">
        <v>298</v>
      </c>
      <c r="T160" s="535" t="s">
        <v>299</v>
      </c>
      <c r="U160" s="321" t="s">
        <v>118</v>
      </c>
    </row>
    <row r="161" spans="2:21" ht="11.25">
      <c r="B161" s="360"/>
      <c r="C161" s="475"/>
      <c r="D161" s="475"/>
      <c r="E161" s="475"/>
      <c r="F161" s="539"/>
      <c r="G161" s="325"/>
      <c r="H161" s="473"/>
      <c r="I161" s="536"/>
      <c r="J161" s="536"/>
      <c r="K161" s="473"/>
      <c r="L161" s="536"/>
      <c r="M161" s="473"/>
      <c r="N161" s="536"/>
      <c r="O161" s="473"/>
      <c r="P161" s="536"/>
      <c r="Q161" s="536"/>
      <c r="R161" s="536"/>
      <c r="S161" s="473"/>
      <c r="T161" s="536"/>
      <c r="U161" s="360"/>
    </row>
    <row r="162" spans="1:21" ht="11.25">
      <c r="A162" s="163" t="s">
        <v>461</v>
      </c>
      <c r="B162" s="327" t="s">
        <v>99</v>
      </c>
      <c r="C162" s="328" t="s">
        <v>99</v>
      </c>
      <c r="D162" s="328" t="s">
        <v>99</v>
      </c>
      <c r="E162" s="328" t="s">
        <v>99</v>
      </c>
      <c r="F162" s="328"/>
      <c r="G162" s="328" t="s">
        <v>99</v>
      </c>
      <c r="H162" s="329" t="s">
        <v>99</v>
      </c>
      <c r="I162" s="330"/>
      <c r="J162" s="330"/>
      <c r="K162" s="330"/>
      <c r="L162" s="330"/>
      <c r="M162" s="330"/>
      <c r="N162" s="330"/>
      <c r="O162" s="330"/>
      <c r="P162" s="330"/>
      <c r="Q162" s="330"/>
      <c r="R162" s="330"/>
      <c r="S162" s="330"/>
      <c r="T162" s="330"/>
      <c r="U162" s="388">
        <f>'PPC ECHO WX External wrkng copy'!U177</f>
        <v>7147055.13</v>
      </c>
    </row>
    <row r="163" spans="2:21" ht="11.25">
      <c r="B163" s="335"/>
      <c r="C163" s="336"/>
      <c r="D163" s="336"/>
      <c r="E163" s="336"/>
      <c r="F163" s="336"/>
      <c r="G163" s="336"/>
      <c r="H163" s="337"/>
      <c r="I163" s="334"/>
      <c r="J163" s="334"/>
      <c r="K163" s="334"/>
      <c r="L163" s="334"/>
      <c r="M163" s="334"/>
      <c r="N163" s="334"/>
      <c r="O163" s="334"/>
      <c r="P163" s="334"/>
      <c r="Q163" s="334"/>
      <c r="R163" s="334"/>
      <c r="S163" s="334"/>
      <c r="T163" s="334"/>
      <c r="U163" s="335"/>
    </row>
    <row r="164" spans="1:21" ht="11.25">
      <c r="A164" s="163" t="s">
        <v>384</v>
      </c>
      <c r="B164" s="335" t="s">
        <v>99</v>
      </c>
      <c r="C164" s="336" t="s">
        <v>99</v>
      </c>
      <c r="D164" s="336" t="s">
        <v>99</v>
      </c>
      <c r="E164" s="336" t="s">
        <v>99</v>
      </c>
      <c r="F164" s="336"/>
      <c r="G164" s="336" t="s">
        <v>99</v>
      </c>
      <c r="H164" s="337" t="s">
        <v>99</v>
      </c>
      <c r="I164" s="334"/>
      <c r="J164" s="334"/>
      <c r="K164" s="334"/>
      <c r="L164" s="334"/>
      <c r="M164" s="334"/>
      <c r="N164" s="334"/>
      <c r="O164" s="334"/>
      <c r="P164" s="334"/>
      <c r="Q164" s="334"/>
      <c r="R164" s="334"/>
      <c r="S164" s="334"/>
      <c r="T164" s="334"/>
      <c r="U164" s="335" t="s">
        <v>99</v>
      </c>
    </row>
    <row r="165" spans="1:22" ht="11.25">
      <c r="A165" s="315" t="s">
        <v>267</v>
      </c>
      <c r="B165" s="335"/>
      <c r="C165" s="336"/>
      <c r="D165" s="336"/>
      <c r="E165" s="336"/>
      <c r="F165" s="336"/>
      <c r="G165" s="336"/>
      <c r="H165" s="337"/>
      <c r="I165" s="334"/>
      <c r="J165" s="334"/>
      <c r="K165" s="334"/>
      <c r="L165" s="334"/>
      <c r="M165" s="334"/>
      <c r="N165" s="334"/>
      <c r="O165" s="334"/>
      <c r="P165" s="334"/>
      <c r="Q165" s="334"/>
      <c r="R165" s="334"/>
      <c r="S165" s="334"/>
      <c r="T165" s="334"/>
      <c r="U165" s="335">
        <f>'PPC ECHO WX External wrkng copy'!U180</f>
        <v>5353950.78</v>
      </c>
      <c r="V165" s="315" t="s">
        <v>536</v>
      </c>
    </row>
    <row r="166" spans="1:22" ht="11.25">
      <c r="A166" s="315" t="s">
        <v>386</v>
      </c>
      <c r="B166" s="335"/>
      <c r="C166" s="336"/>
      <c r="D166" s="336"/>
      <c r="E166" s="336"/>
      <c r="F166" s="336"/>
      <c r="G166" s="336"/>
      <c r="H166" s="337"/>
      <c r="I166" s="334"/>
      <c r="J166" s="334"/>
      <c r="K166" s="334"/>
      <c r="L166" s="334"/>
      <c r="M166" s="334"/>
      <c r="N166" s="334"/>
      <c r="O166" s="334"/>
      <c r="P166" s="334"/>
      <c r="Q166" s="334"/>
      <c r="R166" s="334"/>
      <c r="S166" s="334"/>
      <c r="T166" s="334"/>
      <c r="U166" s="335">
        <f>'PPC ECHO WX External wrkng copy'!U181</f>
        <v>3879649.1</v>
      </c>
      <c r="V166" s="315" t="s">
        <v>536</v>
      </c>
    </row>
    <row r="167" spans="1:22" ht="11.25">
      <c r="A167" s="315" t="s">
        <v>385</v>
      </c>
      <c r="B167" s="335"/>
      <c r="C167" s="336"/>
      <c r="D167" s="336"/>
      <c r="E167" s="336">
        <v>0</v>
      </c>
      <c r="F167" s="336"/>
      <c r="G167" s="336"/>
      <c r="H167" s="337">
        <v>0</v>
      </c>
      <c r="I167" s="334"/>
      <c r="J167" s="334"/>
      <c r="K167" s="334"/>
      <c r="L167" s="334"/>
      <c r="M167" s="334"/>
      <c r="N167" s="334"/>
      <c r="O167" s="334"/>
      <c r="P167" s="334"/>
      <c r="Q167" s="334"/>
      <c r="R167" s="334"/>
      <c r="S167" s="334"/>
      <c r="T167" s="334"/>
      <c r="U167" s="335">
        <f>'PPC ECHO WX External wrkng copy'!U182</f>
        <v>6892.049999999979</v>
      </c>
      <c r="V167" s="315" t="s">
        <v>536</v>
      </c>
    </row>
    <row r="168" spans="1:22" ht="11.25">
      <c r="A168" s="315" t="s">
        <v>20</v>
      </c>
      <c r="B168" s="348"/>
      <c r="C168" s="402"/>
      <c r="D168" s="402"/>
      <c r="E168" s="402"/>
      <c r="F168" s="402"/>
      <c r="G168" s="402"/>
      <c r="H168" s="403" t="s">
        <v>99</v>
      </c>
      <c r="I168" s="367"/>
      <c r="J168" s="367"/>
      <c r="K168" s="367"/>
      <c r="L168" s="367"/>
      <c r="M168" s="367"/>
      <c r="N168" s="367"/>
      <c r="O168" s="367"/>
      <c r="P168" s="367"/>
      <c r="Q168" s="367"/>
      <c r="R168" s="367"/>
      <c r="S168" s="367"/>
      <c r="T168" s="367"/>
      <c r="U168" s="348">
        <f>'PPC ECHO WX External wrkng copy'!U183</f>
        <v>298414.41</v>
      </c>
      <c r="V168" s="315" t="s">
        <v>536</v>
      </c>
    </row>
    <row r="169" spans="2:21" ht="11.25">
      <c r="B169" s="335"/>
      <c r="C169" s="336"/>
      <c r="D169" s="336"/>
      <c r="E169" s="336"/>
      <c r="F169" s="336"/>
      <c r="G169" s="336"/>
      <c r="H169" s="337"/>
      <c r="I169" s="404"/>
      <c r="J169" s="404"/>
      <c r="K169" s="404"/>
      <c r="L169" s="404"/>
      <c r="M169" s="404"/>
      <c r="N169" s="404"/>
      <c r="O169" s="404"/>
      <c r="P169" s="404"/>
      <c r="Q169" s="404"/>
      <c r="R169" s="404"/>
      <c r="S169" s="404"/>
      <c r="T169" s="404"/>
      <c r="U169" s="335"/>
    </row>
    <row r="170" spans="1:21" ht="11.25">
      <c r="A170" s="163" t="s">
        <v>7</v>
      </c>
      <c r="B170" s="335" t="s">
        <v>99</v>
      </c>
      <c r="C170" s="336" t="s">
        <v>99</v>
      </c>
      <c r="D170" s="336" t="s">
        <v>99</v>
      </c>
      <c r="E170" s="336" t="s">
        <v>99</v>
      </c>
      <c r="F170" s="336"/>
      <c r="G170" s="336" t="s">
        <v>99</v>
      </c>
      <c r="H170" s="337" t="s">
        <v>99</v>
      </c>
      <c r="I170" s="334"/>
      <c r="J170" s="334"/>
      <c r="K170" s="334"/>
      <c r="L170" s="334"/>
      <c r="M170" s="334"/>
      <c r="N170" s="334"/>
      <c r="O170" s="334"/>
      <c r="P170" s="334"/>
      <c r="Q170" s="334"/>
      <c r="R170" s="334"/>
      <c r="S170" s="334"/>
      <c r="T170" s="334"/>
      <c r="U170" s="335">
        <f>SUM(U165:U168)</f>
        <v>9538906.340000002</v>
      </c>
    </row>
    <row r="171" spans="2:21" ht="11.25">
      <c r="B171" s="331"/>
      <c r="C171" s="332"/>
      <c r="D171" s="332"/>
      <c r="E171" s="332"/>
      <c r="F171" s="332"/>
      <c r="G171" s="332"/>
      <c r="H171" s="333"/>
      <c r="I171" s="334"/>
      <c r="J171" s="334"/>
      <c r="K171" s="334"/>
      <c r="L171" s="334"/>
      <c r="M171" s="334"/>
      <c r="N171" s="334"/>
      <c r="O171" s="334"/>
      <c r="P171" s="334"/>
      <c r="Q171" s="334"/>
      <c r="R171" s="334"/>
      <c r="S171" s="334"/>
      <c r="T171" s="334"/>
      <c r="U171" s="331"/>
    </row>
    <row r="172" spans="1:21" ht="11.25">
      <c r="A172" s="163" t="s">
        <v>89</v>
      </c>
      <c r="B172" s="327"/>
      <c r="C172" s="328"/>
      <c r="D172" s="328"/>
      <c r="E172" s="328"/>
      <c r="F172" s="328"/>
      <c r="G172" s="328"/>
      <c r="H172" s="329"/>
      <c r="I172" s="330"/>
      <c r="J172" s="330"/>
      <c r="K172" s="330"/>
      <c r="L172" s="330"/>
      <c r="M172" s="330"/>
      <c r="N172" s="330"/>
      <c r="O172" s="330"/>
      <c r="P172" s="330"/>
      <c r="Q172" s="330"/>
      <c r="R172" s="330"/>
      <c r="S172" s="330"/>
      <c r="T172" s="330"/>
      <c r="U172" s="327"/>
    </row>
    <row r="173" spans="1:21" ht="11.25" hidden="1" outlineLevel="1">
      <c r="A173" s="315" t="s">
        <v>124</v>
      </c>
      <c r="B173" s="327">
        <f>'PPC ECHO WX External wrkng copy'!B188</f>
        <v>304921.26</v>
      </c>
      <c r="C173" s="328"/>
      <c r="D173" s="328"/>
      <c r="E173" s="328"/>
      <c r="F173" s="328"/>
      <c r="G173" s="328"/>
      <c r="H173" s="329"/>
      <c r="I173" s="330"/>
      <c r="J173" s="330"/>
      <c r="K173" s="330"/>
      <c r="L173" s="330"/>
      <c r="M173" s="330"/>
      <c r="N173" s="330"/>
      <c r="O173" s="330"/>
      <c r="P173" s="330"/>
      <c r="Q173" s="330"/>
      <c r="R173" s="330"/>
      <c r="S173" s="330"/>
      <c r="T173" s="330"/>
      <c r="U173" s="327">
        <f>SUM(B173:T173)</f>
        <v>304921.26</v>
      </c>
    </row>
    <row r="174" spans="1:21" ht="11.25" hidden="1" outlineLevel="1">
      <c r="A174" s="315" t="s">
        <v>39</v>
      </c>
      <c r="B174" s="327">
        <f>'PPC ECHO WX External wrkng copy'!B189</f>
        <v>40865</v>
      </c>
      <c r="C174" s="328"/>
      <c r="D174" s="328"/>
      <c r="E174" s="328"/>
      <c r="F174" s="328"/>
      <c r="G174" s="328"/>
      <c r="H174" s="329"/>
      <c r="I174" s="330"/>
      <c r="J174" s="330"/>
      <c r="K174" s="330"/>
      <c r="L174" s="330"/>
      <c r="M174" s="330"/>
      <c r="N174" s="330"/>
      <c r="O174" s="330"/>
      <c r="P174" s="330"/>
      <c r="Q174" s="330"/>
      <c r="R174" s="330"/>
      <c r="S174" s="330"/>
      <c r="T174" s="330"/>
      <c r="U174" s="327">
        <f aca="true" t="shared" si="16" ref="U174:U183">SUM(B174:T174)</f>
        <v>40865</v>
      </c>
    </row>
    <row r="175" spans="1:21" ht="11.25" collapsed="1">
      <c r="A175" s="363" t="s">
        <v>397</v>
      </c>
      <c r="B175" s="327">
        <f>SUM(B173:B174)</f>
        <v>345786.26</v>
      </c>
      <c r="C175" s="328"/>
      <c r="D175" s="328"/>
      <c r="E175" s="328"/>
      <c r="F175" s="328"/>
      <c r="G175" s="328"/>
      <c r="H175" s="329"/>
      <c r="I175" s="330"/>
      <c r="J175" s="330"/>
      <c r="K175" s="330"/>
      <c r="L175" s="330"/>
      <c r="M175" s="330"/>
      <c r="N175" s="330"/>
      <c r="O175" s="330"/>
      <c r="P175" s="330"/>
      <c r="Q175" s="330"/>
      <c r="R175" s="330"/>
      <c r="S175" s="330"/>
      <c r="T175" s="330"/>
      <c r="U175" s="327">
        <f t="shared" si="16"/>
        <v>345786.26</v>
      </c>
    </row>
    <row r="176" spans="1:21" ht="11.25">
      <c r="A176" s="363" t="s">
        <v>401</v>
      </c>
      <c r="B176" s="327">
        <f>'PPC ECHO WX External wrkng copy'!B191</f>
        <v>207646.82</v>
      </c>
      <c r="C176" s="328"/>
      <c r="D176" s="328"/>
      <c r="E176" s="328"/>
      <c r="F176" s="328"/>
      <c r="G176" s="328"/>
      <c r="H176" s="329"/>
      <c r="I176" s="330"/>
      <c r="J176" s="330"/>
      <c r="K176" s="330"/>
      <c r="L176" s="330"/>
      <c r="M176" s="330"/>
      <c r="N176" s="330"/>
      <c r="O176" s="330"/>
      <c r="P176" s="330"/>
      <c r="Q176" s="330"/>
      <c r="R176" s="330"/>
      <c r="S176" s="330"/>
      <c r="T176" s="330"/>
      <c r="U176" s="327">
        <f t="shared" si="16"/>
        <v>207646.82</v>
      </c>
    </row>
    <row r="177" spans="1:21" ht="11.25" hidden="1" outlineLevel="1">
      <c r="A177" s="315" t="s">
        <v>387</v>
      </c>
      <c r="B177" s="327"/>
      <c r="C177" s="328">
        <f>'PPC ECHO WX External wrkng copy'!C192</f>
        <v>95780</v>
      </c>
      <c r="D177" s="328">
        <f>'PPC ECHO WX External wrkng copy'!D192</f>
        <v>166122.87</v>
      </c>
      <c r="E177" s="328">
        <f>'PPC ECHO WX External wrkng copy'!E192</f>
        <v>197170.88</v>
      </c>
      <c r="F177" s="328">
        <f>'PPC ECHO WX External wrkng copy'!F192</f>
        <v>82473.16</v>
      </c>
      <c r="G177" s="328">
        <f>'PPC ECHO WX External wrkng copy'!G192</f>
        <v>24246.78</v>
      </c>
      <c r="H177" s="329">
        <f>'PPC ECHO WX External wrkng copy'!H192</f>
        <v>104421.88</v>
      </c>
      <c r="I177" s="329">
        <f>'PPC ECHO WX External wrkng copy'!I192</f>
        <v>9376.45</v>
      </c>
      <c r="J177" s="329">
        <f>'PPC ECHO WX External wrkng copy'!J192</f>
        <v>28234</v>
      </c>
      <c r="K177" s="329">
        <f>'PPC ECHO WX External wrkng copy'!K192</f>
        <v>1823</v>
      </c>
      <c r="L177" s="329">
        <f>'PPC ECHO WX External wrkng copy'!L192</f>
        <v>95786</v>
      </c>
      <c r="M177" s="329">
        <f>'PPC ECHO WX External wrkng copy'!M192</f>
        <v>5895.18</v>
      </c>
      <c r="N177" s="329">
        <f>'PPC ECHO WX External wrkng copy'!N192</f>
        <v>3122.92</v>
      </c>
      <c r="O177" s="329">
        <f>'PPC ECHO WX External wrkng copy'!O192</f>
        <v>73394.98</v>
      </c>
      <c r="P177" s="329">
        <f>'PPC ECHO WX External wrkng copy'!P192</f>
        <v>17717.46</v>
      </c>
      <c r="Q177" s="329">
        <f>'PPC ECHO WX External wrkng copy'!Q192</f>
        <v>38440</v>
      </c>
      <c r="R177" s="329">
        <f>'PPC ECHO WX External wrkng copy'!R192</f>
        <v>21458.56</v>
      </c>
      <c r="S177" s="329">
        <f>'PPC ECHO WX External wrkng copy'!S192</f>
        <v>9764</v>
      </c>
      <c r="T177" s="329">
        <f>'PPC ECHO WX External wrkng copy'!T192</f>
        <v>49890</v>
      </c>
      <c r="U177" s="327">
        <f t="shared" si="16"/>
        <v>1025118.1200000001</v>
      </c>
    </row>
    <row r="178" spans="1:21" ht="11.25" hidden="1" outlineLevel="1">
      <c r="A178" s="315" t="s">
        <v>388</v>
      </c>
      <c r="B178" s="327"/>
      <c r="C178" s="328">
        <f>'PPC ECHO WX External wrkng copy'!C193</f>
        <v>9856</v>
      </c>
      <c r="D178" s="328">
        <f>'PPC ECHO WX External wrkng copy'!D193</f>
        <v>4782.82</v>
      </c>
      <c r="E178" s="328">
        <f>'PPC ECHO WX External wrkng copy'!E193</f>
        <v>0</v>
      </c>
      <c r="F178" s="328">
        <f>'PPC ECHO WX External wrkng copy'!F193</f>
        <v>423.14</v>
      </c>
      <c r="G178" s="328">
        <f>'PPC ECHO WX External wrkng copy'!G193</f>
        <v>5320.57</v>
      </c>
      <c r="H178" s="329">
        <f>'PPC ECHO WX External wrkng copy'!H193</f>
        <v>8979</v>
      </c>
      <c r="I178" s="329">
        <f>'PPC ECHO WX External wrkng copy'!I193</f>
        <v>849.48</v>
      </c>
      <c r="J178" s="329">
        <f>'PPC ECHO WX External wrkng copy'!J193</f>
        <v>9727</v>
      </c>
      <c r="K178" s="329">
        <f>'PPC ECHO WX External wrkng copy'!K193</f>
        <v>196</v>
      </c>
      <c r="L178" s="329">
        <f>'PPC ECHO WX External wrkng copy'!L193</f>
        <v>1274</v>
      </c>
      <c r="M178" s="329">
        <f>'PPC ECHO WX External wrkng copy'!M193</f>
        <v>0</v>
      </c>
      <c r="N178" s="329">
        <f>'PPC ECHO WX External wrkng copy'!N193</f>
        <v>0</v>
      </c>
      <c r="O178" s="329">
        <f>'PPC ECHO WX External wrkng copy'!O193</f>
        <v>0</v>
      </c>
      <c r="P178" s="329">
        <f>'PPC ECHO WX External wrkng copy'!P193</f>
        <v>282.95</v>
      </c>
      <c r="Q178" s="329">
        <f>'PPC ECHO WX External wrkng copy'!Q193</f>
        <v>2896</v>
      </c>
      <c r="R178" s="329">
        <f>'PPC ECHO WX External wrkng copy'!R193</f>
        <v>0</v>
      </c>
      <c r="S178" s="329">
        <f>'PPC ECHO WX External wrkng copy'!S193</f>
        <v>1599</v>
      </c>
      <c r="T178" s="329">
        <f>'PPC ECHO WX External wrkng copy'!T193</f>
        <v>657</v>
      </c>
      <c r="U178" s="327">
        <f t="shared" si="16"/>
        <v>46842.95999999999</v>
      </c>
    </row>
    <row r="179" spans="1:21" ht="11.25" collapsed="1">
      <c r="A179" s="363" t="s">
        <v>402</v>
      </c>
      <c r="B179" s="327"/>
      <c r="C179" s="328">
        <f>SUM(C177:C178)</f>
        <v>105636</v>
      </c>
      <c r="D179" s="328">
        <f aca="true" t="shared" si="17" ref="D179:T179">SUM(D177:D178)</f>
        <v>170905.69</v>
      </c>
      <c r="E179" s="328">
        <f t="shared" si="17"/>
        <v>197170.88</v>
      </c>
      <c r="F179" s="328">
        <f t="shared" si="17"/>
        <v>82896.3</v>
      </c>
      <c r="G179" s="328">
        <f t="shared" si="17"/>
        <v>29567.35</v>
      </c>
      <c r="H179" s="329">
        <f t="shared" si="17"/>
        <v>113400.88</v>
      </c>
      <c r="I179" s="329">
        <f t="shared" si="17"/>
        <v>10225.93</v>
      </c>
      <c r="J179" s="329">
        <f t="shared" si="17"/>
        <v>37961</v>
      </c>
      <c r="K179" s="329">
        <f t="shared" si="17"/>
        <v>2019</v>
      </c>
      <c r="L179" s="329">
        <f t="shared" si="17"/>
        <v>97060</v>
      </c>
      <c r="M179" s="329">
        <f t="shared" si="17"/>
        <v>5895.18</v>
      </c>
      <c r="N179" s="329">
        <f t="shared" si="17"/>
        <v>3122.92</v>
      </c>
      <c r="O179" s="329">
        <f t="shared" si="17"/>
        <v>73394.98</v>
      </c>
      <c r="P179" s="329">
        <f t="shared" si="17"/>
        <v>18000.41</v>
      </c>
      <c r="Q179" s="329">
        <f t="shared" si="17"/>
        <v>41336</v>
      </c>
      <c r="R179" s="329">
        <f t="shared" si="17"/>
        <v>21458.56</v>
      </c>
      <c r="S179" s="329">
        <f t="shared" si="17"/>
        <v>11363</v>
      </c>
      <c r="T179" s="329">
        <f t="shared" si="17"/>
        <v>50547</v>
      </c>
      <c r="U179" s="327">
        <f t="shared" si="16"/>
        <v>1071961.08</v>
      </c>
    </row>
    <row r="180" spans="1:21" ht="11.25">
      <c r="A180" s="363" t="s">
        <v>403</v>
      </c>
      <c r="B180" s="327">
        <f>'PPC ECHO WX External wrkng copy'!B195</f>
        <v>10389</v>
      </c>
      <c r="C180" s="328">
        <f>'PPC ECHO WX External wrkng copy'!C195</f>
        <v>6906.5</v>
      </c>
      <c r="D180" s="328">
        <f>'PPC ECHO WX External wrkng copy'!D195</f>
        <v>14846.94</v>
      </c>
      <c r="E180" s="328">
        <f>'PPC ECHO WX External wrkng copy'!E195</f>
        <v>19671</v>
      </c>
      <c r="F180" s="328">
        <f>'PPC ECHO WX External wrkng copy'!F195</f>
        <v>8772</v>
      </c>
      <c r="G180" s="328">
        <f>'PPC ECHO WX External wrkng copy'!G195</f>
        <v>2691.13</v>
      </c>
      <c r="H180" s="329">
        <f>'PPC ECHO WX External wrkng copy'!H195</f>
        <v>817.45</v>
      </c>
      <c r="I180" s="329">
        <f>'PPC ECHO WX External wrkng copy'!I195</f>
        <v>921.5</v>
      </c>
      <c r="J180" s="329">
        <f>'PPC ECHO WX External wrkng copy'!J195</f>
        <v>115.3</v>
      </c>
      <c r="K180" s="329">
        <f>'PPC ECHO WX External wrkng copy'!K195</f>
        <v>0</v>
      </c>
      <c r="L180" s="329">
        <f>'PPC ECHO WX External wrkng copy'!L195</f>
        <v>573</v>
      </c>
      <c r="M180" s="329">
        <f>'PPC ECHO WX External wrkng copy'!M195</f>
        <v>0</v>
      </c>
      <c r="N180" s="329">
        <f>'PPC ECHO WX External wrkng copy'!N195</f>
        <v>431.88</v>
      </c>
      <c r="O180" s="329">
        <f>'PPC ECHO WX External wrkng copy'!O195</f>
        <v>6123</v>
      </c>
      <c r="P180" s="329">
        <f>'PPC ECHO WX External wrkng copy'!P195</f>
        <v>3908</v>
      </c>
      <c r="Q180" s="329">
        <f>'PPC ECHO WX External wrkng copy'!Q195</f>
        <v>5078</v>
      </c>
      <c r="R180" s="329">
        <f>'PPC ECHO WX External wrkng copy'!R195</f>
        <v>0</v>
      </c>
      <c r="S180" s="329">
        <f>'PPC ECHO WX External wrkng copy'!S195</f>
        <v>2899</v>
      </c>
      <c r="T180" s="329">
        <f>'PPC ECHO WX External wrkng copy'!T195</f>
        <v>625</v>
      </c>
      <c r="U180" s="327">
        <f t="shared" si="16"/>
        <v>84768.70000000001</v>
      </c>
    </row>
    <row r="181" spans="1:21" ht="11.25" hidden="1" outlineLevel="1">
      <c r="A181" s="315" t="s">
        <v>238</v>
      </c>
      <c r="B181" s="327"/>
      <c r="C181" s="328">
        <f>'PPC ECHO WX External wrkng copy'!C196</f>
        <v>1624456.5</v>
      </c>
      <c r="D181" s="328">
        <f>'PPC ECHO WX External wrkng copy'!D196</f>
        <v>1381775.45</v>
      </c>
      <c r="E181" s="328">
        <f>'PPC ECHO WX External wrkng copy'!E196</f>
        <v>1546575.64</v>
      </c>
      <c r="F181" s="328">
        <f>'PPC ECHO WX External wrkng copy'!F196</f>
        <v>877536.85</v>
      </c>
      <c r="G181" s="328">
        <f>'PPC ECHO WX External wrkng copy'!G196</f>
        <v>190581.79</v>
      </c>
      <c r="H181" s="329">
        <f>'PPC ECHO WX External wrkng copy'!H196</f>
        <v>449118.52</v>
      </c>
      <c r="I181" s="329">
        <f>'PPC ECHO WX External wrkng copy'!I196</f>
        <v>125032.87</v>
      </c>
      <c r="J181" s="329">
        <f>'PPC ECHO WX External wrkng copy'!J196</f>
        <v>135025.87</v>
      </c>
      <c r="K181" s="329">
        <f>'PPC ECHO WX External wrkng copy'!K196</f>
        <v>14376</v>
      </c>
      <c r="L181" s="329">
        <f>'PPC ECHO WX External wrkng copy'!L196</f>
        <v>706030</v>
      </c>
      <c r="M181" s="329">
        <f>'PPC ECHO WX External wrkng copy'!M196</f>
        <v>27198.36</v>
      </c>
      <c r="N181" s="329">
        <f>'PPC ECHO WX External wrkng copy'!N196</f>
        <v>19197.73</v>
      </c>
      <c r="O181" s="329">
        <f>'PPC ECHO WX External wrkng copy'!O196</f>
        <v>419770.99</v>
      </c>
      <c r="P181" s="329">
        <f>'PPC ECHO WX External wrkng copy'!P196</f>
        <v>200321.54</v>
      </c>
      <c r="Q181" s="329">
        <f>'PPC ECHO WX External wrkng copy'!Q196</f>
        <v>521781</v>
      </c>
      <c r="R181" s="329">
        <f>'PPC ECHO WX External wrkng copy'!R196</f>
        <v>238428.61</v>
      </c>
      <c r="S181" s="329">
        <f>'PPC ECHO WX External wrkng copy'!S196</f>
        <v>122308</v>
      </c>
      <c r="T181" s="329">
        <f>'PPC ECHO WX External wrkng copy'!T196</f>
        <v>705304</v>
      </c>
      <c r="U181" s="327">
        <f t="shared" si="16"/>
        <v>9304819.72</v>
      </c>
    </row>
    <row r="182" spans="1:21" ht="11.25" hidden="1" outlineLevel="1">
      <c r="A182" s="315" t="s">
        <v>389</v>
      </c>
      <c r="B182" s="327"/>
      <c r="C182" s="328">
        <f>'PPC ECHO WX External wrkng copy'!C197</f>
        <v>163642</v>
      </c>
      <c r="D182" s="328">
        <f>'PPC ECHO WX External wrkng copy'!D197</f>
        <v>58634</v>
      </c>
      <c r="E182" s="328">
        <f>'PPC ECHO WX External wrkng copy'!E197</f>
        <v>31134.78</v>
      </c>
      <c r="F182" s="328">
        <f>'PPC ECHO WX External wrkng copy'!F197</f>
        <v>6200</v>
      </c>
      <c r="G182" s="328">
        <f>'PPC ECHO WX External wrkng copy'!G197</f>
        <v>44096.57</v>
      </c>
      <c r="H182" s="329">
        <f>'PPC ECHO WX External wrkng copy'!H197</f>
        <v>99850.15</v>
      </c>
      <c r="I182" s="329">
        <f>'PPC ECHO WX External wrkng copy'!I197</f>
        <v>18059.63</v>
      </c>
      <c r="J182" s="329">
        <f>'PPC ECHO WX External wrkng copy'!J197</f>
        <v>61853.5</v>
      </c>
      <c r="K182" s="329">
        <f>'PPC ECHO WX External wrkng copy'!K197</f>
        <v>1488</v>
      </c>
      <c r="L182" s="329">
        <f>'PPC ECHO WX External wrkng copy'!L197</f>
        <v>19127</v>
      </c>
      <c r="M182" s="329">
        <f>'PPC ECHO WX External wrkng copy'!M197</f>
        <v>0</v>
      </c>
      <c r="N182" s="329">
        <f>'PPC ECHO WX External wrkng copy'!N197</f>
        <v>0</v>
      </c>
      <c r="O182" s="329">
        <f>'PPC ECHO WX External wrkng copy'!O197</f>
        <v>17530.4</v>
      </c>
      <c r="P182" s="329">
        <f>'PPC ECHO WX External wrkng copy'!P197</f>
        <v>2053</v>
      </c>
      <c r="Q182" s="329">
        <f>'PPC ECHO WX External wrkng copy'!Q197</f>
        <v>16083</v>
      </c>
      <c r="R182" s="329">
        <f>'PPC ECHO WX External wrkng copy'!R197</f>
        <v>0</v>
      </c>
      <c r="S182" s="329">
        <f>'PPC ECHO WX External wrkng copy'!S197</f>
        <v>2603</v>
      </c>
      <c r="T182" s="329">
        <f>'PPC ECHO WX External wrkng copy'!T197</f>
        <v>9475</v>
      </c>
      <c r="U182" s="327">
        <f t="shared" si="16"/>
        <v>551830.03</v>
      </c>
    </row>
    <row r="183" spans="1:21" ht="11.25" collapsed="1">
      <c r="A183" s="363" t="s">
        <v>411</v>
      </c>
      <c r="B183" s="327"/>
      <c r="C183" s="328">
        <f>SUM(C181:C182)</f>
        <v>1788098.5</v>
      </c>
      <c r="D183" s="328">
        <f aca="true" t="shared" si="18" ref="D183:T183">SUM(D181:D182)</f>
        <v>1440409.45</v>
      </c>
      <c r="E183" s="328">
        <f t="shared" si="18"/>
        <v>1577710.42</v>
      </c>
      <c r="F183" s="328">
        <f t="shared" si="18"/>
        <v>883736.85</v>
      </c>
      <c r="G183" s="328">
        <f t="shared" si="18"/>
        <v>234678.36000000002</v>
      </c>
      <c r="H183" s="329">
        <f t="shared" si="18"/>
        <v>548968.67</v>
      </c>
      <c r="I183" s="329">
        <f t="shared" si="18"/>
        <v>143092.5</v>
      </c>
      <c r="J183" s="329">
        <f t="shared" si="18"/>
        <v>196879.37</v>
      </c>
      <c r="K183" s="329">
        <f t="shared" si="18"/>
        <v>15864</v>
      </c>
      <c r="L183" s="329">
        <f t="shared" si="18"/>
        <v>725157</v>
      </c>
      <c r="M183" s="329">
        <f t="shared" si="18"/>
        <v>27198.36</v>
      </c>
      <c r="N183" s="329">
        <f t="shared" si="18"/>
        <v>19197.73</v>
      </c>
      <c r="O183" s="329">
        <f t="shared" si="18"/>
        <v>437301.39</v>
      </c>
      <c r="P183" s="329">
        <f t="shared" si="18"/>
        <v>202374.54</v>
      </c>
      <c r="Q183" s="329">
        <f t="shared" si="18"/>
        <v>537864</v>
      </c>
      <c r="R183" s="329">
        <f t="shared" si="18"/>
        <v>238428.61</v>
      </c>
      <c r="S183" s="329">
        <f t="shared" si="18"/>
        <v>124911</v>
      </c>
      <c r="T183" s="329">
        <f t="shared" si="18"/>
        <v>714779</v>
      </c>
      <c r="U183" s="327">
        <f t="shared" si="16"/>
        <v>9856649.75</v>
      </c>
    </row>
    <row r="184" spans="2:21" ht="11.25">
      <c r="B184" s="327"/>
      <c r="C184" s="328"/>
      <c r="D184" s="328"/>
      <c r="E184" s="328"/>
      <c r="F184" s="328"/>
      <c r="G184" s="328"/>
      <c r="H184" s="329"/>
      <c r="I184" s="330"/>
      <c r="J184" s="330"/>
      <c r="K184" s="330"/>
      <c r="L184" s="330"/>
      <c r="M184" s="330"/>
      <c r="N184" s="330"/>
      <c r="O184" s="330"/>
      <c r="P184" s="330"/>
      <c r="Q184" s="330"/>
      <c r="R184" s="330"/>
      <c r="S184" s="330"/>
      <c r="T184" s="330"/>
      <c r="U184" s="327"/>
    </row>
    <row r="185" spans="1:21" ht="11.25">
      <c r="A185" s="163" t="s">
        <v>8</v>
      </c>
      <c r="B185" s="388">
        <f>B175+B176+B179+B180+B183</f>
        <v>563822.0800000001</v>
      </c>
      <c r="C185" s="389">
        <f aca="true" t="shared" si="19" ref="C185:T185">C175+C176+C179+C180+C183</f>
        <v>1900641</v>
      </c>
      <c r="D185" s="389">
        <f t="shared" si="19"/>
        <v>1626162.08</v>
      </c>
      <c r="E185" s="389">
        <f t="shared" si="19"/>
        <v>1794552.2999999998</v>
      </c>
      <c r="F185" s="389">
        <f t="shared" si="19"/>
        <v>975405.15</v>
      </c>
      <c r="G185" s="389">
        <f t="shared" si="19"/>
        <v>266936.84</v>
      </c>
      <c r="H185" s="390">
        <f t="shared" si="19"/>
        <v>663187</v>
      </c>
      <c r="I185" s="390">
        <f t="shared" si="19"/>
        <v>154239.93</v>
      </c>
      <c r="J185" s="390">
        <f t="shared" si="19"/>
        <v>234955.66999999998</v>
      </c>
      <c r="K185" s="390">
        <f t="shared" si="19"/>
        <v>17883</v>
      </c>
      <c r="L185" s="390">
        <f t="shared" si="19"/>
        <v>822790</v>
      </c>
      <c r="M185" s="390">
        <f t="shared" si="19"/>
        <v>33093.54</v>
      </c>
      <c r="N185" s="390">
        <f t="shared" si="19"/>
        <v>22752.53</v>
      </c>
      <c r="O185" s="390">
        <f t="shared" si="19"/>
        <v>516819.37</v>
      </c>
      <c r="P185" s="390">
        <f t="shared" si="19"/>
        <v>224282.95</v>
      </c>
      <c r="Q185" s="390">
        <f t="shared" si="19"/>
        <v>584278</v>
      </c>
      <c r="R185" s="390">
        <f t="shared" si="19"/>
        <v>259887.16999999998</v>
      </c>
      <c r="S185" s="390">
        <f t="shared" si="19"/>
        <v>139173</v>
      </c>
      <c r="T185" s="390">
        <f t="shared" si="19"/>
        <v>765951</v>
      </c>
      <c r="U185" s="388">
        <f>SUM(B185:T185)</f>
        <v>11566812.609999998</v>
      </c>
    </row>
    <row r="186" spans="1:21" ht="11.25">
      <c r="A186" s="163"/>
      <c r="B186" s="327"/>
      <c r="C186" s="328"/>
      <c r="D186" s="328"/>
      <c r="E186" s="328"/>
      <c r="F186" s="328"/>
      <c r="G186" s="328"/>
      <c r="H186" s="329"/>
      <c r="I186" s="329"/>
      <c r="J186" s="329"/>
      <c r="K186" s="329"/>
      <c r="L186" s="329"/>
      <c r="M186" s="329"/>
      <c r="N186" s="329"/>
      <c r="O186" s="329"/>
      <c r="P186" s="329"/>
      <c r="Q186" s="329"/>
      <c r="R186" s="329"/>
      <c r="S186" s="329"/>
      <c r="T186" s="329"/>
      <c r="U186" s="327"/>
    </row>
    <row r="187" spans="1:21" ht="12" thickBot="1">
      <c r="A187" s="163" t="s">
        <v>527</v>
      </c>
      <c r="B187" s="342"/>
      <c r="C187" s="343"/>
      <c r="D187" s="343"/>
      <c r="E187" s="343"/>
      <c r="F187" s="343"/>
      <c r="G187" s="343"/>
      <c r="H187" s="344"/>
      <c r="I187" s="344"/>
      <c r="J187" s="344"/>
      <c r="K187" s="344"/>
      <c r="L187" s="344"/>
      <c r="M187" s="344"/>
      <c r="N187" s="344"/>
      <c r="O187" s="344"/>
      <c r="P187" s="344"/>
      <c r="Q187" s="344"/>
      <c r="R187" s="344"/>
      <c r="S187" s="344"/>
      <c r="T187" s="344"/>
      <c r="U187" s="342">
        <f>U162+U170-U185</f>
        <v>5119148.860000005</v>
      </c>
    </row>
    <row r="188" spans="2:21" ht="12" thickTop="1">
      <c r="B188" s="327"/>
      <c r="C188" s="328"/>
      <c r="D188" s="328"/>
      <c r="E188" s="328"/>
      <c r="F188" s="328"/>
      <c r="G188" s="328"/>
      <c r="H188" s="329"/>
      <c r="I188" s="330"/>
      <c r="J188" s="330"/>
      <c r="K188" s="330"/>
      <c r="L188" s="330"/>
      <c r="M188" s="330"/>
      <c r="N188" s="330"/>
      <c r="O188" s="330"/>
      <c r="P188" s="330"/>
      <c r="Q188" s="330"/>
      <c r="R188" s="330"/>
      <c r="S188" s="330"/>
      <c r="T188" s="330"/>
      <c r="U188" s="327"/>
    </row>
    <row r="189" spans="1:21" ht="11.25">
      <c r="A189" s="363" t="s">
        <v>530</v>
      </c>
      <c r="B189" s="335">
        <f>'PPC ECHO WX External wrkng copy'!B204</f>
        <v>424</v>
      </c>
      <c r="C189" s="336">
        <f>'PPC ECHO WX External wrkng copy'!C204</f>
        <v>417174</v>
      </c>
      <c r="D189" s="336">
        <f>'PPC ECHO WX External wrkng copy'!D204</f>
        <v>393472.1500000001</v>
      </c>
      <c r="E189" s="336">
        <f>'PPC ECHO WX External wrkng copy'!E204</f>
        <v>501563.97000000003</v>
      </c>
      <c r="F189" s="336">
        <f>'PPC ECHO WX External wrkng copy'!F204</f>
        <v>169692.37</v>
      </c>
      <c r="G189" s="336">
        <f>'PPC ECHO WX External wrkng copy'!G204</f>
        <v>166709.07</v>
      </c>
      <c r="H189" s="337">
        <f>'PPC ECHO WX External wrkng copy'!H204</f>
        <v>238049.91999999998</v>
      </c>
      <c r="I189" s="337">
        <f>'PPC ECHO WX External wrkng copy'!I204</f>
        <v>134332.28</v>
      </c>
      <c r="J189" s="337">
        <f>'PPC ECHO WX External wrkng copy'!J204</f>
        <v>216833.38</v>
      </c>
      <c r="K189" s="337">
        <f>'PPC ECHO WX External wrkng copy'!K204</f>
        <v>52482</v>
      </c>
      <c r="L189" s="337">
        <f>'PPC ECHO WX External wrkng copy'!L204</f>
        <v>342531</v>
      </c>
      <c r="M189" s="337">
        <f>'PPC ECHO WX External wrkng copy'!M204</f>
        <v>30179</v>
      </c>
      <c r="N189" s="337">
        <f>'PPC ECHO WX External wrkng copy'!N204</f>
        <v>60625.31</v>
      </c>
      <c r="O189" s="337">
        <f>'PPC ECHO WX External wrkng copy'!O204</f>
        <v>428847.33999999997</v>
      </c>
      <c r="P189" s="337">
        <f>'PPC ECHO WX External wrkng copy'!P204</f>
        <v>67189.05</v>
      </c>
      <c r="Q189" s="337">
        <f>'PPC ECHO WX External wrkng copy'!Q204</f>
        <v>196635</v>
      </c>
      <c r="R189" s="337">
        <f>'PPC ECHO WX External wrkng copy'!R204</f>
        <v>153048.24000000002</v>
      </c>
      <c r="S189" s="337">
        <f>'PPC ECHO WX External wrkng copy'!S204</f>
        <v>301685.75</v>
      </c>
      <c r="T189" s="337">
        <f>'PPC ECHO WX External wrkng copy'!T204</f>
        <v>284521</v>
      </c>
      <c r="U189" s="335">
        <f>SUM(B189:T189)</f>
        <v>4155994.83</v>
      </c>
    </row>
    <row r="190" spans="2:21" ht="11.25">
      <c r="B190" s="331"/>
      <c r="C190" s="332"/>
      <c r="D190" s="332"/>
      <c r="E190" s="332"/>
      <c r="F190" s="332"/>
      <c r="G190" s="332"/>
      <c r="H190" s="333"/>
      <c r="I190" s="334"/>
      <c r="J190" s="334"/>
      <c r="K190" s="334"/>
      <c r="L190" s="334"/>
      <c r="M190" s="334"/>
      <c r="N190" s="334"/>
      <c r="O190" s="334"/>
      <c r="P190" s="334"/>
      <c r="Q190" s="334"/>
      <c r="R190" s="334"/>
      <c r="S190" s="334"/>
      <c r="T190" s="334"/>
      <c r="U190" s="331"/>
    </row>
    <row r="191" spans="1:21" ht="12" thickBot="1">
      <c r="A191" s="163" t="s">
        <v>529</v>
      </c>
      <c r="B191" s="339" t="s">
        <v>99</v>
      </c>
      <c r="C191" s="345" t="s">
        <v>99</v>
      </c>
      <c r="D191" s="345" t="s">
        <v>99</v>
      </c>
      <c r="E191" s="345" t="s">
        <v>99</v>
      </c>
      <c r="F191" s="345" t="s">
        <v>99</v>
      </c>
      <c r="G191" s="345" t="s">
        <v>99</v>
      </c>
      <c r="H191" s="346" t="s">
        <v>99</v>
      </c>
      <c r="I191" s="347"/>
      <c r="J191" s="347"/>
      <c r="K191" s="347"/>
      <c r="L191" s="347"/>
      <c r="M191" s="347"/>
      <c r="N191" s="347"/>
      <c r="O191" s="347"/>
      <c r="P191" s="347"/>
      <c r="Q191" s="347"/>
      <c r="R191" s="347"/>
      <c r="S191" s="347"/>
      <c r="T191" s="347"/>
      <c r="U191" s="339">
        <f>U187-U189</f>
        <v>963154.0300000049</v>
      </c>
    </row>
    <row r="192" ht="12" thickTop="1"/>
  </sheetData>
  <sheetProtection/>
  <mergeCells count="59">
    <mergeCell ref="C158:G158"/>
    <mergeCell ref="H158:T158"/>
    <mergeCell ref="F160:F161"/>
    <mergeCell ref="I160:I161"/>
    <mergeCell ref="J160:J161"/>
    <mergeCell ref="L160:L161"/>
    <mergeCell ref="N160:N161"/>
    <mergeCell ref="P160:P161"/>
    <mergeCell ref="Q160:Q161"/>
    <mergeCell ref="R160:R161"/>
    <mergeCell ref="T160:T161"/>
    <mergeCell ref="A1:T1"/>
    <mergeCell ref="A2:T2"/>
    <mergeCell ref="A3:T3"/>
    <mergeCell ref="A4:T4"/>
    <mergeCell ref="C6:G6"/>
    <mergeCell ref="H6:T6"/>
    <mergeCell ref="Q8:Q9"/>
    <mergeCell ref="R8:R9"/>
    <mergeCell ref="T8:T9"/>
    <mergeCell ref="C45:G45"/>
    <mergeCell ref="H45:T45"/>
    <mergeCell ref="F8:F9"/>
    <mergeCell ref="I8:I9"/>
    <mergeCell ref="J8:J9"/>
    <mergeCell ref="L8:L9"/>
    <mergeCell ref="N8:N9"/>
    <mergeCell ref="P8:P9"/>
    <mergeCell ref="T47:T48"/>
    <mergeCell ref="C85:G85"/>
    <mergeCell ref="H85:T85"/>
    <mergeCell ref="F47:F48"/>
    <mergeCell ref="I47:I48"/>
    <mergeCell ref="J47:J48"/>
    <mergeCell ref="L47:L48"/>
    <mergeCell ref="N47:N48"/>
    <mergeCell ref="L124:L125"/>
    <mergeCell ref="N124:N125"/>
    <mergeCell ref="Q87:Q88"/>
    <mergeCell ref="R87:R88"/>
    <mergeCell ref="P47:P48"/>
    <mergeCell ref="Q47:Q48"/>
    <mergeCell ref="R47:R48"/>
    <mergeCell ref="T87:T88"/>
    <mergeCell ref="P87:P88"/>
    <mergeCell ref="C122:G122"/>
    <mergeCell ref="H122:T122"/>
    <mergeCell ref="P124:P125"/>
    <mergeCell ref="Q124:Q125"/>
    <mergeCell ref="R124:R125"/>
    <mergeCell ref="T124:T125"/>
    <mergeCell ref="F87:F88"/>
    <mergeCell ref="I87:I88"/>
    <mergeCell ref="J87:J88"/>
    <mergeCell ref="L87:L88"/>
    <mergeCell ref="N87:N88"/>
    <mergeCell ref="F124:F125"/>
    <mergeCell ref="I124:I125"/>
    <mergeCell ref="J124:J125"/>
  </mergeCells>
  <printOptions/>
  <pageMargins left="0.7" right="0.7" top="0.75" bottom="0.75" header="0.3" footer="0.3"/>
  <pageSetup orientation="portrait" paperSize="9"/>
  <ignoredErrors>
    <ignoredError sqref="K141:U155 U129:U140 D141:J141 B137:C143 B23:B40 C30:K33 C35:K40 L30:U33 L35:U42 U34 U10:U27 B101:G110 B112:G117 B111 D143:J153 D142:F142 G142:J142 H107:K110 H112:I117 J112:K117 J118:U119 L112:U117 U89:U108 T111:U111 L107:T108 U49:U82 K70:T73 K76:T80 K74:L74 N74:Q74 K75:Q75 T75 T74 C70:J73 C75:J80 C74:D74 F74:J74 B63:B80 B144:C153 E131 H131 U162:U168 B173:L176 B177:K185 B189:B190 K189:K190 U170:U176" unlockedFormula="1"/>
    <ignoredError sqref="C34:K34 L34:T34 C111:H111 I111 L111:S111 J111:K111 M74 R74:S74 R75:S75 E74 L177:U191 C189:J190" formulaRange="1" unlockedFormula="1"/>
    <ignoredError sqref="L177:U191 C189:J190" evalError="1" unlockedFormula="1"/>
  </ignoredErrors>
</worksheet>
</file>

<file path=xl/worksheets/sheet4.xml><?xml version="1.0" encoding="utf-8"?>
<worksheet xmlns="http://schemas.openxmlformats.org/spreadsheetml/2006/main" xmlns:r="http://schemas.openxmlformats.org/officeDocument/2006/relationships">
  <sheetPr>
    <tabColor rgb="FF00B050"/>
  </sheetPr>
  <dimension ref="A1:AO73"/>
  <sheetViews>
    <sheetView zoomScale="75" zoomScaleNormal="75" zoomScalePageLayoutView="0" workbookViewId="0" topLeftCell="A1">
      <pane xSplit="3" topLeftCell="D1" activePane="topRight" state="frozen"/>
      <selection pane="topLeft" activeCell="A1" sqref="A1"/>
      <selection pane="topRight" activeCell="M20" sqref="M20:O23"/>
    </sheetView>
  </sheetViews>
  <sheetFormatPr defaultColWidth="8.16015625" defaultRowHeight="10.5"/>
  <cols>
    <col min="1" max="1" width="9.16015625" style="100" customWidth="1"/>
    <col min="2" max="2" width="43.16015625" style="100" customWidth="1"/>
    <col min="3" max="3" width="12.16015625" style="24" customWidth="1"/>
    <col min="4" max="4" width="16.66015625" style="1" customWidth="1"/>
    <col min="5" max="26" width="17" style="1" bestFit="1" customWidth="1"/>
    <col min="27" max="27" width="20.33203125" style="1" bestFit="1" customWidth="1"/>
    <col min="28" max="28" width="2.33203125" style="100" customWidth="1"/>
    <col min="29" max="31" width="16.33203125" style="100" bestFit="1" customWidth="1"/>
    <col min="32" max="32" width="4" style="100" customWidth="1"/>
    <col min="33" max="33" width="17.16015625" style="100" customWidth="1"/>
    <col min="34" max="16384" width="8.16015625" style="100" customWidth="1"/>
  </cols>
  <sheetData>
    <row r="1" spans="1:28" s="123" customFormat="1" ht="12.75">
      <c r="A1" s="121" t="s">
        <v>11</v>
      </c>
      <c r="B1" s="122"/>
      <c r="C1" s="122"/>
      <c r="D1" s="140"/>
      <c r="E1" s="140"/>
      <c r="F1" s="140"/>
      <c r="G1" s="140"/>
      <c r="H1" s="140"/>
      <c r="I1" s="140"/>
      <c r="J1" s="140"/>
      <c r="K1" s="140"/>
      <c r="L1" s="140"/>
      <c r="M1" s="140"/>
      <c r="N1" s="140"/>
      <c r="O1" s="140"/>
      <c r="P1" s="140"/>
      <c r="Q1" s="140"/>
      <c r="R1" s="140"/>
      <c r="S1" s="140"/>
      <c r="T1" s="140"/>
      <c r="U1" s="140"/>
      <c r="V1" s="140"/>
      <c r="W1" s="140"/>
      <c r="X1" s="140"/>
      <c r="Y1" s="140"/>
      <c r="Z1" s="140"/>
      <c r="AA1" s="140"/>
      <c r="AB1" s="122"/>
    </row>
    <row r="2" spans="1:28" s="123" customFormat="1" ht="12.75">
      <c r="A2" s="121" t="s">
        <v>188</v>
      </c>
      <c r="B2" s="122"/>
      <c r="C2" s="122"/>
      <c r="D2" s="543" t="s">
        <v>469</v>
      </c>
      <c r="E2" s="543"/>
      <c r="F2" s="543"/>
      <c r="G2" s="543"/>
      <c r="H2" s="543"/>
      <c r="I2" s="543"/>
      <c r="J2" s="543"/>
      <c r="K2" s="543"/>
      <c r="L2" s="543"/>
      <c r="M2" s="543"/>
      <c r="N2" s="543"/>
      <c r="O2" s="543"/>
      <c r="P2" s="543" t="s">
        <v>470</v>
      </c>
      <c r="Q2" s="543"/>
      <c r="R2" s="543"/>
      <c r="S2" s="543"/>
      <c r="T2" s="543"/>
      <c r="U2" s="543"/>
      <c r="V2" s="543"/>
      <c r="W2" s="543"/>
      <c r="X2" s="543"/>
      <c r="Y2" s="543"/>
      <c r="Z2" s="543"/>
      <c r="AA2" s="543"/>
      <c r="AB2" s="122"/>
    </row>
    <row r="3" spans="1:31" s="123" customFormat="1" ht="12.75">
      <c r="A3" s="121" t="s">
        <v>112</v>
      </c>
      <c r="B3" s="122"/>
      <c r="C3" s="122"/>
      <c r="D3" s="476">
        <v>1</v>
      </c>
      <c r="E3" s="491">
        <v>2</v>
      </c>
      <c r="F3" s="495">
        <v>3</v>
      </c>
      <c r="G3" s="497">
        <v>4</v>
      </c>
      <c r="H3" s="500">
        <v>5</v>
      </c>
      <c r="I3" s="501">
        <v>6</v>
      </c>
      <c r="J3" s="503">
        <v>7</v>
      </c>
      <c r="K3" s="504">
        <v>8</v>
      </c>
      <c r="L3" s="505">
        <v>9</v>
      </c>
      <c r="M3" s="515">
        <v>10</v>
      </c>
      <c r="N3" s="516">
        <v>11</v>
      </c>
      <c r="O3" s="527">
        <v>12</v>
      </c>
      <c r="P3" s="479">
        <v>1</v>
      </c>
      <c r="Q3" s="479">
        <v>2</v>
      </c>
      <c r="R3" s="479">
        <v>3</v>
      </c>
      <c r="S3" s="479">
        <v>4</v>
      </c>
      <c r="T3" s="479">
        <v>5</v>
      </c>
      <c r="U3" s="479">
        <v>6</v>
      </c>
      <c r="V3" s="479">
        <v>7</v>
      </c>
      <c r="W3" s="479">
        <v>8</v>
      </c>
      <c r="X3" s="479">
        <v>9</v>
      </c>
      <c r="Y3" s="479">
        <v>10</v>
      </c>
      <c r="Z3" s="479">
        <v>11</v>
      </c>
      <c r="AA3" s="479">
        <v>12</v>
      </c>
      <c r="AB3" s="122"/>
      <c r="AC3" s="132" t="s">
        <v>5</v>
      </c>
      <c r="AD3" s="133" t="s">
        <v>3</v>
      </c>
      <c r="AE3" s="134" t="s">
        <v>4</v>
      </c>
    </row>
    <row r="4" spans="1:38" s="121" customFormat="1" ht="12.75">
      <c r="A4" s="123"/>
      <c r="B4" s="123"/>
      <c r="D4" s="143" t="s">
        <v>3</v>
      </c>
      <c r="E4" s="143" t="s">
        <v>3</v>
      </c>
      <c r="F4" s="143" t="s">
        <v>3</v>
      </c>
      <c r="G4" s="143" t="s">
        <v>3</v>
      </c>
      <c r="H4" s="143" t="s">
        <v>3</v>
      </c>
      <c r="I4" s="143" t="s">
        <v>3</v>
      </c>
      <c r="J4" s="143" t="s">
        <v>3</v>
      </c>
      <c r="K4" s="143" t="s">
        <v>3</v>
      </c>
      <c r="L4" s="143" t="s">
        <v>3</v>
      </c>
      <c r="M4" s="143" t="s">
        <v>3</v>
      </c>
      <c r="N4" s="143" t="s">
        <v>3</v>
      </c>
      <c r="O4" s="143" t="s">
        <v>3</v>
      </c>
      <c r="P4" s="480" t="s">
        <v>4</v>
      </c>
      <c r="Q4" s="480" t="s">
        <v>4</v>
      </c>
      <c r="R4" s="480" t="s">
        <v>4</v>
      </c>
      <c r="S4" s="480" t="s">
        <v>4</v>
      </c>
      <c r="T4" s="480" t="s">
        <v>4</v>
      </c>
      <c r="U4" s="480" t="s">
        <v>4</v>
      </c>
      <c r="V4" s="480" t="s">
        <v>4</v>
      </c>
      <c r="W4" s="480" t="s">
        <v>4</v>
      </c>
      <c r="X4" s="480" t="s">
        <v>4</v>
      </c>
      <c r="Y4" s="480" t="s">
        <v>4</v>
      </c>
      <c r="Z4" s="480" t="s">
        <v>4</v>
      </c>
      <c r="AA4" s="480" t="s">
        <v>4</v>
      </c>
      <c r="AB4" s="124"/>
      <c r="AC4" s="135" t="s">
        <v>471</v>
      </c>
      <c r="AD4" s="136" t="s">
        <v>472</v>
      </c>
      <c r="AE4" s="136" t="s">
        <v>534</v>
      </c>
      <c r="AF4" s="123"/>
      <c r="AG4" s="123"/>
      <c r="AH4" s="123"/>
      <c r="AI4" s="123"/>
      <c r="AJ4" s="123"/>
      <c r="AK4" s="123"/>
      <c r="AL4" s="123"/>
    </row>
    <row r="5" spans="1:38" s="121" customFormat="1" ht="12.75">
      <c r="A5" s="124"/>
      <c r="B5" s="124"/>
      <c r="C5" s="125"/>
      <c r="D5" s="144">
        <v>42917</v>
      </c>
      <c r="E5" s="144">
        <v>42948</v>
      </c>
      <c r="F5" s="144">
        <v>42979</v>
      </c>
      <c r="G5" s="144">
        <v>43009</v>
      </c>
      <c r="H5" s="144">
        <v>43040</v>
      </c>
      <c r="I5" s="144">
        <v>43070</v>
      </c>
      <c r="J5" s="144">
        <v>43101</v>
      </c>
      <c r="K5" s="144">
        <v>43132</v>
      </c>
      <c r="L5" s="144">
        <v>43160</v>
      </c>
      <c r="M5" s="144">
        <v>43191</v>
      </c>
      <c r="N5" s="144">
        <v>43221</v>
      </c>
      <c r="O5" s="144">
        <v>43252</v>
      </c>
      <c r="P5" s="481">
        <v>43282</v>
      </c>
      <c r="Q5" s="481">
        <v>43313</v>
      </c>
      <c r="R5" s="481">
        <v>43344</v>
      </c>
      <c r="S5" s="481">
        <v>43374</v>
      </c>
      <c r="T5" s="481">
        <v>43405</v>
      </c>
      <c r="U5" s="481">
        <v>43435</v>
      </c>
      <c r="V5" s="481">
        <v>43466</v>
      </c>
      <c r="W5" s="481">
        <v>43497</v>
      </c>
      <c r="X5" s="481">
        <v>43525</v>
      </c>
      <c r="Y5" s="481">
        <v>43556</v>
      </c>
      <c r="Z5" s="481">
        <v>43586</v>
      </c>
      <c r="AA5" s="481">
        <v>43617</v>
      </c>
      <c r="AB5" s="124"/>
      <c r="AC5" s="137" t="s">
        <v>1</v>
      </c>
      <c r="AD5" s="138" t="s">
        <v>533</v>
      </c>
      <c r="AE5" s="138" t="s">
        <v>473</v>
      </c>
      <c r="AF5" s="123"/>
      <c r="AG5" s="123"/>
      <c r="AH5" s="123"/>
      <c r="AI5" s="123"/>
      <c r="AJ5" s="123"/>
      <c r="AK5" s="123"/>
      <c r="AL5" s="123"/>
    </row>
    <row r="6" spans="1:31" ht="15.75">
      <c r="A6" s="128"/>
      <c r="B6" s="101" t="s">
        <v>112</v>
      </c>
      <c r="C6" s="118"/>
      <c r="D6" s="145"/>
      <c r="E6" s="145"/>
      <c r="F6" s="145"/>
      <c r="G6" s="145"/>
      <c r="H6" s="145"/>
      <c r="I6" s="145"/>
      <c r="J6" s="145"/>
      <c r="K6" s="145"/>
      <c r="L6" s="145"/>
      <c r="M6" s="145"/>
      <c r="N6" s="145"/>
      <c r="O6" s="145"/>
      <c r="P6" s="482"/>
      <c r="Q6" s="482"/>
      <c r="R6" s="482"/>
      <c r="S6" s="482"/>
      <c r="T6" s="482"/>
      <c r="U6" s="482"/>
      <c r="V6" s="482"/>
      <c r="W6" s="482"/>
      <c r="X6" s="482"/>
      <c r="Y6" s="482"/>
      <c r="Z6" s="482"/>
      <c r="AA6" s="482"/>
      <c r="AB6" s="102"/>
      <c r="AC6" s="103"/>
      <c r="AD6" s="103"/>
      <c r="AE6" s="103"/>
    </row>
    <row r="7" spans="1:31" ht="15">
      <c r="A7" s="128"/>
      <c r="B7" s="99"/>
      <c r="C7" s="118"/>
      <c r="D7" s="152"/>
      <c r="E7" s="146"/>
      <c r="F7" s="146"/>
      <c r="G7" s="146"/>
      <c r="H7" s="146"/>
      <c r="I7" s="146"/>
      <c r="J7" s="146"/>
      <c r="K7" s="146"/>
      <c r="L7" s="146"/>
      <c r="M7" s="146"/>
      <c r="N7" s="146"/>
      <c r="O7" s="146"/>
      <c r="P7" s="484"/>
      <c r="Q7" s="483"/>
      <c r="R7" s="483"/>
      <c r="S7" s="483"/>
      <c r="T7" s="483"/>
      <c r="U7" s="483"/>
      <c r="V7" s="483"/>
      <c r="W7" s="483"/>
      <c r="X7" s="483"/>
      <c r="Y7" s="483"/>
      <c r="Z7" s="483"/>
      <c r="AA7" s="483"/>
      <c r="AB7" s="104"/>
      <c r="AC7" s="103">
        <f>C26</f>
        <v>7147055.130000004</v>
      </c>
      <c r="AD7" s="103">
        <f>C26</f>
        <v>7147055.130000004</v>
      </c>
      <c r="AE7" s="103"/>
    </row>
    <row r="8" spans="1:38" s="105" customFormat="1" ht="15">
      <c r="A8" s="129" t="s">
        <v>0</v>
      </c>
      <c r="B8" s="105" t="s">
        <v>500</v>
      </c>
      <c r="C8" s="119"/>
      <c r="D8" s="147">
        <v>14732.01</v>
      </c>
      <c r="E8" s="147">
        <v>16131.19</v>
      </c>
      <c r="F8" s="147">
        <v>17221.55</v>
      </c>
      <c r="G8" s="147">
        <v>15730.7</v>
      </c>
      <c r="H8" s="147">
        <v>14133.09</v>
      </c>
      <c r="I8" s="147">
        <v>16105.24</v>
      </c>
      <c r="J8" s="147">
        <v>18867.99</v>
      </c>
      <c r="K8" s="147">
        <v>19104.44</v>
      </c>
      <c r="L8" s="147">
        <v>16776.59</v>
      </c>
      <c r="M8" s="147">
        <v>17060.65</v>
      </c>
      <c r="N8" s="147">
        <v>15842.25</v>
      </c>
      <c r="O8" s="147">
        <v>14003.58</v>
      </c>
      <c r="P8" s="141">
        <v>0</v>
      </c>
      <c r="Q8" s="141">
        <v>0</v>
      </c>
      <c r="R8" s="141">
        <v>0</v>
      </c>
      <c r="S8" s="141">
        <v>0</v>
      </c>
      <c r="T8" s="141">
        <v>0</v>
      </c>
      <c r="U8" s="141">
        <v>0</v>
      </c>
      <c r="V8" s="141">
        <v>0</v>
      </c>
      <c r="W8" s="141">
        <v>0</v>
      </c>
      <c r="X8" s="141">
        <v>0</v>
      </c>
      <c r="Y8" s="141">
        <v>0</v>
      </c>
      <c r="Z8" s="141">
        <v>0</v>
      </c>
      <c r="AA8" s="141">
        <v>0</v>
      </c>
      <c r="AB8" s="106"/>
      <c r="AC8" s="107">
        <f aca="true" t="shared" si="0" ref="AC8:AC17">SUM(D8:AA8)</f>
        <v>195709.27999999997</v>
      </c>
      <c r="AD8" s="107">
        <f aca="true" t="shared" si="1" ref="AD8:AD13">SUM(D8:O8)</f>
        <v>195709.27999999997</v>
      </c>
      <c r="AE8" s="107">
        <f aca="true" t="shared" si="2" ref="AE8:AE17">AC8-AD8</f>
        <v>0</v>
      </c>
      <c r="AF8" s="106"/>
      <c r="AG8" s="100"/>
      <c r="AH8" s="108"/>
      <c r="AI8" s="108"/>
      <c r="AJ8" s="108"/>
      <c r="AK8" s="108"/>
      <c r="AL8" s="108"/>
    </row>
    <row r="9" spans="1:38" s="105" customFormat="1" ht="15">
      <c r="A9" s="129"/>
      <c r="B9" s="105" t="s">
        <v>502</v>
      </c>
      <c r="C9" s="119"/>
      <c r="D9" s="147">
        <v>17331.78</v>
      </c>
      <c r="E9" s="147">
        <v>18977.87</v>
      </c>
      <c r="F9" s="147">
        <v>20260.65</v>
      </c>
      <c r="G9" s="147">
        <v>18506.71</v>
      </c>
      <c r="H9" s="147">
        <v>16627.17</v>
      </c>
      <c r="I9" s="147">
        <v>18947.34</v>
      </c>
      <c r="J9" s="147">
        <v>22197.64</v>
      </c>
      <c r="K9" s="147">
        <v>22475.81</v>
      </c>
      <c r="L9" s="147">
        <v>19737.17</v>
      </c>
      <c r="M9" s="147">
        <v>20071.35</v>
      </c>
      <c r="N9" s="147">
        <v>18637.94</v>
      </c>
      <c r="O9" s="147">
        <v>16474.8</v>
      </c>
      <c r="P9" s="141"/>
      <c r="Q9" s="141"/>
      <c r="R9" s="141"/>
      <c r="S9" s="141"/>
      <c r="T9" s="141"/>
      <c r="U9" s="141"/>
      <c r="V9" s="141"/>
      <c r="W9" s="141"/>
      <c r="X9" s="141"/>
      <c r="Y9" s="141"/>
      <c r="Z9" s="141"/>
      <c r="AA9" s="141"/>
      <c r="AB9" s="106"/>
      <c r="AC9" s="107">
        <f t="shared" si="0"/>
        <v>230246.22999999995</v>
      </c>
      <c r="AD9" s="107">
        <f t="shared" si="1"/>
        <v>230246.22999999995</v>
      </c>
      <c r="AE9" s="107">
        <f t="shared" si="2"/>
        <v>0</v>
      </c>
      <c r="AF9" s="106"/>
      <c r="AG9" s="100"/>
      <c r="AH9" s="108"/>
      <c r="AI9" s="108"/>
      <c r="AJ9" s="108"/>
      <c r="AK9" s="108"/>
      <c r="AL9" s="108"/>
    </row>
    <row r="10" spans="1:38" s="105" customFormat="1" ht="15">
      <c r="A10" s="129"/>
      <c r="B10" s="105" t="s">
        <v>504</v>
      </c>
      <c r="C10" s="119"/>
      <c r="D10" s="147">
        <v>259976.77</v>
      </c>
      <c r="E10" s="147">
        <v>284667.98</v>
      </c>
      <c r="F10" s="147">
        <v>303909.76</v>
      </c>
      <c r="G10" s="147">
        <v>277600.72</v>
      </c>
      <c r="H10" s="147">
        <v>249407.56</v>
      </c>
      <c r="I10" s="147">
        <v>284210.03</v>
      </c>
      <c r="J10" s="147">
        <v>332964.64</v>
      </c>
      <c r="K10" s="147">
        <v>337137.18</v>
      </c>
      <c r="L10" s="147">
        <v>296057.6</v>
      </c>
      <c r="M10" s="147">
        <v>301070.24</v>
      </c>
      <c r="N10" s="147">
        <v>279569.12</v>
      </c>
      <c r="O10" s="147">
        <v>247121.99</v>
      </c>
      <c r="P10" s="141"/>
      <c r="Q10" s="141"/>
      <c r="R10" s="141"/>
      <c r="S10" s="141"/>
      <c r="T10" s="141"/>
      <c r="U10" s="141"/>
      <c r="V10" s="141"/>
      <c r="W10" s="141"/>
      <c r="X10" s="141"/>
      <c r="Y10" s="141"/>
      <c r="Z10" s="141"/>
      <c r="AA10" s="141"/>
      <c r="AB10" s="106"/>
      <c r="AC10" s="107">
        <f t="shared" si="0"/>
        <v>3453693.590000001</v>
      </c>
      <c r="AD10" s="107">
        <f t="shared" si="1"/>
        <v>3453693.590000001</v>
      </c>
      <c r="AE10" s="107">
        <f t="shared" si="2"/>
        <v>0</v>
      </c>
      <c r="AF10" s="106"/>
      <c r="AG10" s="100"/>
      <c r="AH10" s="108"/>
      <c r="AI10" s="108"/>
      <c r="AJ10" s="108"/>
      <c r="AK10" s="108"/>
      <c r="AL10" s="108"/>
    </row>
    <row r="11" spans="1:38" s="105" customFormat="1" ht="15">
      <c r="A11" s="129"/>
      <c r="B11" s="105" t="s">
        <v>501</v>
      </c>
      <c r="C11" s="119"/>
      <c r="D11" s="147">
        <v>20248.65</v>
      </c>
      <c r="E11" s="147">
        <v>21272.99</v>
      </c>
      <c r="F11" s="147">
        <v>23375.79</v>
      </c>
      <c r="G11" s="147">
        <v>23170.62</v>
      </c>
      <c r="H11" s="147">
        <v>20268.76</v>
      </c>
      <c r="I11" s="147">
        <v>20982.78</v>
      </c>
      <c r="J11" s="147">
        <v>24664.6</v>
      </c>
      <c r="K11" s="147">
        <v>26967.1</v>
      </c>
      <c r="L11" s="147">
        <v>24399.94</v>
      </c>
      <c r="M11" s="147">
        <v>24457.69</v>
      </c>
      <c r="N11" s="147">
        <v>21771.7</v>
      </c>
      <c r="O11" s="147">
        <v>18499.98</v>
      </c>
      <c r="P11" s="141"/>
      <c r="Q11" s="141"/>
      <c r="R11" s="141"/>
      <c r="S11" s="141"/>
      <c r="T11" s="141"/>
      <c r="U11" s="141"/>
      <c r="V11" s="141"/>
      <c r="W11" s="141"/>
      <c r="X11" s="141"/>
      <c r="Y11" s="141"/>
      <c r="Z11" s="141"/>
      <c r="AA11" s="141"/>
      <c r="AB11" s="106"/>
      <c r="AC11" s="107">
        <f t="shared" si="0"/>
        <v>270080.60000000003</v>
      </c>
      <c r="AD11" s="107">
        <f t="shared" si="1"/>
        <v>270080.60000000003</v>
      </c>
      <c r="AE11" s="107">
        <f t="shared" si="2"/>
        <v>0</v>
      </c>
      <c r="AF11" s="106"/>
      <c r="AG11" s="100"/>
      <c r="AH11" s="108"/>
      <c r="AI11" s="108"/>
      <c r="AJ11" s="108"/>
      <c r="AK11" s="108"/>
      <c r="AL11" s="108"/>
    </row>
    <row r="12" spans="1:38" s="105" customFormat="1" ht="15">
      <c r="A12" s="129"/>
      <c r="B12" s="105" t="s">
        <v>503</v>
      </c>
      <c r="C12" s="119"/>
      <c r="D12" s="147">
        <v>23821.94</v>
      </c>
      <c r="E12" s="147">
        <v>25027.05</v>
      </c>
      <c r="F12" s="147">
        <v>27500.93</v>
      </c>
      <c r="G12" s="147">
        <v>27259.55</v>
      </c>
      <c r="H12" s="147">
        <v>23845.6</v>
      </c>
      <c r="I12" s="147">
        <v>24685.62</v>
      </c>
      <c r="J12" s="147">
        <v>29017.18</v>
      </c>
      <c r="K12" s="147">
        <v>31726</v>
      </c>
      <c r="L12" s="147">
        <v>28705.81</v>
      </c>
      <c r="M12" s="147">
        <v>28773.75</v>
      </c>
      <c r="N12" s="147">
        <v>25613.77</v>
      </c>
      <c r="O12" s="147">
        <v>21764.68</v>
      </c>
      <c r="P12" s="141"/>
      <c r="Q12" s="141"/>
      <c r="R12" s="141"/>
      <c r="S12" s="141"/>
      <c r="T12" s="141"/>
      <c r="U12" s="141"/>
      <c r="V12" s="141"/>
      <c r="W12" s="141"/>
      <c r="X12" s="141"/>
      <c r="Y12" s="141"/>
      <c r="Z12" s="141"/>
      <c r="AA12" s="141"/>
      <c r="AB12" s="106"/>
      <c r="AC12" s="107">
        <f t="shared" si="0"/>
        <v>317741.88</v>
      </c>
      <c r="AD12" s="107">
        <f t="shared" si="1"/>
        <v>317741.88</v>
      </c>
      <c r="AE12" s="107">
        <f t="shared" si="2"/>
        <v>0</v>
      </c>
      <c r="AF12" s="106"/>
      <c r="AG12" s="100"/>
      <c r="AH12" s="108"/>
      <c r="AI12" s="108"/>
      <c r="AJ12" s="108"/>
      <c r="AK12" s="108"/>
      <c r="AL12" s="108"/>
    </row>
    <row r="13" spans="1:38" s="105" customFormat="1" ht="15">
      <c r="A13" s="129"/>
      <c r="B13" s="105" t="s">
        <v>505</v>
      </c>
      <c r="C13" s="119"/>
      <c r="D13" s="147">
        <v>357329.1</v>
      </c>
      <c r="E13" s="147">
        <v>375405.77</v>
      </c>
      <c r="F13" s="147">
        <v>412513.89</v>
      </c>
      <c r="G13" s="147">
        <v>408893.18</v>
      </c>
      <c r="H13" s="147">
        <v>357684.02</v>
      </c>
      <c r="I13" s="147">
        <v>370284.32</v>
      </c>
      <c r="J13" s="147">
        <v>435257.75</v>
      </c>
      <c r="K13" s="147">
        <v>475890.06</v>
      </c>
      <c r="L13" s="147">
        <v>430587.15</v>
      </c>
      <c r="M13" s="147">
        <v>431606.22</v>
      </c>
      <c r="N13" s="147">
        <v>384206.58</v>
      </c>
      <c r="O13" s="147">
        <v>326470.26</v>
      </c>
      <c r="P13" s="141"/>
      <c r="Q13" s="141"/>
      <c r="R13" s="141"/>
      <c r="S13" s="141"/>
      <c r="T13" s="141"/>
      <c r="U13" s="141"/>
      <c r="V13" s="141"/>
      <c r="W13" s="141"/>
      <c r="X13" s="141"/>
      <c r="Y13" s="141"/>
      <c r="Z13" s="141"/>
      <c r="AA13" s="141"/>
      <c r="AB13" s="106"/>
      <c r="AC13" s="107">
        <f t="shared" si="0"/>
        <v>4766128.3</v>
      </c>
      <c r="AD13" s="107">
        <f t="shared" si="1"/>
        <v>4766128.3</v>
      </c>
      <c r="AE13" s="107">
        <f t="shared" si="2"/>
        <v>0</v>
      </c>
      <c r="AF13" s="106"/>
      <c r="AG13" s="100"/>
      <c r="AH13" s="108"/>
      <c r="AI13" s="108"/>
      <c r="AJ13" s="108"/>
      <c r="AK13" s="108"/>
      <c r="AL13" s="108"/>
    </row>
    <row r="14" spans="1:38" s="105" customFormat="1" ht="15">
      <c r="A14" s="129" t="s">
        <v>68</v>
      </c>
      <c r="B14" s="105" t="s">
        <v>69</v>
      </c>
      <c r="C14" s="119"/>
      <c r="D14" s="147"/>
      <c r="E14" s="147"/>
      <c r="F14" s="147"/>
      <c r="G14" s="147"/>
      <c r="H14" s="147"/>
      <c r="I14" s="147"/>
      <c r="J14" s="147"/>
      <c r="K14" s="147"/>
      <c r="L14" s="147"/>
      <c r="M14" s="147"/>
      <c r="N14" s="147"/>
      <c r="O14" s="147"/>
      <c r="P14" s="141"/>
      <c r="Q14" s="141"/>
      <c r="R14" s="141"/>
      <c r="S14" s="141"/>
      <c r="T14" s="141"/>
      <c r="U14" s="141"/>
      <c r="V14" s="141"/>
      <c r="W14" s="141"/>
      <c r="X14" s="141"/>
      <c r="Y14" s="141"/>
      <c r="Z14" s="141"/>
      <c r="AA14" s="141"/>
      <c r="AB14" s="106"/>
      <c r="AC14" s="107">
        <f t="shared" si="0"/>
        <v>0</v>
      </c>
      <c r="AD14" s="107">
        <f>SUM(D14:AA14)</f>
        <v>0</v>
      </c>
      <c r="AE14" s="107"/>
      <c r="AF14" s="106"/>
      <c r="AG14" s="100"/>
      <c r="AH14" s="108"/>
      <c r="AI14" s="108"/>
      <c r="AJ14" s="108"/>
      <c r="AK14" s="108"/>
      <c r="AL14" s="108"/>
    </row>
    <row r="15" spans="1:38" s="105" customFormat="1" ht="15">
      <c r="A15" s="129" t="s">
        <v>195</v>
      </c>
      <c r="B15" s="105" t="s">
        <v>196</v>
      </c>
      <c r="C15" s="119"/>
      <c r="D15" s="147">
        <v>0</v>
      </c>
      <c r="E15" s="147"/>
      <c r="F15" s="147">
        <v>0</v>
      </c>
      <c r="G15" s="147"/>
      <c r="H15" s="147"/>
      <c r="I15" s="147"/>
      <c r="J15" s="147"/>
      <c r="K15" s="147"/>
      <c r="L15" s="147">
        <v>6892.05</v>
      </c>
      <c r="M15" s="147">
        <v>0</v>
      </c>
      <c r="N15" s="147"/>
      <c r="O15" s="147"/>
      <c r="P15" s="141"/>
      <c r="Q15" s="141"/>
      <c r="R15" s="141"/>
      <c r="S15" s="141"/>
      <c r="T15" s="141"/>
      <c r="U15" s="141">
        <v>0</v>
      </c>
      <c r="V15" s="141"/>
      <c r="W15" s="141"/>
      <c r="X15" s="141"/>
      <c r="Y15" s="141"/>
      <c r="Z15" s="141"/>
      <c r="AA15" s="141"/>
      <c r="AB15" s="106"/>
      <c r="AC15" s="107"/>
      <c r="AD15" s="107">
        <f>SUM(D15:AA15)</f>
        <v>6892.05</v>
      </c>
      <c r="AE15" s="107"/>
      <c r="AF15" s="106"/>
      <c r="AG15" s="100"/>
      <c r="AH15" s="108"/>
      <c r="AI15" s="108"/>
      <c r="AJ15" s="108"/>
      <c r="AK15" s="108"/>
      <c r="AL15" s="108"/>
    </row>
    <row r="16" spans="1:38" s="105" customFormat="1" ht="15">
      <c r="A16" s="130" t="s">
        <v>17</v>
      </c>
      <c r="B16" s="105" t="s">
        <v>18</v>
      </c>
      <c r="C16" s="119"/>
      <c r="D16" s="147"/>
      <c r="E16" s="147"/>
      <c r="F16" s="147"/>
      <c r="G16" s="147">
        <v>0</v>
      </c>
      <c r="H16" s="147"/>
      <c r="I16" s="147"/>
      <c r="J16" s="147"/>
      <c r="K16" s="147"/>
      <c r="L16" s="147"/>
      <c r="M16" s="147"/>
      <c r="N16" s="147"/>
      <c r="O16" s="147"/>
      <c r="P16" s="141"/>
      <c r="Q16" s="141"/>
      <c r="R16" s="141"/>
      <c r="S16" s="141"/>
      <c r="T16" s="141">
        <v>0</v>
      </c>
      <c r="U16" s="141">
        <v>0</v>
      </c>
      <c r="V16" s="141"/>
      <c r="W16" s="141"/>
      <c r="X16" s="141"/>
      <c r="Y16" s="141"/>
      <c r="Z16" s="141"/>
      <c r="AA16" s="141"/>
      <c r="AB16" s="109"/>
      <c r="AC16" s="107">
        <f t="shared" si="0"/>
        <v>0</v>
      </c>
      <c r="AD16" s="107">
        <f>SUM(D16:AA16)</f>
        <v>0</v>
      </c>
      <c r="AE16" s="107">
        <f t="shared" si="2"/>
        <v>0</v>
      </c>
      <c r="AF16" s="109"/>
      <c r="AG16" s="100"/>
      <c r="AH16" s="110"/>
      <c r="AI16" s="110"/>
      <c r="AJ16" s="110"/>
      <c r="AK16" s="110"/>
      <c r="AL16" s="110"/>
    </row>
    <row r="17" spans="1:38" s="105" customFormat="1" ht="15">
      <c r="A17" s="130" t="s">
        <v>19</v>
      </c>
      <c r="B17" s="105" t="s">
        <v>20</v>
      </c>
      <c r="C17" s="119"/>
      <c r="D17" s="148">
        <v>22594.4</v>
      </c>
      <c r="E17" s="148">
        <v>22354.98</v>
      </c>
      <c r="F17" s="148">
        <v>21715.51</v>
      </c>
      <c r="G17" s="148">
        <v>21882.89</v>
      </c>
      <c r="H17" s="148">
        <v>22175.46</v>
      </c>
      <c r="I17" s="148">
        <v>23620.16</v>
      </c>
      <c r="J17" s="148">
        <v>25179.21</v>
      </c>
      <c r="K17" s="148">
        <v>23550.5</v>
      </c>
      <c r="L17" s="148">
        <v>28170.01</v>
      </c>
      <c r="M17" s="148">
        <v>28795.39</v>
      </c>
      <c r="N17" s="148">
        <v>29546.31</v>
      </c>
      <c r="O17" s="148">
        <v>28829.59</v>
      </c>
      <c r="P17" s="485">
        <v>0</v>
      </c>
      <c r="Q17" s="485">
        <v>0</v>
      </c>
      <c r="R17" s="485">
        <v>0</v>
      </c>
      <c r="S17" s="485">
        <v>0</v>
      </c>
      <c r="T17" s="485">
        <v>0</v>
      </c>
      <c r="U17" s="485">
        <v>0</v>
      </c>
      <c r="V17" s="485">
        <v>0</v>
      </c>
      <c r="W17" s="485">
        <v>0</v>
      </c>
      <c r="X17" s="485">
        <v>0</v>
      </c>
      <c r="Y17" s="485">
        <v>0</v>
      </c>
      <c r="Z17" s="485">
        <v>0</v>
      </c>
      <c r="AA17" s="485">
        <v>0</v>
      </c>
      <c r="AB17" s="109"/>
      <c r="AC17" s="107">
        <f t="shared" si="0"/>
        <v>298414.41000000003</v>
      </c>
      <c r="AD17" s="107">
        <f>SUM(D17:AA17)</f>
        <v>298414.41000000003</v>
      </c>
      <c r="AE17" s="14">
        <f t="shared" si="2"/>
        <v>0</v>
      </c>
      <c r="AF17" s="109"/>
      <c r="AG17" s="100"/>
      <c r="AH17" s="110"/>
      <c r="AI17" s="110"/>
      <c r="AJ17" s="110"/>
      <c r="AK17" s="110"/>
      <c r="AL17" s="110"/>
    </row>
    <row r="18" spans="1:38" s="105" customFormat="1" ht="15.75">
      <c r="A18" s="131" t="s">
        <v>7</v>
      </c>
      <c r="C18" s="119"/>
      <c r="D18" s="147">
        <f aca="true" t="shared" si="3" ref="D18:AA18">SUM(D8:D17)</f>
        <v>716034.65</v>
      </c>
      <c r="E18" s="147">
        <f t="shared" si="3"/>
        <v>763837.83</v>
      </c>
      <c r="F18" s="147">
        <f t="shared" si="3"/>
        <v>826498.0800000001</v>
      </c>
      <c r="G18" s="147">
        <f t="shared" si="3"/>
        <v>793044.37</v>
      </c>
      <c r="H18" s="147">
        <f t="shared" si="3"/>
        <v>704141.6599999999</v>
      </c>
      <c r="I18" s="147">
        <f t="shared" si="3"/>
        <v>758835.4900000001</v>
      </c>
      <c r="J18" s="147">
        <f t="shared" si="3"/>
        <v>888149.01</v>
      </c>
      <c r="K18" s="147">
        <f t="shared" si="3"/>
        <v>936851.09</v>
      </c>
      <c r="L18" s="147">
        <f t="shared" si="3"/>
        <v>851326.3200000001</v>
      </c>
      <c r="M18" s="147">
        <f t="shared" si="3"/>
        <v>851835.2899999999</v>
      </c>
      <c r="N18" s="147">
        <f t="shared" si="3"/>
        <v>775187.6700000002</v>
      </c>
      <c r="O18" s="147">
        <f>SUM(O8:O17)</f>
        <v>673164.88</v>
      </c>
      <c r="P18" s="141">
        <f>SUM(P8:P17)</f>
        <v>0</v>
      </c>
      <c r="Q18" s="141">
        <f t="shared" si="3"/>
        <v>0</v>
      </c>
      <c r="R18" s="141">
        <f t="shared" si="3"/>
        <v>0</v>
      </c>
      <c r="S18" s="141">
        <f t="shared" si="3"/>
        <v>0</v>
      </c>
      <c r="T18" s="141">
        <f t="shared" si="3"/>
        <v>0</v>
      </c>
      <c r="U18" s="141">
        <f t="shared" si="3"/>
        <v>0</v>
      </c>
      <c r="V18" s="141">
        <f t="shared" si="3"/>
        <v>0</v>
      </c>
      <c r="W18" s="141">
        <f t="shared" si="3"/>
        <v>0</v>
      </c>
      <c r="X18" s="141">
        <f t="shared" si="3"/>
        <v>0</v>
      </c>
      <c r="Y18" s="141">
        <f t="shared" si="3"/>
        <v>0</v>
      </c>
      <c r="Z18" s="141">
        <f t="shared" si="3"/>
        <v>0</v>
      </c>
      <c r="AA18" s="141">
        <f t="shared" si="3"/>
        <v>0</v>
      </c>
      <c r="AB18" s="109"/>
      <c r="AC18" s="112">
        <f>SUM(AC7:AC17)</f>
        <v>16679069.420000006</v>
      </c>
      <c r="AD18" s="112">
        <f>SUM(AD7:AD17)</f>
        <v>16685961.470000006</v>
      </c>
      <c r="AE18" s="112">
        <f>SUM(AE8:AE17)</f>
        <v>0</v>
      </c>
      <c r="AF18" s="109"/>
      <c r="AG18" s="100"/>
      <c r="AH18" s="110"/>
      <c r="AI18" s="110"/>
      <c r="AJ18" s="110"/>
      <c r="AK18" s="110"/>
      <c r="AL18" s="110"/>
    </row>
    <row r="19" spans="1:38" s="105" customFormat="1" ht="15">
      <c r="A19" s="129"/>
      <c r="C19" s="119"/>
      <c r="D19" s="149"/>
      <c r="E19" s="149"/>
      <c r="F19" s="149"/>
      <c r="G19" s="149"/>
      <c r="H19" s="149"/>
      <c r="I19" s="149"/>
      <c r="J19" s="149"/>
      <c r="K19" s="149"/>
      <c r="L19" s="149"/>
      <c r="M19" s="149"/>
      <c r="N19" s="149"/>
      <c r="O19" s="149"/>
      <c r="P19" s="486"/>
      <c r="Q19" s="486"/>
      <c r="R19" s="486"/>
      <c r="S19" s="486"/>
      <c r="T19" s="486"/>
      <c r="U19" s="486"/>
      <c r="V19" s="486"/>
      <c r="W19" s="486"/>
      <c r="X19" s="486"/>
      <c r="Y19" s="486"/>
      <c r="Z19" s="486"/>
      <c r="AA19" s="486"/>
      <c r="AB19" s="109"/>
      <c r="AC19" s="113"/>
      <c r="AD19" s="113"/>
      <c r="AE19" s="113"/>
      <c r="AF19" s="109"/>
      <c r="AG19" s="100"/>
      <c r="AH19" s="110"/>
      <c r="AI19" s="110"/>
      <c r="AJ19" s="110"/>
      <c r="AK19" s="110"/>
      <c r="AL19" s="110"/>
    </row>
    <row r="20" spans="1:38" s="105" customFormat="1" ht="15">
      <c r="A20" s="129" t="s">
        <v>21</v>
      </c>
      <c r="B20" s="105" t="s">
        <v>22</v>
      </c>
      <c r="C20" s="119"/>
      <c r="D20" s="149">
        <v>5126.39</v>
      </c>
      <c r="E20" s="149">
        <v>5811.99</v>
      </c>
      <c r="F20" s="149">
        <v>1608.43</v>
      </c>
      <c r="G20" s="149">
        <v>184.54</v>
      </c>
      <c r="H20" s="149">
        <v>276.43</v>
      </c>
      <c r="I20" s="149">
        <v>-1017.82</v>
      </c>
      <c r="J20" s="149">
        <v>-2527.01</v>
      </c>
      <c r="K20" s="149">
        <v>-1891.4</v>
      </c>
      <c r="L20" s="149">
        <v>1935.17</v>
      </c>
      <c r="M20" s="149">
        <v>1420.1</v>
      </c>
      <c r="N20" s="149">
        <v>1874.07</v>
      </c>
      <c r="O20" s="149">
        <v>956.81</v>
      </c>
      <c r="P20" s="486">
        <v>0</v>
      </c>
      <c r="Q20" s="486">
        <v>0</v>
      </c>
      <c r="R20" s="486">
        <v>0</v>
      </c>
      <c r="S20" s="486">
        <v>0</v>
      </c>
      <c r="T20" s="486">
        <v>0</v>
      </c>
      <c r="U20" s="486">
        <v>0</v>
      </c>
      <c r="V20" s="486">
        <v>0</v>
      </c>
      <c r="W20" s="486">
        <v>0</v>
      </c>
      <c r="X20" s="486">
        <v>0</v>
      </c>
      <c r="Y20" s="486">
        <v>0</v>
      </c>
      <c r="Z20" s="486">
        <v>0</v>
      </c>
      <c r="AA20" s="486">
        <v>0</v>
      </c>
      <c r="AB20" s="109"/>
      <c r="AC20" s="107">
        <f>SUM(D20:AB20)</f>
        <v>13757.700000000003</v>
      </c>
      <c r="AD20" s="107">
        <f>SUM(D20:AA20)</f>
        <v>13757.700000000003</v>
      </c>
      <c r="AE20" s="107">
        <f>AC20-AD20</f>
        <v>0</v>
      </c>
      <c r="AF20" s="109"/>
      <c r="AG20" s="100"/>
      <c r="AH20" s="110"/>
      <c r="AI20" s="110"/>
      <c r="AJ20" s="110"/>
      <c r="AK20" s="110"/>
      <c r="AL20" s="110"/>
    </row>
    <row r="21" spans="1:38" s="105" customFormat="1" ht="15">
      <c r="A21" s="129" t="s">
        <v>44</v>
      </c>
      <c r="B21" s="105" t="s">
        <v>23</v>
      </c>
      <c r="C21" s="119"/>
      <c r="D21" s="149">
        <v>22363.35</v>
      </c>
      <c r="E21" s="149">
        <v>21018.03</v>
      </c>
      <c r="F21" s="149">
        <v>26404.91</v>
      </c>
      <c r="G21" s="149">
        <v>31824.22</v>
      </c>
      <c r="H21" s="149">
        <v>34937.39</v>
      </c>
      <c r="I21" s="149">
        <v>35213.74</v>
      </c>
      <c r="J21" s="149">
        <v>35049.3</v>
      </c>
      <c r="K21" s="149">
        <v>31691.75</v>
      </c>
      <c r="L21" s="149">
        <v>29949.11</v>
      </c>
      <c r="M21" s="149">
        <v>31754.86</v>
      </c>
      <c r="N21" s="149">
        <v>33054.62</v>
      </c>
      <c r="O21" s="149">
        <v>35055.88</v>
      </c>
      <c r="P21" s="486">
        <v>0</v>
      </c>
      <c r="Q21" s="486">
        <v>0</v>
      </c>
      <c r="R21" s="486">
        <v>0</v>
      </c>
      <c r="S21" s="486">
        <v>0</v>
      </c>
      <c r="T21" s="486">
        <v>0</v>
      </c>
      <c r="U21" s="486">
        <v>0</v>
      </c>
      <c r="V21" s="486">
        <v>0</v>
      </c>
      <c r="W21" s="486">
        <v>0</v>
      </c>
      <c r="X21" s="486">
        <v>0</v>
      </c>
      <c r="Y21" s="486">
        <v>0</v>
      </c>
      <c r="Z21" s="486">
        <v>0</v>
      </c>
      <c r="AA21" s="486">
        <v>0</v>
      </c>
      <c r="AB21" s="109"/>
      <c r="AC21" s="107">
        <f>SUM(D21:AB21)</f>
        <v>368317.16</v>
      </c>
      <c r="AD21" s="107">
        <f>SUM(D21:AA21)</f>
        <v>368317.16</v>
      </c>
      <c r="AE21" s="107">
        <f>AC21-AD21</f>
        <v>0</v>
      </c>
      <c r="AF21" s="109"/>
      <c r="AG21" s="100"/>
      <c r="AH21" s="110"/>
      <c r="AI21" s="110"/>
      <c r="AJ21" s="110"/>
      <c r="AK21" s="110"/>
      <c r="AL21" s="110"/>
    </row>
    <row r="22" spans="1:38" s="105" customFormat="1" ht="15">
      <c r="A22" s="129" t="s">
        <v>43</v>
      </c>
      <c r="B22" s="105" t="s">
        <v>24</v>
      </c>
      <c r="C22" s="119"/>
      <c r="D22" s="149">
        <v>6433.67</v>
      </c>
      <c r="E22" s="149">
        <v>8670.87</v>
      </c>
      <c r="F22" s="149">
        <v>17204.9</v>
      </c>
      <c r="G22" s="149">
        <v>19456.67</v>
      </c>
      <c r="H22" s="149">
        <v>14244.96</v>
      </c>
      <c r="I22" s="149">
        <v>2064.76</v>
      </c>
      <c r="J22" s="149">
        <v>4462.74</v>
      </c>
      <c r="K22" s="149">
        <v>9563.51</v>
      </c>
      <c r="L22" s="149">
        <v>15190.17</v>
      </c>
      <c r="M22" s="149">
        <v>6920</v>
      </c>
      <c r="N22" s="149">
        <v>10352.69</v>
      </c>
      <c r="O22" s="149">
        <v>15928.28</v>
      </c>
      <c r="P22" s="486">
        <v>0</v>
      </c>
      <c r="Q22" s="486">
        <v>0</v>
      </c>
      <c r="R22" s="486">
        <v>0</v>
      </c>
      <c r="S22" s="486">
        <v>0</v>
      </c>
      <c r="T22" s="486">
        <v>0</v>
      </c>
      <c r="U22" s="486">
        <v>0</v>
      </c>
      <c r="V22" s="486">
        <v>0</v>
      </c>
      <c r="W22" s="486">
        <v>0</v>
      </c>
      <c r="X22" s="486">
        <v>0</v>
      </c>
      <c r="Y22" s="486">
        <v>0</v>
      </c>
      <c r="Z22" s="486">
        <v>0</v>
      </c>
      <c r="AA22" s="486">
        <v>0</v>
      </c>
      <c r="AB22" s="109"/>
      <c r="AC22" s="107">
        <f>SUM(D22:AB22)</f>
        <v>130493.22</v>
      </c>
      <c r="AD22" s="107">
        <f>SUM(D22:AA22)</f>
        <v>130493.22</v>
      </c>
      <c r="AE22" s="107">
        <f>AC22-AD22</f>
        <v>0</v>
      </c>
      <c r="AF22" s="109"/>
      <c r="AG22" s="100"/>
      <c r="AH22" s="110"/>
      <c r="AI22" s="110"/>
      <c r="AJ22" s="110"/>
      <c r="AK22" s="110"/>
      <c r="AL22" s="110"/>
    </row>
    <row r="23" spans="1:38" s="105" customFormat="1" ht="15">
      <c r="A23" s="129" t="s">
        <v>42</v>
      </c>
      <c r="B23" s="105" t="s">
        <v>45</v>
      </c>
      <c r="C23" s="119"/>
      <c r="D23" s="149">
        <v>461527.18</v>
      </c>
      <c r="E23" s="149">
        <v>1063853.85</v>
      </c>
      <c r="F23" s="149">
        <v>494928.8</v>
      </c>
      <c r="G23" s="149">
        <v>1090048.6</v>
      </c>
      <c r="H23" s="149">
        <v>1097766.32</v>
      </c>
      <c r="I23" s="149">
        <v>634106.14</v>
      </c>
      <c r="J23" s="149">
        <v>723768.32</v>
      </c>
      <c r="K23" s="149">
        <v>1005760.47</v>
      </c>
      <c r="L23" s="149">
        <v>1012194.31</v>
      </c>
      <c r="M23" s="149">
        <v>1347021.5</v>
      </c>
      <c r="N23" s="149">
        <v>783186.05</v>
      </c>
      <c r="O23" s="149">
        <v>1340082.99</v>
      </c>
      <c r="P23" s="486">
        <v>0</v>
      </c>
      <c r="Q23" s="486">
        <v>0</v>
      </c>
      <c r="R23" s="486">
        <v>0</v>
      </c>
      <c r="S23" s="486">
        <v>0</v>
      </c>
      <c r="T23" s="486">
        <v>0</v>
      </c>
      <c r="U23" s="486">
        <v>0</v>
      </c>
      <c r="V23" s="486">
        <v>0</v>
      </c>
      <c r="W23" s="486">
        <v>0</v>
      </c>
      <c r="X23" s="486">
        <v>0</v>
      </c>
      <c r="Y23" s="486">
        <v>0</v>
      </c>
      <c r="Z23" s="486">
        <v>0</v>
      </c>
      <c r="AA23" s="486">
        <v>0</v>
      </c>
      <c r="AB23" s="109"/>
      <c r="AC23" s="107">
        <f>SUM(D23:AB23)</f>
        <v>11054244.530000001</v>
      </c>
      <c r="AD23" s="107">
        <f>SUM(D23:AA23)</f>
        <v>11054244.530000001</v>
      </c>
      <c r="AE23" s="107">
        <f>AC23-AD23</f>
        <v>0</v>
      </c>
      <c r="AF23" s="109"/>
      <c r="AG23" s="100"/>
      <c r="AH23" s="110"/>
      <c r="AI23" s="110"/>
      <c r="AJ23" s="110"/>
      <c r="AK23" s="110"/>
      <c r="AL23" s="110"/>
    </row>
    <row r="24" spans="1:38" s="105" customFormat="1" ht="15.75">
      <c r="A24" s="111" t="s">
        <v>8</v>
      </c>
      <c r="C24" s="119"/>
      <c r="D24" s="153">
        <f aca="true" t="shared" si="4" ref="D24:AA24">SUM(D20:D23)</f>
        <v>495450.58999999997</v>
      </c>
      <c r="E24" s="153">
        <f t="shared" si="4"/>
        <v>1099354.74</v>
      </c>
      <c r="F24" s="153">
        <f t="shared" si="4"/>
        <v>540147.04</v>
      </c>
      <c r="G24" s="153">
        <f t="shared" si="4"/>
        <v>1141514.03</v>
      </c>
      <c r="H24" s="153">
        <f t="shared" si="4"/>
        <v>1147225.1</v>
      </c>
      <c r="I24" s="153">
        <f t="shared" si="4"/>
        <v>670366.8200000001</v>
      </c>
      <c r="J24" s="153">
        <f t="shared" si="4"/>
        <v>760753.35</v>
      </c>
      <c r="K24" s="153">
        <f t="shared" si="4"/>
        <v>1045124.33</v>
      </c>
      <c r="L24" s="153">
        <f t="shared" si="4"/>
        <v>1059268.76</v>
      </c>
      <c r="M24" s="153">
        <f t="shared" si="4"/>
        <v>1387116.46</v>
      </c>
      <c r="N24" s="153">
        <f t="shared" si="4"/>
        <v>828467.43</v>
      </c>
      <c r="O24" s="153">
        <f t="shared" si="4"/>
        <v>1392023.96</v>
      </c>
      <c r="P24" s="487">
        <f t="shared" si="4"/>
        <v>0</v>
      </c>
      <c r="Q24" s="487">
        <f t="shared" si="4"/>
        <v>0</v>
      </c>
      <c r="R24" s="487">
        <f t="shared" si="4"/>
        <v>0</v>
      </c>
      <c r="S24" s="487">
        <f t="shared" si="4"/>
        <v>0</v>
      </c>
      <c r="T24" s="487">
        <f t="shared" si="4"/>
        <v>0</v>
      </c>
      <c r="U24" s="487">
        <f t="shared" si="4"/>
        <v>0</v>
      </c>
      <c r="V24" s="487">
        <f t="shared" si="4"/>
        <v>0</v>
      </c>
      <c r="W24" s="487">
        <f t="shared" si="4"/>
        <v>0</v>
      </c>
      <c r="X24" s="487">
        <f t="shared" si="4"/>
        <v>0</v>
      </c>
      <c r="Y24" s="487">
        <f t="shared" si="4"/>
        <v>0</v>
      </c>
      <c r="Z24" s="487">
        <f t="shared" si="4"/>
        <v>0</v>
      </c>
      <c r="AA24" s="487">
        <f t="shared" si="4"/>
        <v>0</v>
      </c>
      <c r="AB24" s="109"/>
      <c r="AC24" s="112">
        <f>SUM(AC20:AC23)</f>
        <v>11566812.610000001</v>
      </c>
      <c r="AD24" s="112">
        <f>SUM(AD20:AD23)</f>
        <v>11566812.610000001</v>
      </c>
      <c r="AE24" s="112">
        <f>SUM(AE20:AE23)</f>
        <v>0</v>
      </c>
      <c r="AF24" s="109"/>
      <c r="AG24" s="100"/>
      <c r="AH24" s="110"/>
      <c r="AI24" s="110"/>
      <c r="AJ24" s="110"/>
      <c r="AK24" s="110"/>
      <c r="AL24" s="110"/>
    </row>
    <row r="25" spans="3:38" s="105" customFormat="1" ht="15">
      <c r="C25" s="119"/>
      <c r="D25" s="147"/>
      <c r="E25" s="147"/>
      <c r="F25" s="147"/>
      <c r="G25" s="147"/>
      <c r="H25" s="147"/>
      <c r="I25" s="147"/>
      <c r="J25" s="147"/>
      <c r="K25" s="147"/>
      <c r="L25" s="147"/>
      <c r="M25" s="147"/>
      <c r="N25" s="147"/>
      <c r="O25" s="147"/>
      <c r="P25" s="141"/>
      <c r="Q25" s="141"/>
      <c r="R25" s="141"/>
      <c r="S25" s="141"/>
      <c r="T25" s="141"/>
      <c r="U25" s="141"/>
      <c r="V25" s="141"/>
      <c r="W25" s="141"/>
      <c r="X25" s="141"/>
      <c r="Y25" s="141"/>
      <c r="Z25" s="141"/>
      <c r="AA25" s="141"/>
      <c r="AB25" s="109"/>
      <c r="AC25" s="113"/>
      <c r="AD25" s="113"/>
      <c r="AE25" s="113"/>
      <c r="AF25" s="109"/>
      <c r="AG25" s="100"/>
      <c r="AH25" s="110"/>
      <c r="AI25" s="110"/>
      <c r="AJ25" s="110"/>
      <c r="AK25" s="110"/>
      <c r="AL25" s="110"/>
    </row>
    <row r="26" spans="1:38" s="105" customFormat="1" ht="15.75">
      <c r="A26" s="111" t="s">
        <v>9</v>
      </c>
      <c r="C26" s="126">
        <f>'Cash Flow 15-17'!AA26</f>
        <v>7147055.130000004</v>
      </c>
      <c r="D26" s="150">
        <f aca="true" t="shared" si="5" ref="D26:AA26">C26+D18-D24</f>
        <v>7367639.190000004</v>
      </c>
      <c r="E26" s="150">
        <f t="shared" si="5"/>
        <v>7032122.280000004</v>
      </c>
      <c r="F26" s="150">
        <f t="shared" si="5"/>
        <v>7318473.320000004</v>
      </c>
      <c r="G26" s="150">
        <f t="shared" si="5"/>
        <v>6970003.660000004</v>
      </c>
      <c r="H26" s="150">
        <f t="shared" si="5"/>
        <v>6526920.220000004</v>
      </c>
      <c r="I26" s="150">
        <f t="shared" si="5"/>
        <v>6615388.890000004</v>
      </c>
      <c r="J26" s="150">
        <f t="shared" si="5"/>
        <v>6742784.5500000045</v>
      </c>
      <c r="K26" s="150">
        <f t="shared" si="5"/>
        <v>6634511.310000004</v>
      </c>
      <c r="L26" s="150">
        <f t="shared" si="5"/>
        <v>6426568.870000005</v>
      </c>
      <c r="M26" s="150">
        <f t="shared" si="5"/>
        <v>5891287.700000005</v>
      </c>
      <c r="N26" s="150">
        <f t="shared" si="5"/>
        <v>5838007.940000005</v>
      </c>
      <c r="O26" s="150">
        <f t="shared" si="5"/>
        <v>5119148.860000005</v>
      </c>
      <c r="P26" s="488">
        <f t="shared" si="5"/>
        <v>5119148.860000005</v>
      </c>
      <c r="Q26" s="488">
        <f t="shared" si="5"/>
        <v>5119148.860000005</v>
      </c>
      <c r="R26" s="488">
        <f t="shared" si="5"/>
        <v>5119148.860000005</v>
      </c>
      <c r="S26" s="488">
        <f t="shared" si="5"/>
        <v>5119148.860000005</v>
      </c>
      <c r="T26" s="488">
        <f t="shared" si="5"/>
        <v>5119148.860000005</v>
      </c>
      <c r="U26" s="488">
        <f t="shared" si="5"/>
        <v>5119148.860000005</v>
      </c>
      <c r="V26" s="488">
        <f t="shared" si="5"/>
        <v>5119148.860000005</v>
      </c>
      <c r="W26" s="488">
        <f t="shared" si="5"/>
        <v>5119148.860000005</v>
      </c>
      <c r="X26" s="488">
        <f t="shared" si="5"/>
        <v>5119148.860000005</v>
      </c>
      <c r="Y26" s="488">
        <f t="shared" si="5"/>
        <v>5119148.860000005</v>
      </c>
      <c r="Z26" s="488">
        <f t="shared" si="5"/>
        <v>5119148.860000005</v>
      </c>
      <c r="AA26" s="489">
        <f t="shared" si="5"/>
        <v>5119148.860000005</v>
      </c>
      <c r="AB26" s="109"/>
      <c r="AC26" s="113">
        <f>AC18-AC24</f>
        <v>5112256.810000004</v>
      </c>
      <c r="AD26" s="113">
        <f>AD18-AD24</f>
        <v>5119148.860000005</v>
      </c>
      <c r="AE26" s="113">
        <f>AE18-AE24</f>
        <v>0</v>
      </c>
      <c r="AF26" s="109"/>
      <c r="AG26" s="100"/>
      <c r="AH26" s="110"/>
      <c r="AI26" s="110"/>
      <c r="AJ26" s="110"/>
      <c r="AK26" s="110"/>
      <c r="AL26" s="110"/>
    </row>
    <row r="27" spans="3:38" s="105" customFormat="1" ht="15">
      <c r="C27" s="127"/>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09"/>
      <c r="AC27" s="113"/>
      <c r="AD27" s="113"/>
      <c r="AE27" s="113"/>
      <c r="AF27" s="109"/>
      <c r="AG27" s="100"/>
      <c r="AH27" s="110"/>
      <c r="AI27" s="110"/>
      <c r="AJ27" s="110"/>
      <c r="AK27" s="110"/>
      <c r="AL27" s="110"/>
    </row>
    <row r="28" spans="4:32" ht="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4"/>
      <c r="AC28" s="115"/>
      <c r="AD28" s="114"/>
      <c r="AE28" s="114"/>
      <c r="AF28" s="114"/>
    </row>
    <row r="29" spans="1:27" ht="15">
      <c r="A29" s="105"/>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row>
    <row r="30" spans="1:32" ht="15">
      <c r="A30" s="10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4"/>
      <c r="AC30" s="114"/>
      <c r="AD30" s="114"/>
      <c r="AE30" s="114"/>
      <c r="AF30" s="114"/>
    </row>
    <row r="31" spans="1:32" ht="15">
      <c r="A31" s="105"/>
      <c r="C31" s="120"/>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14"/>
      <c r="AC31" s="114"/>
      <c r="AD31" s="114"/>
      <c r="AE31" s="114"/>
      <c r="AF31" s="114"/>
    </row>
    <row r="32" spans="1:32" ht="15">
      <c r="A32" s="154" t="s">
        <v>46</v>
      </c>
      <c r="B32" s="155"/>
      <c r="C32" s="156"/>
      <c r="D32" s="151">
        <v>0</v>
      </c>
      <c r="E32" s="151">
        <v>0</v>
      </c>
      <c r="F32" s="151">
        <v>0</v>
      </c>
      <c r="G32" s="151">
        <v>0</v>
      </c>
      <c r="H32" s="151">
        <v>0</v>
      </c>
      <c r="I32" s="151">
        <v>0</v>
      </c>
      <c r="J32" s="151">
        <v>0</v>
      </c>
      <c r="K32" s="151">
        <v>0</v>
      </c>
      <c r="L32" s="151">
        <v>0</v>
      </c>
      <c r="M32" s="151">
        <v>0</v>
      </c>
      <c r="N32" s="151">
        <v>0</v>
      </c>
      <c r="O32" s="151">
        <v>0</v>
      </c>
      <c r="P32" s="151">
        <v>0</v>
      </c>
      <c r="Q32" s="151">
        <v>0</v>
      </c>
      <c r="R32" s="151">
        <v>0</v>
      </c>
      <c r="S32" s="151">
        <v>0</v>
      </c>
      <c r="T32" s="151">
        <v>0</v>
      </c>
      <c r="U32" s="151">
        <v>0</v>
      </c>
      <c r="V32" s="151">
        <v>0</v>
      </c>
      <c r="W32" s="151">
        <v>0</v>
      </c>
      <c r="X32" s="151">
        <v>0</v>
      </c>
      <c r="Y32" s="151">
        <v>0</v>
      </c>
      <c r="Z32" s="151">
        <v>0</v>
      </c>
      <c r="AA32" s="151">
        <v>0</v>
      </c>
      <c r="AB32" s="114"/>
      <c r="AC32" s="114"/>
      <c r="AD32" s="114"/>
      <c r="AE32" s="114"/>
      <c r="AF32" s="114"/>
    </row>
    <row r="33" spans="1:32" ht="15">
      <c r="A33" s="154" t="s">
        <v>47</v>
      </c>
      <c r="B33" s="155"/>
      <c r="C33" s="156">
        <v>19686.33</v>
      </c>
      <c r="D33" s="151">
        <v>22581.9</v>
      </c>
      <c r="E33" s="151">
        <v>22327.33</v>
      </c>
      <c r="F33" s="151">
        <v>45079.35</v>
      </c>
      <c r="G33" s="151">
        <v>21871.69</v>
      </c>
      <c r="H33" s="151">
        <v>42434.02</v>
      </c>
      <c r="I33" s="151">
        <v>23592.96</v>
      </c>
      <c r="J33" s="151">
        <v>25153.01</v>
      </c>
      <c r="K33" s="151">
        <v>23540.3</v>
      </c>
      <c r="L33" s="151">
        <v>28159.81</v>
      </c>
      <c r="M33" s="151">
        <v>53242.88</v>
      </c>
      <c r="N33" s="151">
        <v>29535.11</v>
      </c>
      <c r="O33" s="151">
        <v>28818.39</v>
      </c>
      <c r="P33" s="151">
        <v>0</v>
      </c>
      <c r="Q33" s="151">
        <v>0</v>
      </c>
      <c r="R33" s="151">
        <v>0</v>
      </c>
      <c r="S33" s="151">
        <v>0</v>
      </c>
      <c r="T33" s="151">
        <v>0</v>
      </c>
      <c r="U33" s="151">
        <v>0</v>
      </c>
      <c r="V33" s="151">
        <v>0</v>
      </c>
      <c r="W33" s="151">
        <v>0</v>
      </c>
      <c r="X33" s="151">
        <v>0</v>
      </c>
      <c r="Y33" s="151">
        <v>0</v>
      </c>
      <c r="Z33" s="151">
        <v>0</v>
      </c>
      <c r="AA33" s="95">
        <v>0</v>
      </c>
      <c r="AB33" s="114"/>
      <c r="AC33" s="114"/>
      <c r="AD33" s="114"/>
      <c r="AE33" s="114"/>
      <c r="AF33" s="114"/>
    </row>
    <row r="34" spans="1:32" ht="15">
      <c r="A34" s="154" t="s">
        <v>48</v>
      </c>
      <c r="B34" s="155"/>
      <c r="C34" s="156">
        <v>180530.97</v>
      </c>
      <c r="D34" s="151">
        <v>270493.18</v>
      </c>
      <c r="E34" s="151">
        <v>305642.47</v>
      </c>
      <c r="F34" s="151">
        <v>277572.13</v>
      </c>
      <c r="G34" s="151">
        <v>125172.21</v>
      </c>
      <c r="H34" s="151">
        <v>56064.83</v>
      </c>
      <c r="I34" s="151">
        <v>39199.04</v>
      </c>
      <c r="J34" s="151">
        <v>-36128.49</v>
      </c>
      <c r="K34" s="151">
        <v>-178449.81</v>
      </c>
      <c r="L34" s="151">
        <v>473379.95</v>
      </c>
      <c r="M34" s="151">
        <v>140067.53</v>
      </c>
      <c r="N34" s="151">
        <v>-88540.29</v>
      </c>
      <c r="O34" s="151">
        <v>212603.66</v>
      </c>
      <c r="P34" s="151">
        <v>0</v>
      </c>
      <c r="Q34" s="151">
        <v>0</v>
      </c>
      <c r="R34" s="151">
        <v>0</v>
      </c>
      <c r="S34" s="151">
        <v>0</v>
      </c>
      <c r="T34" s="151">
        <v>0</v>
      </c>
      <c r="U34" s="151">
        <v>0</v>
      </c>
      <c r="V34" s="151">
        <v>0</v>
      </c>
      <c r="W34" s="151">
        <v>0</v>
      </c>
      <c r="X34" s="151">
        <v>0</v>
      </c>
      <c r="Y34" s="151">
        <v>0</v>
      </c>
      <c r="Z34" s="151">
        <v>0</v>
      </c>
      <c r="AA34" s="95">
        <v>0</v>
      </c>
      <c r="AB34" s="114"/>
      <c r="AC34" s="114"/>
      <c r="AD34" s="114"/>
      <c r="AE34" s="114"/>
      <c r="AF34" s="114"/>
    </row>
    <row r="35" spans="1:32" ht="15">
      <c r="A35" s="154" t="s">
        <v>49</v>
      </c>
      <c r="B35" s="155"/>
      <c r="C35" s="156">
        <v>-10618.45</v>
      </c>
      <c r="D35" s="151">
        <v>-70865.21</v>
      </c>
      <c r="E35" s="151">
        <v>-70865.21</v>
      </c>
      <c r="F35" s="151">
        <v>-39249.82</v>
      </c>
      <c r="G35" s="151">
        <v>165408.15</v>
      </c>
      <c r="H35" s="151">
        <v>234098.22</v>
      </c>
      <c r="I35" s="151">
        <v>325762.41</v>
      </c>
      <c r="J35" s="151">
        <v>432925</v>
      </c>
      <c r="K35" s="151">
        <v>623696.12</v>
      </c>
      <c r="L35" s="151">
        <v>-4572.61</v>
      </c>
      <c r="M35" s="151">
        <v>68933.13</v>
      </c>
      <c r="N35" s="151">
        <v>359209.58</v>
      </c>
      <c r="O35" s="151">
        <v>91594.83</v>
      </c>
      <c r="P35" s="151">
        <v>0</v>
      </c>
      <c r="Q35" s="151">
        <v>0</v>
      </c>
      <c r="R35" s="151">
        <v>0</v>
      </c>
      <c r="S35" s="151">
        <v>0</v>
      </c>
      <c r="T35" s="151">
        <v>0</v>
      </c>
      <c r="U35" s="151">
        <v>0</v>
      </c>
      <c r="V35" s="151">
        <v>0</v>
      </c>
      <c r="W35" s="151">
        <v>0</v>
      </c>
      <c r="X35" s="151">
        <v>0</v>
      </c>
      <c r="Y35" s="151">
        <v>0</v>
      </c>
      <c r="Z35" s="151">
        <v>0</v>
      </c>
      <c r="AA35" s="95">
        <v>0</v>
      </c>
      <c r="AB35" s="114"/>
      <c r="AC35" s="114"/>
      <c r="AD35" s="114"/>
      <c r="AE35" s="114"/>
      <c r="AF35" s="114"/>
    </row>
    <row r="36" spans="1:32" ht="15">
      <c r="A36" s="154" t="s">
        <v>50</v>
      </c>
      <c r="B36" s="155"/>
      <c r="C36" s="156">
        <v>0</v>
      </c>
      <c r="D36" s="151">
        <v>0</v>
      </c>
      <c r="E36" s="151">
        <v>-130.21</v>
      </c>
      <c r="F36" s="151">
        <v>-246.73</v>
      </c>
      <c r="G36" s="151">
        <v>-4304.43</v>
      </c>
      <c r="H36" s="151">
        <v>-1196.25</v>
      </c>
      <c r="I36" s="151">
        <v>0</v>
      </c>
      <c r="J36" s="151">
        <v>-114.77</v>
      </c>
      <c r="K36" s="151">
        <v>-1.16</v>
      </c>
      <c r="L36" s="151">
        <v>-6.12</v>
      </c>
      <c r="M36" s="151">
        <v>0</v>
      </c>
      <c r="N36" s="151">
        <v>-58.95</v>
      </c>
      <c r="O36" s="151">
        <v>0</v>
      </c>
      <c r="P36" s="151">
        <v>0</v>
      </c>
      <c r="Q36" s="151">
        <v>0</v>
      </c>
      <c r="R36" s="151">
        <v>0</v>
      </c>
      <c r="S36" s="151">
        <v>0</v>
      </c>
      <c r="T36" s="151">
        <v>0</v>
      </c>
      <c r="U36" s="151">
        <v>0</v>
      </c>
      <c r="V36" s="151">
        <v>0</v>
      </c>
      <c r="W36" s="151">
        <v>0</v>
      </c>
      <c r="X36" s="151">
        <v>0</v>
      </c>
      <c r="Y36" s="151">
        <v>0</v>
      </c>
      <c r="Z36" s="151">
        <v>0</v>
      </c>
      <c r="AA36" s="95">
        <v>0</v>
      </c>
      <c r="AB36" s="114"/>
      <c r="AC36" s="114"/>
      <c r="AD36" s="114"/>
      <c r="AE36" s="114"/>
      <c r="AF36" s="114"/>
    </row>
    <row r="37" spans="1:32" ht="15">
      <c r="A37" s="105" t="s">
        <v>51</v>
      </c>
      <c r="C37" s="120"/>
      <c r="D37" s="142">
        <v>0</v>
      </c>
      <c r="E37" s="142">
        <v>0</v>
      </c>
      <c r="F37" s="142">
        <v>0</v>
      </c>
      <c r="G37" s="142">
        <v>0</v>
      </c>
      <c r="H37" s="142">
        <v>0</v>
      </c>
      <c r="I37" s="142">
        <v>0</v>
      </c>
      <c r="J37" s="142">
        <v>0</v>
      </c>
      <c r="K37" s="142">
        <v>0</v>
      </c>
      <c r="L37" s="142">
        <v>0</v>
      </c>
      <c r="M37" s="142">
        <v>0</v>
      </c>
      <c r="N37" s="142">
        <v>0</v>
      </c>
      <c r="O37" s="142">
        <v>0</v>
      </c>
      <c r="P37" s="142">
        <v>0</v>
      </c>
      <c r="Q37" s="142">
        <v>0</v>
      </c>
      <c r="R37" s="142">
        <v>0</v>
      </c>
      <c r="S37" s="142">
        <v>0</v>
      </c>
      <c r="T37" s="142">
        <v>0</v>
      </c>
      <c r="U37" s="142">
        <v>0</v>
      </c>
      <c r="V37" s="142">
        <v>0</v>
      </c>
      <c r="W37" s="142">
        <v>0</v>
      </c>
      <c r="X37" s="142">
        <v>0</v>
      </c>
      <c r="Y37" s="142">
        <v>0</v>
      </c>
      <c r="Z37" s="142">
        <v>0</v>
      </c>
      <c r="AA37" s="96">
        <v>0</v>
      </c>
      <c r="AB37" s="114"/>
      <c r="AC37" s="114"/>
      <c r="AD37" s="114"/>
      <c r="AE37" s="114"/>
      <c r="AF37" s="114"/>
    </row>
    <row r="38" spans="1:32" ht="15">
      <c r="A38" s="105" t="s">
        <v>52</v>
      </c>
      <c r="C38" s="120"/>
      <c r="D38" s="142">
        <v>0</v>
      </c>
      <c r="E38" s="142">
        <v>0</v>
      </c>
      <c r="F38" s="142">
        <v>27500.93</v>
      </c>
      <c r="G38" s="142">
        <v>0</v>
      </c>
      <c r="H38" s="142">
        <v>23845.6</v>
      </c>
      <c r="I38" s="142">
        <v>0</v>
      </c>
      <c r="J38" s="142">
        <v>0</v>
      </c>
      <c r="K38" s="142">
        <v>0</v>
      </c>
      <c r="L38" s="142">
        <v>0</v>
      </c>
      <c r="M38" s="142">
        <v>28773.75</v>
      </c>
      <c r="N38" s="142">
        <v>0</v>
      </c>
      <c r="O38" s="142">
        <v>0</v>
      </c>
      <c r="P38" s="142">
        <v>0</v>
      </c>
      <c r="Q38" s="142">
        <v>0</v>
      </c>
      <c r="R38" s="142">
        <v>0</v>
      </c>
      <c r="S38" s="142">
        <v>0</v>
      </c>
      <c r="T38" s="142">
        <v>0</v>
      </c>
      <c r="U38" s="142">
        <v>0</v>
      </c>
      <c r="V38" s="142">
        <v>0</v>
      </c>
      <c r="W38" s="142">
        <v>0</v>
      </c>
      <c r="X38" s="142">
        <v>0</v>
      </c>
      <c r="Y38" s="142">
        <v>0</v>
      </c>
      <c r="Z38" s="142">
        <v>0</v>
      </c>
      <c r="AA38" s="96">
        <v>0</v>
      </c>
      <c r="AB38" s="114"/>
      <c r="AC38" s="114"/>
      <c r="AD38" s="114"/>
      <c r="AE38" s="114"/>
      <c r="AF38" s="114"/>
    </row>
    <row r="39" spans="1:32" ht="15">
      <c r="A39" s="105" t="s">
        <v>53</v>
      </c>
      <c r="C39" s="120">
        <v>861671.16</v>
      </c>
      <c r="D39" s="142">
        <v>782337.07</v>
      </c>
      <c r="E39" s="142">
        <v>767192.29</v>
      </c>
      <c r="F39" s="142">
        <v>774918</v>
      </c>
      <c r="G39" s="142">
        <v>219742.38</v>
      </c>
      <c r="H39" s="142">
        <v>213688.28</v>
      </c>
      <c r="I39" s="142">
        <v>233788.66</v>
      </c>
      <c r="J39" s="142">
        <v>271903.04</v>
      </c>
      <c r="K39" s="142">
        <v>307501.66</v>
      </c>
      <c r="L39" s="142">
        <v>325906.25</v>
      </c>
      <c r="M39" s="142">
        <v>52658.11</v>
      </c>
      <c r="N39" s="142">
        <v>335368.85</v>
      </c>
      <c r="O39" s="142">
        <v>320479.5</v>
      </c>
      <c r="P39" s="142">
        <v>0</v>
      </c>
      <c r="Q39" s="142">
        <v>0</v>
      </c>
      <c r="R39" s="142">
        <v>0</v>
      </c>
      <c r="S39" s="142">
        <v>0</v>
      </c>
      <c r="T39" s="142">
        <v>0</v>
      </c>
      <c r="U39" s="142">
        <v>0</v>
      </c>
      <c r="V39" s="142">
        <v>0</v>
      </c>
      <c r="W39" s="142">
        <v>0</v>
      </c>
      <c r="X39" s="142">
        <v>0</v>
      </c>
      <c r="Y39" s="142">
        <v>0</v>
      </c>
      <c r="Z39" s="142">
        <v>0</v>
      </c>
      <c r="AA39" s="96">
        <v>0</v>
      </c>
      <c r="AB39" s="114"/>
      <c r="AC39" s="114"/>
      <c r="AD39" s="114"/>
      <c r="AE39" s="114"/>
      <c r="AF39" s="114"/>
    </row>
    <row r="40" spans="1:32" ht="15">
      <c r="A40" s="105" t="s">
        <v>54</v>
      </c>
      <c r="C40" s="120">
        <v>85469.75</v>
      </c>
      <c r="D40" s="142">
        <v>188454.69</v>
      </c>
      <c r="E40" s="142">
        <v>230807.36</v>
      </c>
      <c r="F40" s="142">
        <v>230807.36</v>
      </c>
      <c r="G40" s="142">
        <v>230807.36</v>
      </c>
      <c r="H40" s="142">
        <v>230807.36</v>
      </c>
      <c r="I40" s="142">
        <v>230807.36</v>
      </c>
      <c r="J40" s="142">
        <v>230807.36</v>
      </c>
      <c r="K40" s="142">
        <v>230807.36</v>
      </c>
      <c r="L40" s="142">
        <v>230807.36</v>
      </c>
      <c r="M40" s="142">
        <v>230807.36</v>
      </c>
      <c r="N40" s="142">
        <v>0</v>
      </c>
      <c r="O40" s="142">
        <v>0</v>
      </c>
      <c r="P40" s="142">
        <v>0</v>
      </c>
      <c r="Q40" s="142">
        <v>0</v>
      </c>
      <c r="R40" s="142">
        <v>0</v>
      </c>
      <c r="S40" s="142">
        <v>0</v>
      </c>
      <c r="T40" s="142">
        <v>0</v>
      </c>
      <c r="U40" s="142">
        <v>0</v>
      </c>
      <c r="V40" s="142">
        <v>0</v>
      </c>
      <c r="W40" s="142">
        <v>0</v>
      </c>
      <c r="X40" s="142">
        <v>0</v>
      </c>
      <c r="Y40" s="142">
        <v>0</v>
      </c>
      <c r="Z40" s="142">
        <v>0</v>
      </c>
      <c r="AA40" s="96">
        <v>0</v>
      </c>
      <c r="AB40" s="114"/>
      <c r="AC40" s="114"/>
      <c r="AD40" s="114"/>
      <c r="AE40" s="114"/>
      <c r="AF40" s="114"/>
    </row>
    <row r="41" spans="1:32" ht="15">
      <c r="A41" s="105" t="s">
        <v>55</v>
      </c>
      <c r="C41" s="120"/>
      <c r="D41" s="142">
        <v>0</v>
      </c>
      <c r="E41" s="142">
        <v>0</v>
      </c>
      <c r="F41" s="142">
        <v>0</v>
      </c>
      <c r="G41" s="142">
        <v>0</v>
      </c>
      <c r="H41" s="142">
        <v>0</v>
      </c>
      <c r="I41" s="142">
        <v>0</v>
      </c>
      <c r="J41" s="142">
        <v>-190.49</v>
      </c>
      <c r="K41" s="142">
        <v>0</v>
      </c>
      <c r="L41" s="142">
        <v>0</v>
      </c>
      <c r="M41" s="142">
        <v>0</v>
      </c>
      <c r="N41" s="142">
        <v>-342.71</v>
      </c>
      <c r="O41" s="142">
        <v>0</v>
      </c>
      <c r="P41" s="142">
        <v>0</v>
      </c>
      <c r="Q41" s="142">
        <v>0</v>
      </c>
      <c r="R41" s="142">
        <v>0</v>
      </c>
      <c r="S41" s="142">
        <v>0</v>
      </c>
      <c r="T41" s="142">
        <v>0</v>
      </c>
      <c r="U41" s="142">
        <v>0</v>
      </c>
      <c r="V41" s="142">
        <v>0</v>
      </c>
      <c r="W41" s="142">
        <v>0</v>
      </c>
      <c r="X41" s="142">
        <v>0</v>
      </c>
      <c r="Y41" s="142">
        <v>0</v>
      </c>
      <c r="Z41" s="142">
        <v>0</v>
      </c>
      <c r="AA41" s="96">
        <v>0</v>
      </c>
      <c r="AB41" s="114"/>
      <c r="AC41" s="114"/>
      <c r="AD41" s="114"/>
      <c r="AE41" s="114"/>
      <c r="AF41" s="114"/>
    </row>
    <row r="42" spans="1:32" ht="15">
      <c r="A42" s="154" t="s">
        <v>56</v>
      </c>
      <c r="B42" s="155"/>
      <c r="C42" s="156"/>
      <c r="D42" s="151">
        <v>0</v>
      </c>
      <c r="E42" s="151">
        <v>0</v>
      </c>
      <c r="F42" s="151">
        <v>0</v>
      </c>
      <c r="G42" s="151">
        <v>0</v>
      </c>
      <c r="H42" s="151">
        <v>0</v>
      </c>
      <c r="I42" s="151">
        <v>0</v>
      </c>
      <c r="J42" s="151">
        <v>0</v>
      </c>
      <c r="K42" s="151">
        <v>0</v>
      </c>
      <c r="L42" s="151">
        <v>0</v>
      </c>
      <c r="M42" s="151">
        <v>0</v>
      </c>
      <c r="N42" s="151">
        <v>0</v>
      </c>
      <c r="O42" s="151">
        <v>0</v>
      </c>
      <c r="P42" s="151">
        <v>0</v>
      </c>
      <c r="Q42" s="151">
        <v>0</v>
      </c>
      <c r="R42" s="151">
        <v>0</v>
      </c>
      <c r="S42" s="151">
        <v>0</v>
      </c>
      <c r="T42" s="151">
        <v>0</v>
      </c>
      <c r="U42" s="151">
        <v>0</v>
      </c>
      <c r="V42" s="151">
        <v>0</v>
      </c>
      <c r="W42" s="151">
        <v>0</v>
      </c>
      <c r="X42" s="151">
        <v>0</v>
      </c>
      <c r="Y42" s="151">
        <v>0</v>
      </c>
      <c r="Z42" s="151">
        <v>0</v>
      </c>
      <c r="AA42" s="95">
        <v>0</v>
      </c>
      <c r="AB42" s="114"/>
      <c r="AC42" s="114"/>
      <c r="AD42" s="114"/>
      <c r="AE42" s="114"/>
      <c r="AF42" s="114"/>
    </row>
    <row r="43" spans="1:32" ht="15">
      <c r="A43" s="154" t="s">
        <v>57</v>
      </c>
      <c r="B43" s="155"/>
      <c r="C43" s="156"/>
      <c r="D43" s="151">
        <v>0</v>
      </c>
      <c r="E43" s="151">
        <v>0</v>
      </c>
      <c r="F43" s="151">
        <v>412513.89</v>
      </c>
      <c r="G43" s="151">
        <v>0</v>
      </c>
      <c r="H43" s="151">
        <v>357684.02</v>
      </c>
      <c r="I43" s="151">
        <v>0</v>
      </c>
      <c r="J43" s="151">
        <v>0</v>
      </c>
      <c r="K43" s="151">
        <v>0</v>
      </c>
      <c r="L43" s="151">
        <v>0</v>
      </c>
      <c r="M43" s="151">
        <v>431606.22</v>
      </c>
      <c r="N43" s="151">
        <v>0</v>
      </c>
      <c r="O43" s="151">
        <v>0</v>
      </c>
      <c r="P43" s="151">
        <v>0</v>
      </c>
      <c r="Q43" s="151">
        <v>0</v>
      </c>
      <c r="R43" s="151">
        <v>0</v>
      </c>
      <c r="S43" s="151">
        <v>0</v>
      </c>
      <c r="T43" s="151">
        <v>0</v>
      </c>
      <c r="U43" s="151">
        <v>0</v>
      </c>
      <c r="V43" s="151">
        <v>0</v>
      </c>
      <c r="W43" s="151">
        <v>0</v>
      </c>
      <c r="X43" s="151">
        <v>0</v>
      </c>
      <c r="Y43" s="151">
        <v>0</v>
      </c>
      <c r="Z43" s="151">
        <v>0</v>
      </c>
      <c r="AA43" s="95">
        <v>0</v>
      </c>
      <c r="AB43" s="114"/>
      <c r="AC43" s="114"/>
      <c r="AD43" s="114"/>
      <c r="AE43" s="114"/>
      <c r="AF43" s="114"/>
    </row>
    <row r="44" spans="1:32" ht="15">
      <c r="A44" s="154" t="s">
        <v>58</v>
      </c>
      <c r="B44" s="155"/>
      <c r="C44" s="156">
        <v>2271665.38</v>
      </c>
      <c r="D44" s="151">
        <v>2512753.25</v>
      </c>
      <c r="E44" s="151">
        <v>2456842.67</v>
      </c>
      <c r="F44" s="151">
        <v>2251426.08</v>
      </c>
      <c r="G44" s="151">
        <v>2448210.32</v>
      </c>
      <c r="H44" s="151">
        <v>1603920.17</v>
      </c>
      <c r="I44" s="151">
        <v>2013867.61</v>
      </c>
      <c r="J44" s="151">
        <v>1983886.09</v>
      </c>
      <c r="K44" s="151">
        <v>1898525.89</v>
      </c>
      <c r="L44" s="151">
        <v>1755745.69</v>
      </c>
      <c r="M44" s="151">
        <v>1337829.71</v>
      </c>
      <c r="N44" s="151">
        <v>1626220.56</v>
      </c>
      <c r="O44" s="151">
        <v>1170073.76</v>
      </c>
      <c r="P44" s="151">
        <v>0</v>
      </c>
      <c r="Q44" s="151">
        <v>0</v>
      </c>
      <c r="R44" s="151">
        <v>0</v>
      </c>
      <c r="S44" s="151">
        <v>0</v>
      </c>
      <c r="T44" s="151">
        <v>0</v>
      </c>
      <c r="U44" s="151">
        <v>0</v>
      </c>
      <c r="V44" s="151">
        <v>0</v>
      </c>
      <c r="W44" s="151">
        <v>0</v>
      </c>
      <c r="X44" s="151">
        <v>0</v>
      </c>
      <c r="Y44" s="151">
        <v>0</v>
      </c>
      <c r="Z44" s="151">
        <v>0</v>
      </c>
      <c r="AA44" s="95">
        <v>0</v>
      </c>
      <c r="AB44" s="114"/>
      <c r="AC44" s="114"/>
      <c r="AD44" s="114"/>
      <c r="AE44" s="114"/>
      <c r="AF44" s="114"/>
    </row>
    <row r="45" spans="1:32" ht="15">
      <c r="A45" s="154" t="s">
        <v>59</v>
      </c>
      <c r="B45" s="155"/>
      <c r="C45" s="156"/>
      <c r="D45" s="151">
        <v>0</v>
      </c>
      <c r="E45" s="151">
        <v>0</v>
      </c>
      <c r="F45" s="151">
        <v>0</v>
      </c>
      <c r="G45" s="151">
        <v>0</v>
      </c>
      <c r="H45" s="151">
        <v>0</v>
      </c>
      <c r="I45" s="151">
        <v>0</v>
      </c>
      <c r="J45" s="151">
        <v>0</v>
      </c>
      <c r="K45" s="151">
        <v>0</v>
      </c>
      <c r="L45" s="151">
        <v>0</v>
      </c>
      <c r="M45" s="151">
        <v>0</v>
      </c>
      <c r="N45" s="151">
        <v>0</v>
      </c>
      <c r="O45" s="151">
        <v>0</v>
      </c>
      <c r="P45" s="151">
        <v>0</v>
      </c>
      <c r="Q45" s="151">
        <v>0</v>
      </c>
      <c r="R45" s="151">
        <v>0</v>
      </c>
      <c r="S45" s="151">
        <v>0</v>
      </c>
      <c r="T45" s="151">
        <v>0</v>
      </c>
      <c r="U45" s="151">
        <v>0</v>
      </c>
      <c r="V45" s="151">
        <v>0</v>
      </c>
      <c r="W45" s="151">
        <v>0</v>
      </c>
      <c r="X45" s="151">
        <v>0</v>
      </c>
      <c r="Y45" s="151">
        <v>0</v>
      </c>
      <c r="Z45" s="151">
        <v>0</v>
      </c>
      <c r="AA45" s="95">
        <v>0</v>
      </c>
      <c r="AB45" s="114"/>
      <c r="AC45" s="114"/>
      <c r="AD45" s="114"/>
      <c r="AE45" s="114"/>
      <c r="AF45" s="114"/>
    </row>
    <row r="46" spans="1:32" ht="15">
      <c r="A46" s="154" t="s">
        <v>60</v>
      </c>
      <c r="B46" s="155"/>
      <c r="C46" s="156"/>
      <c r="D46" s="151">
        <v>0</v>
      </c>
      <c r="E46" s="151">
        <v>0</v>
      </c>
      <c r="F46" s="151">
        <v>0</v>
      </c>
      <c r="G46" s="151">
        <v>0</v>
      </c>
      <c r="H46" s="151">
        <v>0</v>
      </c>
      <c r="I46" s="151">
        <v>0</v>
      </c>
      <c r="J46" s="151">
        <v>0</v>
      </c>
      <c r="K46" s="151">
        <v>0</v>
      </c>
      <c r="L46" s="151">
        <v>0</v>
      </c>
      <c r="M46" s="151">
        <v>0</v>
      </c>
      <c r="N46" s="151">
        <v>0</v>
      </c>
      <c r="O46" s="151">
        <v>0</v>
      </c>
      <c r="P46" s="151">
        <v>0</v>
      </c>
      <c r="Q46" s="151">
        <v>0</v>
      </c>
      <c r="R46" s="151">
        <v>0</v>
      </c>
      <c r="S46" s="151">
        <v>0</v>
      </c>
      <c r="T46" s="151">
        <v>0</v>
      </c>
      <c r="U46" s="151">
        <v>0</v>
      </c>
      <c r="V46" s="151">
        <v>0</v>
      </c>
      <c r="W46" s="151">
        <v>0</v>
      </c>
      <c r="X46" s="151">
        <v>0</v>
      </c>
      <c r="Y46" s="151">
        <v>0</v>
      </c>
      <c r="Z46" s="151">
        <v>0</v>
      </c>
      <c r="AA46" s="95">
        <v>0</v>
      </c>
      <c r="AB46" s="114"/>
      <c r="AC46" s="114"/>
      <c r="AD46" s="114"/>
      <c r="AE46" s="114"/>
      <c r="AF46" s="114"/>
    </row>
    <row r="47" spans="1:32" ht="15">
      <c r="A47" s="105" t="s">
        <v>61</v>
      </c>
      <c r="C47" s="120"/>
      <c r="D47" s="142">
        <v>0</v>
      </c>
      <c r="E47" s="142">
        <v>0</v>
      </c>
      <c r="F47" s="142">
        <v>0</v>
      </c>
      <c r="G47" s="142">
        <v>0</v>
      </c>
      <c r="H47" s="142">
        <v>0</v>
      </c>
      <c r="I47" s="142">
        <v>0</v>
      </c>
      <c r="J47" s="142">
        <v>0</v>
      </c>
      <c r="K47" s="142">
        <v>0</v>
      </c>
      <c r="L47" s="142">
        <v>0</v>
      </c>
      <c r="M47" s="142">
        <v>0</v>
      </c>
      <c r="N47" s="142">
        <v>0</v>
      </c>
      <c r="O47" s="142">
        <v>0</v>
      </c>
      <c r="P47" s="142">
        <v>0</v>
      </c>
      <c r="Q47" s="142">
        <v>0</v>
      </c>
      <c r="R47" s="142">
        <v>0</v>
      </c>
      <c r="S47" s="142">
        <v>0</v>
      </c>
      <c r="T47" s="142">
        <v>0</v>
      </c>
      <c r="U47" s="142">
        <v>0</v>
      </c>
      <c r="V47" s="142">
        <v>0</v>
      </c>
      <c r="W47" s="142">
        <v>0</v>
      </c>
      <c r="X47" s="142">
        <v>0</v>
      </c>
      <c r="Y47" s="142">
        <v>0</v>
      </c>
      <c r="Z47" s="142">
        <v>0</v>
      </c>
      <c r="AA47" s="96">
        <v>0</v>
      </c>
      <c r="AB47" s="114"/>
      <c r="AC47" s="114"/>
      <c r="AD47" s="114"/>
      <c r="AE47" s="114"/>
      <c r="AF47" s="114"/>
    </row>
    <row r="48" spans="1:32" ht="15">
      <c r="A48" s="105" t="s">
        <v>62</v>
      </c>
      <c r="C48" s="120"/>
      <c r="D48" s="142">
        <v>0</v>
      </c>
      <c r="E48" s="142">
        <v>0</v>
      </c>
      <c r="F48" s="142">
        <v>0</v>
      </c>
      <c r="G48" s="142">
        <v>0</v>
      </c>
      <c r="H48" s="142">
        <v>0</v>
      </c>
      <c r="I48" s="142">
        <v>0</v>
      </c>
      <c r="J48" s="142">
        <v>0</v>
      </c>
      <c r="K48" s="142">
        <v>0</v>
      </c>
      <c r="L48" s="142">
        <v>0</v>
      </c>
      <c r="M48" s="142">
        <v>0</v>
      </c>
      <c r="N48" s="142">
        <v>0</v>
      </c>
      <c r="O48" s="142">
        <v>0</v>
      </c>
      <c r="P48" s="142">
        <v>0</v>
      </c>
      <c r="Q48" s="142">
        <v>0</v>
      </c>
      <c r="R48" s="142">
        <v>0</v>
      </c>
      <c r="S48" s="142">
        <v>0</v>
      </c>
      <c r="T48" s="142">
        <v>0</v>
      </c>
      <c r="U48" s="142">
        <v>0</v>
      </c>
      <c r="V48" s="142">
        <v>0</v>
      </c>
      <c r="W48" s="142">
        <v>0</v>
      </c>
      <c r="X48" s="142">
        <v>0</v>
      </c>
      <c r="Y48" s="142">
        <v>0</v>
      </c>
      <c r="Z48" s="142">
        <v>0</v>
      </c>
      <c r="AA48" s="96">
        <v>0</v>
      </c>
      <c r="AB48" s="114"/>
      <c r="AC48" s="114"/>
      <c r="AD48" s="114"/>
      <c r="AE48" s="114"/>
      <c r="AF48" s="114"/>
    </row>
    <row r="49" spans="1:32" ht="15">
      <c r="A49" s="105" t="s">
        <v>63</v>
      </c>
      <c r="C49" s="120">
        <v>3247313.9</v>
      </c>
      <c r="D49" s="142">
        <v>3247558.44</v>
      </c>
      <c r="E49" s="142">
        <v>3092239.85</v>
      </c>
      <c r="F49" s="142">
        <v>3216156.47</v>
      </c>
      <c r="G49" s="142">
        <v>2882482.12</v>
      </c>
      <c r="H49" s="142">
        <v>2942151.08</v>
      </c>
      <c r="I49" s="142">
        <v>2961994.93</v>
      </c>
      <c r="J49" s="142">
        <v>3067559.31</v>
      </c>
      <c r="K49" s="142">
        <v>2995511.04</v>
      </c>
      <c r="L49" s="142">
        <v>2941642.61</v>
      </c>
      <c r="M49" s="142">
        <v>2941754.55</v>
      </c>
      <c r="N49" s="142">
        <v>3027250.16</v>
      </c>
      <c r="O49" s="142">
        <v>2788789.57</v>
      </c>
      <c r="P49" s="142">
        <v>0</v>
      </c>
      <c r="Q49" s="142">
        <v>0</v>
      </c>
      <c r="R49" s="142">
        <v>0</v>
      </c>
      <c r="S49" s="142">
        <v>0</v>
      </c>
      <c r="T49" s="142">
        <v>0</v>
      </c>
      <c r="U49" s="142">
        <v>0</v>
      </c>
      <c r="V49" s="142">
        <v>0</v>
      </c>
      <c r="W49" s="142">
        <v>0</v>
      </c>
      <c r="X49" s="142">
        <v>0</v>
      </c>
      <c r="Y49" s="142">
        <v>0</v>
      </c>
      <c r="Z49" s="142">
        <v>0</v>
      </c>
      <c r="AA49" s="96">
        <v>0</v>
      </c>
      <c r="AB49" s="114"/>
      <c r="AC49" s="114"/>
      <c r="AD49" s="114"/>
      <c r="AE49" s="114"/>
      <c r="AF49" s="114"/>
    </row>
    <row r="50" spans="1:32" ht="15">
      <c r="A50" s="105" t="s">
        <v>64</v>
      </c>
      <c r="C50" s="120"/>
      <c r="D50" s="142">
        <v>0</v>
      </c>
      <c r="E50" s="142">
        <v>0</v>
      </c>
      <c r="F50" s="142">
        <v>0</v>
      </c>
      <c r="G50" s="142">
        <v>0</v>
      </c>
      <c r="H50" s="142">
        <v>0</v>
      </c>
      <c r="I50" s="142">
        <v>0</v>
      </c>
      <c r="J50" s="142">
        <v>0</v>
      </c>
      <c r="K50" s="142">
        <v>0</v>
      </c>
      <c r="L50" s="142">
        <v>0</v>
      </c>
      <c r="M50" s="142">
        <v>0</v>
      </c>
      <c r="N50" s="142">
        <v>0</v>
      </c>
      <c r="O50" s="142">
        <v>0</v>
      </c>
      <c r="P50" s="142">
        <v>0</v>
      </c>
      <c r="Q50" s="142">
        <v>0</v>
      </c>
      <c r="R50" s="142">
        <v>0</v>
      </c>
      <c r="S50" s="142">
        <v>0</v>
      </c>
      <c r="T50" s="142">
        <v>0</v>
      </c>
      <c r="U50" s="142">
        <v>0</v>
      </c>
      <c r="V50" s="142">
        <v>0</v>
      </c>
      <c r="W50" s="142">
        <v>0</v>
      </c>
      <c r="X50" s="142">
        <v>0</v>
      </c>
      <c r="Y50" s="142">
        <v>0</v>
      </c>
      <c r="Z50" s="142">
        <v>0</v>
      </c>
      <c r="AA50" s="96">
        <v>0</v>
      </c>
      <c r="AB50" s="114"/>
      <c r="AC50" s="114"/>
      <c r="AD50" s="114"/>
      <c r="AE50" s="114"/>
      <c r="AF50" s="114"/>
    </row>
    <row r="51" spans="1:32" ht="15">
      <c r="A51" s="105" t="s">
        <v>65</v>
      </c>
      <c r="C51" s="120"/>
      <c r="D51" s="142">
        <v>0</v>
      </c>
      <c r="E51" s="142">
        <v>0</v>
      </c>
      <c r="F51" s="142">
        <v>0</v>
      </c>
      <c r="G51" s="142">
        <v>0</v>
      </c>
      <c r="H51" s="142">
        <v>0</v>
      </c>
      <c r="I51" s="142">
        <v>0</v>
      </c>
      <c r="J51" s="142">
        <v>0</v>
      </c>
      <c r="K51" s="142">
        <v>0</v>
      </c>
      <c r="L51" s="142">
        <v>0</v>
      </c>
      <c r="M51" s="142">
        <v>0</v>
      </c>
      <c r="N51" s="142">
        <v>0</v>
      </c>
      <c r="O51" s="142">
        <v>0</v>
      </c>
      <c r="P51" s="142">
        <v>0</v>
      </c>
      <c r="Q51" s="142">
        <v>0</v>
      </c>
      <c r="R51" s="142">
        <v>0</v>
      </c>
      <c r="S51" s="142">
        <v>0</v>
      </c>
      <c r="T51" s="142">
        <v>0</v>
      </c>
      <c r="U51" s="142">
        <v>0</v>
      </c>
      <c r="V51" s="142">
        <v>0</v>
      </c>
      <c r="W51" s="142">
        <v>0</v>
      </c>
      <c r="X51" s="142">
        <v>0</v>
      </c>
      <c r="Y51" s="142">
        <v>0</v>
      </c>
      <c r="Z51" s="142">
        <v>0</v>
      </c>
      <c r="AA51" s="96">
        <v>0</v>
      </c>
      <c r="AB51" s="114"/>
      <c r="AC51" s="114"/>
      <c r="AD51" s="114"/>
      <c r="AE51" s="114"/>
      <c r="AF51" s="114"/>
    </row>
    <row r="52" spans="1:32" ht="15">
      <c r="A52" s="154" t="s">
        <v>101</v>
      </c>
      <c r="B52" s="155"/>
      <c r="C52" s="156"/>
      <c r="D52" s="151">
        <v>0</v>
      </c>
      <c r="E52" s="151">
        <v>0</v>
      </c>
      <c r="F52" s="151">
        <v>0</v>
      </c>
      <c r="G52" s="151">
        <v>0</v>
      </c>
      <c r="H52" s="151">
        <v>0</v>
      </c>
      <c r="I52" s="151">
        <v>0</v>
      </c>
      <c r="J52" s="151"/>
      <c r="K52" s="151">
        <v>0</v>
      </c>
      <c r="L52" s="151">
        <v>0</v>
      </c>
      <c r="M52" s="151">
        <v>0</v>
      </c>
      <c r="N52" s="151">
        <v>0</v>
      </c>
      <c r="O52" s="151">
        <v>0</v>
      </c>
      <c r="P52" s="151">
        <v>0</v>
      </c>
      <c r="Q52" s="151">
        <v>0</v>
      </c>
      <c r="R52" s="151">
        <v>0</v>
      </c>
      <c r="S52" s="151">
        <v>0</v>
      </c>
      <c r="T52" s="151">
        <v>0</v>
      </c>
      <c r="U52" s="151">
        <v>0</v>
      </c>
      <c r="V52" s="151">
        <v>0</v>
      </c>
      <c r="W52" s="151">
        <v>0</v>
      </c>
      <c r="X52" s="151">
        <v>0</v>
      </c>
      <c r="Y52" s="151">
        <v>0</v>
      </c>
      <c r="Z52" s="151">
        <v>0</v>
      </c>
      <c r="AA52" s="95">
        <v>0</v>
      </c>
      <c r="AB52" s="178"/>
      <c r="AC52" s="114"/>
      <c r="AD52" s="114"/>
      <c r="AE52" s="114"/>
      <c r="AF52" s="114"/>
    </row>
    <row r="53" spans="1:32" ht="15">
      <c r="A53" s="154" t="s">
        <v>102</v>
      </c>
      <c r="B53" s="155"/>
      <c r="C53" s="156"/>
      <c r="D53" s="151">
        <v>0</v>
      </c>
      <c r="E53" s="151">
        <v>0</v>
      </c>
      <c r="F53" s="151">
        <v>0</v>
      </c>
      <c r="G53" s="151">
        <v>0</v>
      </c>
      <c r="H53" s="151">
        <v>0</v>
      </c>
      <c r="I53" s="151">
        <v>0</v>
      </c>
      <c r="J53" s="151"/>
      <c r="K53" s="151">
        <v>0</v>
      </c>
      <c r="L53" s="151">
        <v>0</v>
      </c>
      <c r="M53" s="151">
        <v>0</v>
      </c>
      <c r="N53" s="151">
        <v>0</v>
      </c>
      <c r="O53" s="151">
        <v>0</v>
      </c>
      <c r="P53" s="151">
        <v>0</v>
      </c>
      <c r="Q53" s="151">
        <v>0</v>
      </c>
      <c r="R53" s="151">
        <v>0</v>
      </c>
      <c r="S53" s="151">
        <v>0</v>
      </c>
      <c r="T53" s="151">
        <v>0</v>
      </c>
      <c r="U53" s="151">
        <v>0</v>
      </c>
      <c r="V53" s="151">
        <v>0</v>
      </c>
      <c r="W53" s="151">
        <v>0</v>
      </c>
      <c r="X53" s="151">
        <v>0</v>
      </c>
      <c r="Y53" s="151">
        <v>0</v>
      </c>
      <c r="Z53" s="151">
        <v>0</v>
      </c>
      <c r="AA53" s="95">
        <v>0</v>
      </c>
      <c r="AB53" s="178"/>
      <c r="AC53" s="114"/>
      <c r="AD53" s="114"/>
      <c r="AE53" s="114"/>
      <c r="AF53" s="114"/>
    </row>
    <row r="54" spans="1:32" ht="15">
      <c r="A54" s="154" t="s">
        <v>103</v>
      </c>
      <c r="B54" s="155"/>
      <c r="C54" s="156">
        <v>121899.89</v>
      </c>
      <c r="D54" s="151">
        <v>115991.67</v>
      </c>
      <c r="E54" s="151">
        <v>-60227.07</v>
      </c>
      <c r="F54" s="151">
        <v>-163961.27</v>
      </c>
      <c r="G54" s="151">
        <v>380478.5</v>
      </c>
      <c r="H54" s="151">
        <v>339100.47</v>
      </c>
      <c r="I54" s="151">
        <v>317022.87</v>
      </c>
      <c r="J54" s="151">
        <v>303471.22</v>
      </c>
      <c r="K54" s="151">
        <v>279262.64</v>
      </c>
      <c r="L54" s="151">
        <v>245234.71</v>
      </c>
      <c r="M54" s="151">
        <v>199429.07</v>
      </c>
      <c r="N54" s="151">
        <v>157133.9</v>
      </c>
      <c r="O54" s="151">
        <v>128353.06</v>
      </c>
      <c r="P54" s="151">
        <v>0</v>
      </c>
      <c r="Q54" s="151">
        <v>0</v>
      </c>
      <c r="R54" s="151">
        <v>0</v>
      </c>
      <c r="S54" s="151">
        <v>0</v>
      </c>
      <c r="T54" s="151">
        <v>0</v>
      </c>
      <c r="U54" s="151">
        <v>0</v>
      </c>
      <c r="V54" s="151">
        <v>0</v>
      </c>
      <c r="W54" s="151">
        <v>0</v>
      </c>
      <c r="X54" s="151">
        <v>0</v>
      </c>
      <c r="Y54" s="151">
        <v>0</v>
      </c>
      <c r="Z54" s="151">
        <v>0</v>
      </c>
      <c r="AA54" s="95">
        <v>0</v>
      </c>
      <c r="AB54" s="178"/>
      <c r="AC54" s="114"/>
      <c r="AD54" s="114"/>
      <c r="AE54" s="114"/>
      <c r="AF54" s="114"/>
    </row>
    <row r="55" spans="1:32" ht="15">
      <c r="A55" s="154" t="s">
        <v>104</v>
      </c>
      <c r="B55" s="155"/>
      <c r="C55" s="156"/>
      <c r="D55" s="151">
        <v>0</v>
      </c>
      <c r="E55" s="151">
        <v>0</v>
      </c>
      <c r="F55" s="151">
        <v>0</v>
      </c>
      <c r="G55" s="151">
        <v>0</v>
      </c>
      <c r="H55" s="151">
        <v>0</v>
      </c>
      <c r="I55" s="151">
        <v>0</v>
      </c>
      <c r="J55" s="151"/>
      <c r="K55" s="151">
        <v>0</v>
      </c>
      <c r="L55" s="151">
        <v>0</v>
      </c>
      <c r="M55" s="151">
        <v>0</v>
      </c>
      <c r="N55" s="151">
        <v>0</v>
      </c>
      <c r="O55" s="151">
        <v>0</v>
      </c>
      <c r="P55" s="151">
        <v>0</v>
      </c>
      <c r="Q55" s="151">
        <v>0</v>
      </c>
      <c r="R55" s="151">
        <v>0</v>
      </c>
      <c r="S55" s="151">
        <v>0</v>
      </c>
      <c r="T55" s="151">
        <v>0</v>
      </c>
      <c r="U55" s="151">
        <v>0</v>
      </c>
      <c r="V55" s="151">
        <v>0</v>
      </c>
      <c r="W55" s="151">
        <v>0</v>
      </c>
      <c r="X55" s="151">
        <v>0</v>
      </c>
      <c r="Y55" s="151">
        <v>0</v>
      </c>
      <c r="Z55" s="151">
        <v>0</v>
      </c>
      <c r="AA55" s="95">
        <v>0</v>
      </c>
      <c r="AB55" s="178"/>
      <c r="AC55" s="114"/>
      <c r="AD55" s="114"/>
      <c r="AE55" s="114"/>
      <c r="AF55" s="114"/>
    </row>
    <row r="56" spans="1:32" ht="15">
      <c r="A56" s="154" t="s">
        <v>105</v>
      </c>
      <c r="B56" s="155"/>
      <c r="C56" s="156"/>
      <c r="D56" s="151">
        <v>0</v>
      </c>
      <c r="E56" s="151">
        <v>0</v>
      </c>
      <c r="F56" s="151">
        <v>0</v>
      </c>
      <c r="G56" s="151">
        <v>0</v>
      </c>
      <c r="H56" s="151">
        <v>0</v>
      </c>
      <c r="I56" s="151">
        <v>0</v>
      </c>
      <c r="J56" s="151"/>
      <c r="K56" s="151">
        <v>0</v>
      </c>
      <c r="L56" s="151">
        <v>0</v>
      </c>
      <c r="M56" s="151">
        <v>0</v>
      </c>
      <c r="N56" s="151">
        <v>0</v>
      </c>
      <c r="O56" s="151">
        <v>0</v>
      </c>
      <c r="P56" s="151">
        <v>0</v>
      </c>
      <c r="Q56" s="151">
        <v>0</v>
      </c>
      <c r="R56" s="151">
        <v>0</v>
      </c>
      <c r="S56" s="151">
        <v>0</v>
      </c>
      <c r="T56" s="151">
        <v>0</v>
      </c>
      <c r="U56" s="151">
        <v>0</v>
      </c>
      <c r="V56" s="151">
        <v>0</v>
      </c>
      <c r="W56" s="151">
        <v>0</v>
      </c>
      <c r="X56" s="151">
        <v>0</v>
      </c>
      <c r="Y56" s="151">
        <v>0</v>
      </c>
      <c r="Z56" s="151">
        <v>0</v>
      </c>
      <c r="AA56" s="95">
        <v>0</v>
      </c>
      <c r="AB56" s="178"/>
      <c r="AC56" s="114"/>
      <c r="AD56" s="114"/>
      <c r="AE56" s="114"/>
      <c r="AF56" s="114"/>
    </row>
    <row r="57" spans="1:32" ht="15">
      <c r="A57" s="105" t="s">
        <v>106</v>
      </c>
      <c r="C57" s="120"/>
      <c r="D57" s="142">
        <v>0</v>
      </c>
      <c r="E57" s="142">
        <v>0</v>
      </c>
      <c r="F57" s="142">
        <v>0</v>
      </c>
      <c r="G57" s="142">
        <v>0</v>
      </c>
      <c r="H57" s="142">
        <v>0</v>
      </c>
      <c r="I57" s="142">
        <v>0</v>
      </c>
      <c r="J57" s="142"/>
      <c r="K57" s="142">
        <v>0</v>
      </c>
      <c r="L57" s="142">
        <v>0</v>
      </c>
      <c r="M57" s="142">
        <v>0</v>
      </c>
      <c r="N57" s="142">
        <v>0</v>
      </c>
      <c r="O57" s="142">
        <v>0</v>
      </c>
      <c r="P57" s="142">
        <v>0</v>
      </c>
      <c r="Q57" s="142">
        <v>0</v>
      </c>
      <c r="R57" s="142">
        <v>0</v>
      </c>
      <c r="S57" s="142">
        <v>0</v>
      </c>
      <c r="T57" s="142">
        <v>0</v>
      </c>
      <c r="U57" s="142">
        <v>0</v>
      </c>
      <c r="V57" s="142">
        <v>0</v>
      </c>
      <c r="W57" s="142">
        <v>0</v>
      </c>
      <c r="X57" s="142">
        <v>0</v>
      </c>
      <c r="Y57" s="142">
        <v>0</v>
      </c>
      <c r="Z57" s="142">
        <v>0</v>
      </c>
      <c r="AA57" s="96">
        <v>0</v>
      </c>
      <c r="AB57" s="114"/>
      <c r="AC57" s="114"/>
      <c r="AD57" s="114"/>
      <c r="AE57" s="114"/>
      <c r="AF57" s="114"/>
    </row>
    <row r="58" spans="1:32" ht="15">
      <c r="A58" s="105" t="s">
        <v>107</v>
      </c>
      <c r="C58" s="120"/>
      <c r="D58" s="142">
        <v>0</v>
      </c>
      <c r="E58" s="142">
        <v>0</v>
      </c>
      <c r="F58" s="142">
        <v>0</v>
      </c>
      <c r="G58" s="142">
        <v>0</v>
      </c>
      <c r="H58" s="142">
        <v>0</v>
      </c>
      <c r="I58" s="142">
        <v>0</v>
      </c>
      <c r="J58" s="142"/>
      <c r="K58" s="142">
        <v>0</v>
      </c>
      <c r="L58" s="142">
        <v>0</v>
      </c>
      <c r="M58" s="142">
        <v>0</v>
      </c>
      <c r="N58" s="142">
        <v>0</v>
      </c>
      <c r="O58" s="142">
        <v>0</v>
      </c>
      <c r="P58" s="142">
        <v>0</v>
      </c>
      <c r="Q58" s="142">
        <v>0</v>
      </c>
      <c r="R58" s="142">
        <v>0</v>
      </c>
      <c r="S58" s="142">
        <v>0</v>
      </c>
      <c r="T58" s="142">
        <v>0</v>
      </c>
      <c r="U58" s="142">
        <v>0</v>
      </c>
      <c r="V58" s="142">
        <v>0</v>
      </c>
      <c r="W58" s="142">
        <v>0</v>
      </c>
      <c r="X58" s="142">
        <v>0</v>
      </c>
      <c r="Y58" s="142">
        <v>0</v>
      </c>
      <c r="Z58" s="142">
        <v>0</v>
      </c>
      <c r="AA58" s="96">
        <v>0</v>
      </c>
      <c r="AB58" s="114"/>
      <c r="AC58" s="114"/>
      <c r="AD58" s="114"/>
      <c r="AE58" s="114"/>
      <c r="AF58" s="114"/>
    </row>
    <row r="59" spans="1:32" ht="15">
      <c r="A59" s="105" t="s">
        <v>108</v>
      </c>
      <c r="C59" s="120">
        <v>369436.2</v>
      </c>
      <c r="D59" s="142">
        <v>298334.2</v>
      </c>
      <c r="E59" s="142">
        <v>288292.8</v>
      </c>
      <c r="F59" s="142">
        <v>285956.93</v>
      </c>
      <c r="G59" s="142">
        <v>500135.36</v>
      </c>
      <c r="H59" s="142">
        <v>484322.42</v>
      </c>
      <c r="I59" s="142">
        <v>469353.05</v>
      </c>
      <c r="J59" s="142">
        <v>463513.27</v>
      </c>
      <c r="K59" s="142">
        <v>454117.27</v>
      </c>
      <c r="L59" s="142">
        <v>430271.22</v>
      </c>
      <c r="M59" s="142">
        <v>406185.39</v>
      </c>
      <c r="N59" s="142">
        <v>392231.73</v>
      </c>
      <c r="O59" s="142">
        <v>378436.09</v>
      </c>
      <c r="P59" s="142">
        <v>0</v>
      </c>
      <c r="Q59" s="142">
        <v>0</v>
      </c>
      <c r="R59" s="142">
        <v>0</v>
      </c>
      <c r="S59" s="142">
        <v>0</v>
      </c>
      <c r="T59" s="142">
        <v>0</v>
      </c>
      <c r="U59" s="142">
        <v>0</v>
      </c>
      <c r="V59" s="142">
        <v>0</v>
      </c>
      <c r="W59" s="142">
        <v>0</v>
      </c>
      <c r="X59" s="142">
        <v>0</v>
      </c>
      <c r="Y59" s="142">
        <v>0</v>
      </c>
      <c r="Z59" s="142">
        <v>0</v>
      </c>
      <c r="AA59" s="96">
        <v>0</v>
      </c>
      <c r="AB59" s="114"/>
      <c r="AC59" s="114"/>
      <c r="AD59" s="114"/>
      <c r="AE59" s="114"/>
      <c r="AF59" s="114"/>
    </row>
    <row r="60" spans="1:32" ht="15">
      <c r="A60" s="105" t="s">
        <v>109</v>
      </c>
      <c r="C60" s="120"/>
      <c r="D60" s="142">
        <v>0</v>
      </c>
      <c r="E60" s="142">
        <v>0</v>
      </c>
      <c r="F60" s="142">
        <v>0</v>
      </c>
      <c r="G60" s="142">
        <v>0</v>
      </c>
      <c r="H60" s="142">
        <v>0</v>
      </c>
      <c r="I60" s="142">
        <v>0</v>
      </c>
      <c r="J60" s="142"/>
      <c r="K60" s="142">
        <v>0</v>
      </c>
      <c r="L60" s="142">
        <v>0</v>
      </c>
      <c r="M60" s="142">
        <v>0</v>
      </c>
      <c r="N60" s="142">
        <v>0</v>
      </c>
      <c r="O60" s="142">
        <v>0</v>
      </c>
      <c r="P60" s="142">
        <v>0</v>
      </c>
      <c r="Q60" s="142">
        <v>0</v>
      </c>
      <c r="R60" s="142">
        <v>0</v>
      </c>
      <c r="S60" s="142">
        <v>0</v>
      </c>
      <c r="T60" s="142">
        <v>0</v>
      </c>
      <c r="U60" s="142">
        <v>0</v>
      </c>
      <c r="V60" s="142">
        <v>0</v>
      </c>
      <c r="W60" s="142">
        <v>0</v>
      </c>
      <c r="X60" s="142">
        <v>0</v>
      </c>
      <c r="Y60" s="142">
        <v>0</v>
      </c>
      <c r="Z60" s="142">
        <v>0</v>
      </c>
      <c r="AA60" s="96">
        <v>0</v>
      </c>
      <c r="AB60" s="114"/>
      <c r="AC60" s="114"/>
      <c r="AD60" s="114"/>
      <c r="AE60" s="114"/>
      <c r="AF60" s="114"/>
    </row>
    <row r="61" spans="1:32" ht="15">
      <c r="A61" s="105" t="s">
        <v>110</v>
      </c>
      <c r="C61" s="120"/>
      <c r="D61" s="142">
        <v>0</v>
      </c>
      <c r="E61" s="142">
        <v>0</v>
      </c>
      <c r="F61" s="142">
        <v>0</v>
      </c>
      <c r="G61" s="142">
        <v>0</v>
      </c>
      <c r="H61" s="142">
        <v>0</v>
      </c>
      <c r="I61" s="142">
        <v>0</v>
      </c>
      <c r="J61" s="142"/>
      <c r="K61" s="142">
        <v>0</v>
      </c>
      <c r="L61" s="142">
        <v>0</v>
      </c>
      <c r="M61" s="142">
        <v>0</v>
      </c>
      <c r="N61" s="142">
        <v>0</v>
      </c>
      <c r="O61" s="142">
        <v>0</v>
      </c>
      <c r="P61" s="142">
        <v>0</v>
      </c>
      <c r="Q61" s="142">
        <v>0</v>
      </c>
      <c r="R61" s="142">
        <v>0</v>
      </c>
      <c r="S61" s="142">
        <v>0</v>
      </c>
      <c r="T61" s="142">
        <v>0</v>
      </c>
      <c r="U61" s="142">
        <v>0</v>
      </c>
      <c r="V61" s="142">
        <v>0</v>
      </c>
      <c r="W61" s="142">
        <v>0</v>
      </c>
      <c r="X61" s="142">
        <v>0</v>
      </c>
      <c r="Y61" s="142">
        <v>0</v>
      </c>
      <c r="Z61" s="142">
        <v>0</v>
      </c>
      <c r="AA61" s="96">
        <v>0</v>
      </c>
      <c r="AB61" s="114"/>
      <c r="AC61" s="114"/>
      <c r="AD61" s="114"/>
      <c r="AE61" s="114"/>
      <c r="AF61" s="114"/>
    </row>
    <row r="62" spans="1:32" ht="15">
      <c r="A62" s="105"/>
      <c r="C62" s="120"/>
      <c r="D62" s="142"/>
      <c r="E62" s="142"/>
      <c r="F62" s="142"/>
      <c r="G62" s="142"/>
      <c r="H62" s="142"/>
      <c r="I62" s="142"/>
      <c r="J62" s="142" t="s">
        <v>12</v>
      </c>
      <c r="K62" s="142"/>
      <c r="L62" s="142"/>
      <c r="M62" s="142"/>
      <c r="N62" s="142"/>
      <c r="O62" s="142"/>
      <c r="P62" s="142"/>
      <c r="Q62" s="142"/>
      <c r="R62" s="142"/>
      <c r="S62" s="142"/>
      <c r="T62" s="142"/>
      <c r="U62" s="142"/>
      <c r="V62" s="142"/>
      <c r="W62" s="142"/>
      <c r="X62" s="142"/>
      <c r="Y62" s="142"/>
      <c r="Z62" s="142"/>
      <c r="AA62" s="142"/>
      <c r="AB62" s="114"/>
      <c r="AC62" s="114"/>
      <c r="AD62" s="114"/>
      <c r="AE62" s="114"/>
      <c r="AF62" s="114"/>
    </row>
    <row r="63" spans="1:32" ht="15">
      <c r="A63" s="105" t="s">
        <v>10</v>
      </c>
      <c r="C63" s="24">
        <f>SUM(C32:C61)</f>
        <v>7147055.129999999</v>
      </c>
      <c r="D63" s="150">
        <f aca="true" t="shared" si="6" ref="D63:AA63">SUM(D32:D62)</f>
        <v>7367639.19</v>
      </c>
      <c r="E63" s="150">
        <f t="shared" si="6"/>
        <v>7032122.28</v>
      </c>
      <c r="F63" s="150">
        <f t="shared" si="6"/>
        <v>7318473.32</v>
      </c>
      <c r="G63" s="150">
        <f t="shared" si="6"/>
        <v>6970003.66</v>
      </c>
      <c r="H63" s="150">
        <f t="shared" si="6"/>
        <v>6526920.22</v>
      </c>
      <c r="I63" s="150">
        <f t="shared" si="6"/>
        <v>6615388.890000001</v>
      </c>
      <c r="J63" s="150">
        <f t="shared" si="6"/>
        <v>6742784.550000001</v>
      </c>
      <c r="K63" s="150">
        <f t="shared" si="6"/>
        <v>6634511.3100000005</v>
      </c>
      <c r="L63" s="150">
        <f t="shared" si="6"/>
        <v>6426568.869999999</v>
      </c>
      <c r="M63" s="150">
        <f t="shared" si="6"/>
        <v>5891287.7</v>
      </c>
      <c r="N63" s="150">
        <f t="shared" si="6"/>
        <v>5838007.940000001</v>
      </c>
      <c r="O63" s="150">
        <f t="shared" si="6"/>
        <v>5119148.859999999</v>
      </c>
      <c r="P63" s="150">
        <f t="shared" si="6"/>
        <v>0</v>
      </c>
      <c r="Q63" s="150">
        <f t="shared" si="6"/>
        <v>0</v>
      </c>
      <c r="R63" s="150">
        <f t="shared" si="6"/>
        <v>0</v>
      </c>
      <c r="S63" s="150">
        <f t="shared" si="6"/>
        <v>0</v>
      </c>
      <c r="T63" s="150">
        <f t="shared" si="6"/>
        <v>0</v>
      </c>
      <c r="U63" s="150">
        <f t="shared" si="6"/>
        <v>0</v>
      </c>
      <c r="V63" s="150">
        <f t="shared" si="6"/>
        <v>0</v>
      </c>
      <c r="W63" s="150">
        <f t="shared" si="6"/>
        <v>0</v>
      </c>
      <c r="X63" s="150">
        <f t="shared" si="6"/>
        <v>0</v>
      </c>
      <c r="Y63" s="150">
        <f t="shared" si="6"/>
        <v>0</v>
      </c>
      <c r="Z63" s="150">
        <f t="shared" si="6"/>
        <v>0</v>
      </c>
      <c r="AA63" s="150">
        <f t="shared" si="6"/>
        <v>0</v>
      </c>
      <c r="AB63" s="114"/>
      <c r="AC63" s="114"/>
      <c r="AD63" s="114"/>
      <c r="AE63" s="114"/>
      <c r="AF63" s="114"/>
    </row>
    <row r="64" spans="4:41" ht="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4"/>
      <c r="AC64" s="114"/>
      <c r="AD64" s="114"/>
      <c r="AE64" s="114"/>
      <c r="AF64" s="114"/>
      <c r="AG64" s="116"/>
      <c r="AH64" s="116"/>
      <c r="AI64" s="116"/>
      <c r="AJ64" s="116"/>
      <c r="AK64" s="116"/>
      <c r="AL64" s="116"/>
      <c r="AM64" s="116"/>
      <c r="AN64" s="116"/>
      <c r="AO64" s="116"/>
    </row>
    <row r="65" spans="1:41" ht="15">
      <c r="A65" s="100" t="s">
        <v>6</v>
      </c>
      <c r="C65" s="97">
        <f aca="true" t="shared" si="7" ref="C65:W65">C26-C63</f>
        <v>0</v>
      </c>
      <c r="D65" s="141">
        <f t="shared" si="7"/>
        <v>0</v>
      </c>
      <c r="E65" s="141">
        <f t="shared" si="7"/>
        <v>0</v>
      </c>
      <c r="F65" s="141">
        <f t="shared" si="7"/>
        <v>0</v>
      </c>
      <c r="G65" s="141">
        <f t="shared" si="7"/>
        <v>0</v>
      </c>
      <c r="H65" s="141">
        <f t="shared" si="7"/>
        <v>0</v>
      </c>
      <c r="I65" s="141">
        <f t="shared" si="7"/>
        <v>0</v>
      </c>
      <c r="J65" s="141">
        <f t="shared" si="7"/>
        <v>0</v>
      </c>
      <c r="K65" s="141">
        <f t="shared" si="7"/>
        <v>0</v>
      </c>
      <c r="L65" s="141">
        <f t="shared" si="7"/>
        <v>0</v>
      </c>
      <c r="M65" s="141">
        <f t="shared" si="7"/>
        <v>0</v>
      </c>
      <c r="N65" s="141">
        <f t="shared" si="7"/>
        <v>0</v>
      </c>
      <c r="O65" s="141">
        <f t="shared" si="7"/>
        <v>0</v>
      </c>
      <c r="P65" s="141">
        <f t="shared" si="7"/>
        <v>5119148.860000005</v>
      </c>
      <c r="Q65" s="141">
        <f t="shared" si="7"/>
        <v>5119148.860000005</v>
      </c>
      <c r="R65" s="141">
        <f t="shared" si="7"/>
        <v>5119148.860000005</v>
      </c>
      <c r="S65" s="141">
        <f t="shared" si="7"/>
        <v>5119148.860000005</v>
      </c>
      <c r="T65" s="141">
        <f t="shared" si="7"/>
        <v>5119148.860000005</v>
      </c>
      <c r="U65" s="141">
        <f t="shared" si="7"/>
        <v>5119148.860000005</v>
      </c>
      <c r="V65" s="141">
        <f t="shared" si="7"/>
        <v>5119148.860000005</v>
      </c>
      <c r="W65" s="141">
        <f t="shared" si="7"/>
        <v>5119148.860000005</v>
      </c>
      <c r="X65" s="141">
        <f>X26-X29-X63</f>
        <v>5119148.860000005</v>
      </c>
      <c r="Y65" s="141">
        <f>Y26-Y29-Y63</f>
        <v>5119148.860000005</v>
      </c>
      <c r="Z65" s="141">
        <f>Z26-Z29-Z63</f>
        <v>5119148.860000005</v>
      </c>
      <c r="AA65" s="141">
        <f>AA26-AA29-AA63</f>
        <v>5119148.860000005</v>
      </c>
      <c r="AB65" s="114"/>
      <c r="AC65" s="114"/>
      <c r="AD65" s="114"/>
      <c r="AE65" s="114"/>
      <c r="AF65" s="114"/>
      <c r="AG65" s="116"/>
      <c r="AH65" s="116"/>
      <c r="AI65" s="116"/>
      <c r="AJ65" s="116"/>
      <c r="AK65" s="116"/>
      <c r="AL65" s="116"/>
      <c r="AM65" s="116"/>
      <c r="AN65" s="116"/>
      <c r="AO65" s="116"/>
    </row>
    <row r="66" spans="4:41" ht="15">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C66" s="114"/>
      <c r="AD66" s="114"/>
      <c r="AE66" s="114"/>
      <c r="AF66" s="114"/>
      <c r="AG66" s="116"/>
      <c r="AH66" s="116"/>
      <c r="AI66" s="116"/>
      <c r="AJ66" s="116"/>
      <c r="AK66" s="116"/>
      <c r="AL66" s="116"/>
      <c r="AM66" s="116"/>
      <c r="AN66" s="116"/>
      <c r="AO66" s="116"/>
    </row>
    <row r="67" spans="1:32" ht="15">
      <c r="A67" s="100" t="s">
        <v>67</v>
      </c>
      <c r="D67" s="139">
        <f aca="true" t="shared" si="8" ref="D67:AA67">D26-D63</f>
        <v>0</v>
      </c>
      <c r="E67" s="139">
        <f t="shared" si="8"/>
        <v>0</v>
      </c>
      <c r="F67" s="139">
        <f t="shared" si="8"/>
        <v>0</v>
      </c>
      <c r="G67" s="139">
        <f t="shared" si="8"/>
        <v>0</v>
      </c>
      <c r="H67" s="139">
        <f t="shared" si="8"/>
        <v>0</v>
      </c>
      <c r="I67" s="139">
        <f t="shared" si="8"/>
        <v>0</v>
      </c>
      <c r="J67" s="139">
        <f t="shared" si="8"/>
        <v>0</v>
      </c>
      <c r="K67" s="139">
        <f t="shared" si="8"/>
        <v>0</v>
      </c>
      <c r="L67" s="139">
        <f t="shared" si="8"/>
        <v>0</v>
      </c>
      <c r="M67" s="139">
        <f t="shared" si="8"/>
        <v>0</v>
      </c>
      <c r="N67" s="139">
        <f t="shared" si="8"/>
        <v>0</v>
      </c>
      <c r="O67" s="139">
        <f t="shared" si="8"/>
        <v>0</v>
      </c>
      <c r="P67" s="139">
        <f t="shared" si="8"/>
        <v>5119148.860000005</v>
      </c>
      <c r="Q67" s="139">
        <f t="shared" si="8"/>
        <v>5119148.860000005</v>
      </c>
      <c r="R67" s="139">
        <f t="shared" si="8"/>
        <v>5119148.860000005</v>
      </c>
      <c r="S67" s="139">
        <f t="shared" si="8"/>
        <v>5119148.860000005</v>
      </c>
      <c r="T67" s="139">
        <f t="shared" si="8"/>
        <v>5119148.860000005</v>
      </c>
      <c r="U67" s="139">
        <f t="shared" si="8"/>
        <v>5119148.860000005</v>
      </c>
      <c r="V67" s="139">
        <f t="shared" si="8"/>
        <v>5119148.860000005</v>
      </c>
      <c r="W67" s="139">
        <f t="shared" si="8"/>
        <v>5119148.860000005</v>
      </c>
      <c r="X67" s="139">
        <f t="shared" si="8"/>
        <v>5119148.860000005</v>
      </c>
      <c r="Y67" s="139">
        <f t="shared" si="8"/>
        <v>5119148.860000005</v>
      </c>
      <c r="Z67" s="139">
        <f t="shared" si="8"/>
        <v>5119148.860000005</v>
      </c>
      <c r="AA67" s="139">
        <f t="shared" si="8"/>
        <v>5119148.860000005</v>
      </c>
      <c r="AC67" s="114"/>
      <c r="AD67" s="114"/>
      <c r="AE67" s="114"/>
      <c r="AF67" s="114"/>
    </row>
    <row r="68" spans="1:32" ht="15">
      <c r="A68" s="100" t="s">
        <v>16</v>
      </c>
      <c r="AC68" s="114"/>
      <c r="AD68" s="114"/>
      <c r="AE68" s="114"/>
      <c r="AF68" s="114"/>
    </row>
    <row r="69" spans="29:32" ht="15">
      <c r="AC69" s="114"/>
      <c r="AD69" s="114"/>
      <c r="AE69" s="114"/>
      <c r="AF69" s="114"/>
    </row>
    <row r="70" spans="29:32" ht="15">
      <c r="AC70" s="114"/>
      <c r="AD70" s="114"/>
      <c r="AE70" s="114"/>
      <c r="AF70" s="114"/>
    </row>
    <row r="71" spans="29:32" ht="15">
      <c r="AC71" s="114"/>
      <c r="AD71" s="114"/>
      <c r="AE71" s="114"/>
      <c r="AF71" s="114"/>
    </row>
    <row r="72" spans="29:32" ht="15">
      <c r="AC72" s="114"/>
      <c r="AD72" s="114"/>
      <c r="AE72" s="114"/>
      <c r="AF72" s="114"/>
    </row>
    <row r="73" spans="29:32" ht="15">
      <c r="AC73" s="114"/>
      <c r="AD73" s="114"/>
      <c r="AE73" s="114"/>
      <c r="AF73" s="114"/>
    </row>
  </sheetData>
  <sheetProtection/>
  <mergeCells count="2">
    <mergeCell ref="D2:O2"/>
    <mergeCell ref="P2:AA2"/>
  </mergeCells>
  <printOptions/>
  <pageMargins left="0" right="0" top="0.5" bottom="0.5" header="0" footer="0"/>
  <pageSetup fitToWidth="2" horizontalDpi="600" verticalDpi="600" orientation="landscape" paperSize="5" scale="70" r:id="rId1"/>
  <headerFooter alignWithMargins="0">
    <oddFooter>&amp;L&amp;Z&amp;F</oddFooter>
  </headerFooter>
  <colBreaks count="1" manualBreakCount="1">
    <brk id="16" max="57" man="1"/>
  </colBreaks>
  <ignoredErrors>
    <ignoredError sqref="AC4 AC14:AE26 C18:F26 C63:H67 G18:G19 G24:G26 H19:K19 H25:K25 P22:W22 P23:W23 AC8 AC6:AC7 AC5 AC13 AC9 AC10 AC11 AC12 I63:K67 H26:K26 M26:W26 H24:K24 M24 H18:K18 M18 M19:N19 M25:W25 L25 L19 L17:L18 L20:L24 L26 AE13 AE12 AE11 AE10 AE9 AD4 P20:W20 P21:W21 O18:W18 O24:W24 O19:W19 N16:N18 N20:N24 N65:N67 L65:M67 L62:O64 O65:O67 AE8 X18:AA26 AE6:AE7 AE5 AD6:AD7 AD5 AD9:AD13" unlockedFormula="1"/>
    <ignoredError sqref="AD8" formulaRange="1" unlockedFormula="1"/>
  </ignoredErrors>
</worksheet>
</file>

<file path=xl/worksheets/sheet5.xml><?xml version="1.0" encoding="utf-8"?>
<worksheet xmlns="http://schemas.openxmlformats.org/spreadsheetml/2006/main" xmlns:r="http://schemas.openxmlformats.org/officeDocument/2006/relationships">
  <dimension ref="A1:W182"/>
  <sheetViews>
    <sheetView zoomScalePageLayoutView="0" workbookViewId="0" topLeftCell="A130">
      <selection activeCell="P1" sqref="P1"/>
    </sheetView>
  </sheetViews>
  <sheetFormatPr defaultColWidth="9.33203125" defaultRowHeight="10.5"/>
  <cols>
    <col min="1" max="1" width="10.83203125" style="0" bestFit="1" customWidth="1"/>
    <col min="2" max="2" width="3.66015625" style="0" customWidth="1"/>
    <col min="3" max="3" width="4.16015625" style="0" customWidth="1"/>
    <col min="5" max="5" width="5.16015625" style="0" customWidth="1"/>
    <col min="6" max="6" width="3" style="0" customWidth="1"/>
    <col min="7" max="7" width="4.83203125" style="0" customWidth="1"/>
    <col min="9" max="9" width="4" style="0" customWidth="1"/>
    <col min="10" max="10" width="3.16015625" style="0" customWidth="1"/>
    <col min="11" max="12" width="2.66015625" style="0" customWidth="1"/>
    <col min="14" max="14" width="3.5" style="0" customWidth="1"/>
    <col min="16" max="16" width="11.66015625" style="0" bestFit="1" customWidth="1"/>
    <col min="17" max="17" width="7.5" style="0" customWidth="1"/>
    <col min="19" max="19" width="3.66015625" style="0" customWidth="1"/>
    <col min="20" max="20" width="12.16015625" style="0" bestFit="1" customWidth="1"/>
    <col min="21" max="21" width="10.66015625" style="0" bestFit="1" customWidth="1"/>
    <col min="23" max="23" width="9.66015625" style="0" bestFit="1" customWidth="1"/>
  </cols>
  <sheetData>
    <row r="1" ht="10.5">
      <c r="A1" s="499">
        <v>43281</v>
      </c>
    </row>
    <row r="2" spans="1:18" ht="12">
      <c r="A2" s="544" t="s">
        <v>211</v>
      </c>
      <c r="B2" s="544"/>
      <c r="C2" s="545" t="s">
        <v>478</v>
      </c>
      <c r="D2" s="545"/>
      <c r="E2" s="545"/>
      <c r="F2" s="545"/>
      <c r="G2" s="545"/>
      <c r="H2" s="545"/>
      <c r="I2" s="545"/>
      <c r="J2" s="545"/>
      <c r="K2" s="545"/>
      <c r="L2" s="240"/>
      <c r="M2" s="240"/>
      <c r="N2" s="240"/>
      <c r="O2" s="240"/>
      <c r="P2" s="240"/>
      <c r="Q2" s="240"/>
      <c r="R2" s="240"/>
    </row>
    <row r="3" spans="1:18" ht="10.5" customHeight="1">
      <c r="A3" s="544"/>
      <c r="B3" s="544"/>
      <c r="C3" s="240"/>
      <c r="D3" s="240"/>
      <c r="E3" s="240"/>
      <c r="F3" s="240"/>
      <c r="G3" s="240"/>
      <c r="H3" s="240"/>
      <c r="I3" s="240"/>
      <c r="J3" s="240"/>
      <c r="K3" s="240"/>
      <c r="L3" s="240"/>
      <c r="M3" s="240"/>
      <c r="N3" s="240"/>
      <c r="O3" s="240"/>
      <c r="P3" s="240"/>
      <c r="Q3" s="240"/>
      <c r="R3" s="240"/>
    </row>
    <row r="4" spans="1:18" ht="12">
      <c r="A4" s="240"/>
      <c r="B4" s="544" t="s">
        <v>213</v>
      </c>
      <c r="C4" s="544"/>
      <c r="D4" s="545" t="s">
        <v>214</v>
      </c>
      <c r="E4" s="545"/>
      <c r="F4" s="545"/>
      <c r="G4" s="545"/>
      <c r="H4" s="545"/>
      <c r="I4" s="545"/>
      <c r="J4" s="545"/>
      <c r="K4" s="545"/>
      <c r="L4" s="545"/>
      <c r="M4" s="545"/>
      <c r="N4" s="240"/>
      <c r="O4" s="240"/>
      <c r="P4" s="240"/>
      <c r="Q4" s="240"/>
      <c r="R4" s="240"/>
    </row>
    <row r="5" spans="1:18" ht="12">
      <c r="A5" s="544" t="s">
        <v>215</v>
      </c>
      <c r="B5" s="544"/>
      <c r="C5" s="240"/>
      <c r="D5" s="240"/>
      <c r="E5" s="546" t="s">
        <v>216</v>
      </c>
      <c r="F5" s="546"/>
      <c r="G5" s="546"/>
      <c r="H5" s="546"/>
      <c r="I5" s="546"/>
      <c r="J5" s="547" t="s">
        <v>5</v>
      </c>
      <c r="K5" s="547"/>
      <c r="L5" s="547"/>
      <c r="M5" s="547"/>
      <c r="N5" s="547" t="s">
        <v>217</v>
      </c>
      <c r="O5" s="547"/>
      <c r="P5" s="551" t="s">
        <v>521</v>
      </c>
      <c r="Q5" s="551"/>
      <c r="R5" s="240"/>
    </row>
    <row r="6" spans="1:21" ht="12">
      <c r="A6" s="544"/>
      <c r="B6" s="544"/>
      <c r="C6" s="240"/>
      <c r="D6" s="240"/>
      <c r="E6" s="546"/>
      <c r="F6" s="546"/>
      <c r="G6" s="546"/>
      <c r="H6" s="546"/>
      <c r="I6" s="546"/>
      <c r="J6" s="551" t="s">
        <v>223</v>
      </c>
      <c r="K6" s="551"/>
      <c r="L6" s="551"/>
      <c r="M6" s="551"/>
      <c r="N6" s="551" t="s">
        <v>224</v>
      </c>
      <c r="O6" s="551"/>
      <c r="P6" s="551"/>
      <c r="Q6" s="551"/>
      <c r="R6" s="240"/>
      <c r="T6" s="498" t="s">
        <v>419</v>
      </c>
      <c r="U6" s="498" t="s">
        <v>420</v>
      </c>
    </row>
    <row r="7" spans="1:21" ht="12">
      <c r="A7" s="548" t="s">
        <v>25</v>
      </c>
      <c r="B7" s="548"/>
      <c r="C7" s="548"/>
      <c r="D7" s="548" t="s">
        <v>463</v>
      </c>
      <c r="E7" s="548"/>
      <c r="F7" s="548"/>
      <c r="G7" s="517" t="s">
        <v>226</v>
      </c>
      <c r="H7" s="548" t="s">
        <v>464</v>
      </c>
      <c r="I7" s="548"/>
      <c r="J7" s="549">
        <v>7614</v>
      </c>
      <c r="K7" s="549"/>
      <c r="L7" s="549"/>
      <c r="M7" s="549"/>
      <c r="N7" s="549">
        <v>7614</v>
      </c>
      <c r="O7" s="549"/>
      <c r="P7" s="550">
        <v>0</v>
      </c>
      <c r="Q7" s="550"/>
      <c r="R7" s="550"/>
      <c r="T7" s="168">
        <v>7614</v>
      </c>
      <c r="U7" s="168">
        <f>N7-T7</f>
        <v>0</v>
      </c>
    </row>
    <row r="8" spans="1:21" ht="12">
      <c r="A8" s="548" t="s">
        <v>26</v>
      </c>
      <c r="B8" s="548"/>
      <c r="C8" s="548"/>
      <c r="D8" s="548" t="s">
        <v>463</v>
      </c>
      <c r="E8" s="548"/>
      <c r="F8" s="548"/>
      <c r="G8" s="517" t="s">
        <v>226</v>
      </c>
      <c r="H8" s="548" t="s">
        <v>464</v>
      </c>
      <c r="I8" s="548"/>
      <c r="J8" s="549">
        <v>5161.71</v>
      </c>
      <c r="K8" s="549"/>
      <c r="L8" s="549"/>
      <c r="M8" s="549"/>
      <c r="N8" s="549">
        <v>808.3</v>
      </c>
      <c r="O8" s="549"/>
      <c r="P8" s="550">
        <v>4353.41</v>
      </c>
      <c r="Q8" s="550"/>
      <c r="R8" s="550"/>
      <c r="T8" s="168">
        <v>808.3</v>
      </c>
      <c r="U8" s="168">
        <f aca="true" t="shared" si="0" ref="U8:U15">N8-T8</f>
        <v>0</v>
      </c>
    </row>
    <row r="9" spans="1:21" ht="12">
      <c r="A9" s="548" t="s">
        <v>27</v>
      </c>
      <c r="B9" s="548"/>
      <c r="C9" s="548"/>
      <c r="D9" s="548" t="s">
        <v>463</v>
      </c>
      <c r="E9" s="548"/>
      <c r="F9" s="548"/>
      <c r="G9" s="517" t="s">
        <v>226</v>
      </c>
      <c r="H9" s="548" t="s">
        <v>464</v>
      </c>
      <c r="I9" s="548"/>
      <c r="J9" s="549">
        <v>3411</v>
      </c>
      <c r="K9" s="549"/>
      <c r="L9" s="549"/>
      <c r="M9" s="549"/>
      <c r="N9" s="549">
        <v>1107</v>
      </c>
      <c r="O9" s="549"/>
      <c r="P9" s="550">
        <v>2304</v>
      </c>
      <c r="Q9" s="550"/>
      <c r="R9" s="550"/>
      <c r="T9" s="168">
        <v>1107</v>
      </c>
      <c r="U9" s="168">
        <f t="shared" si="0"/>
        <v>0</v>
      </c>
    </row>
    <row r="10" spans="1:21" ht="12">
      <c r="A10" s="548" t="s">
        <v>349</v>
      </c>
      <c r="B10" s="548"/>
      <c r="C10" s="548"/>
      <c r="D10" s="548" t="s">
        <v>463</v>
      </c>
      <c r="E10" s="548"/>
      <c r="F10" s="548"/>
      <c r="G10" s="517" t="s">
        <v>226</v>
      </c>
      <c r="H10" s="548" t="s">
        <v>464</v>
      </c>
      <c r="I10" s="548"/>
      <c r="J10" s="549">
        <v>125</v>
      </c>
      <c r="K10" s="549"/>
      <c r="L10" s="549"/>
      <c r="M10" s="549"/>
      <c r="N10" s="549">
        <v>85</v>
      </c>
      <c r="O10" s="549"/>
      <c r="P10" s="550">
        <v>40</v>
      </c>
      <c r="Q10" s="550"/>
      <c r="R10" s="550"/>
      <c r="T10" s="168">
        <v>85</v>
      </c>
      <c r="U10" s="168">
        <f t="shared" si="0"/>
        <v>0</v>
      </c>
    </row>
    <row r="11" spans="1:21" ht="12">
      <c r="A11" s="548" t="s">
        <v>29</v>
      </c>
      <c r="B11" s="548"/>
      <c r="C11" s="548"/>
      <c r="D11" s="548" t="s">
        <v>463</v>
      </c>
      <c r="E11" s="548"/>
      <c r="F11" s="548"/>
      <c r="G11" s="517" t="s">
        <v>226</v>
      </c>
      <c r="H11" s="548" t="s">
        <v>464</v>
      </c>
      <c r="I11" s="548"/>
      <c r="J11" s="549">
        <v>5699</v>
      </c>
      <c r="K11" s="549"/>
      <c r="L11" s="549"/>
      <c r="M11" s="549"/>
      <c r="N11" s="549">
        <v>0</v>
      </c>
      <c r="O11" s="549"/>
      <c r="P11" s="550">
        <v>5699</v>
      </c>
      <c r="Q11" s="550"/>
      <c r="R11" s="550"/>
      <c r="T11" s="168"/>
      <c r="U11" s="168">
        <f t="shared" si="0"/>
        <v>0</v>
      </c>
    </row>
    <row r="12" spans="1:21" ht="12">
      <c r="A12" s="548" t="s">
        <v>32</v>
      </c>
      <c r="B12" s="548"/>
      <c r="C12" s="548"/>
      <c r="D12" s="548" t="s">
        <v>463</v>
      </c>
      <c r="E12" s="548"/>
      <c r="F12" s="548"/>
      <c r="G12" s="517" t="s">
        <v>226</v>
      </c>
      <c r="H12" s="548" t="s">
        <v>464</v>
      </c>
      <c r="I12" s="548"/>
      <c r="J12" s="549">
        <v>930.05</v>
      </c>
      <c r="K12" s="549"/>
      <c r="L12" s="549"/>
      <c r="M12" s="549"/>
      <c r="N12" s="549">
        <v>0</v>
      </c>
      <c r="O12" s="549"/>
      <c r="P12" s="550">
        <v>930.05</v>
      </c>
      <c r="Q12" s="550"/>
      <c r="R12" s="550"/>
      <c r="T12" s="168"/>
      <c r="U12" s="168">
        <f t="shared" si="0"/>
        <v>0</v>
      </c>
    </row>
    <row r="13" spans="1:21" ht="12">
      <c r="A13" s="548" t="s">
        <v>33</v>
      </c>
      <c r="B13" s="548"/>
      <c r="C13" s="548"/>
      <c r="D13" s="548" t="s">
        <v>463</v>
      </c>
      <c r="E13" s="548"/>
      <c r="F13" s="548"/>
      <c r="G13" s="517" t="s">
        <v>226</v>
      </c>
      <c r="H13" s="548" t="s">
        <v>464</v>
      </c>
      <c r="I13" s="548"/>
      <c r="J13" s="549">
        <v>3165</v>
      </c>
      <c r="K13" s="549"/>
      <c r="L13" s="549"/>
      <c r="M13" s="549"/>
      <c r="N13" s="549">
        <v>2717</v>
      </c>
      <c r="O13" s="549"/>
      <c r="P13" s="550">
        <v>448</v>
      </c>
      <c r="Q13" s="550"/>
      <c r="R13" s="550"/>
      <c r="T13" s="168">
        <v>2717</v>
      </c>
      <c r="U13" s="168">
        <f t="shared" si="0"/>
        <v>0</v>
      </c>
    </row>
    <row r="14" spans="1:21" ht="12">
      <c r="A14" s="548" t="s">
        <v>34</v>
      </c>
      <c r="B14" s="548"/>
      <c r="C14" s="548"/>
      <c r="D14" s="548" t="s">
        <v>463</v>
      </c>
      <c r="E14" s="548"/>
      <c r="F14" s="548"/>
      <c r="G14" s="517" t="s">
        <v>226</v>
      </c>
      <c r="H14" s="548" t="s">
        <v>464</v>
      </c>
      <c r="I14" s="548"/>
      <c r="J14" s="549">
        <v>4865</v>
      </c>
      <c r="K14" s="549"/>
      <c r="L14" s="549"/>
      <c r="M14" s="549"/>
      <c r="N14" s="549">
        <v>392</v>
      </c>
      <c r="O14" s="549"/>
      <c r="P14" s="550">
        <v>4473</v>
      </c>
      <c r="Q14" s="550"/>
      <c r="R14" s="550"/>
      <c r="T14" s="168">
        <v>392</v>
      </c>
      <c r="U14" s="168">
        <f t="shared" si="0"/>
        <v>0</v>
      </c>
    </row>
    <row r="15" spans="1:21" ht="12">
      <c r="A15" s="548" t="s">
        <v>35</v>
      </c>
      <c r="B15" s="548"/>
      <c r="C15" s="548"/>
      <c r="D15" s="548" t="s">
        <v>463</v>
      </c>
      <c r="E15" s="548"/>
      <c r="F15" s="548"/>
      <c r="G15" s="517" t="s">
        <v>226</v>
      </c>
      <c r="H15" s="548" t="s">
        <v>464</v>
      </c>
      <c r="I15" s="548"/>
      <c r="J15" s="549">
        <v>1500</v>
      </c>
      <c r="K15" s="549"/>
      <c r="L15" s="549"/>
      <c r="M15" s="549"/>
      <c r="N15" s="549">
        <v>264</v>
      </c>
      <c r="O15" s="549"/>
      <c r="P15" s="550">
        <v>1236</v>
      </c>
      <c r="Q15" s="550"/>
      <c r="R15" s="550"/>
      <c r="T15" s="168">
        <v>264</v>
      </c>
      <c r="U15" s="168">
        <f t="shared" si="0"/>
        <v>0</v>
      </c>
    </row>
    <row r="16" spans="1:21" ht="10.5">
      <c r="A16" s="245"/>
      <c r="B16" s="245"/>
      <c r="C16" s="245"/>
      <c r="D16" s="245"/>
      <c r="E16" s="245"/>
      <c r="F16" s="245"/>
      <c r="G16" s="245"/>
      <c r="H16" s="245"/>
      <c r="I16" s="245"/>
      <c r="J16" s="245"/>
      <c r="K16" s="245"/>
      <c r="L16" s="245"/>
      <c r="M16" s="245"/>
      <c r="N16" s="245"/>
      <c r="O16" s="245"/>
      <c r="P16" s="245"/>
      <c r="Q16" s="245"/>
      <c r="R16" s="245"/>
      <c r="T16" s="168"/>
      <c r="U16" s="168"/>
    </row>
    <row r="17" spans="1:21" ht="11.25">
      <c r="A17" s="240"/>
      <c r="B17" s="240"/>
      <c r="C17" s="240"/>
      <c r="D17" s="240"/>
      <c r="E17" s="240"/>
      <c r="F17" s="240"/>
      <c r="G17" s="240"/>
      <c r="H17" s="240"/>
      <c r="I17" s="240"/>
      <c r="J17" s="552">
        <v>32470.76</v>
      </c>
      <c r="K17" s="552"/>
      <c r="L17" s="552"/>
      <c r="M17" s="552"/>
      <c r="N17" s="552">
        <v>12987.3</v>
      </c>
      <c r="O17" s="552"/>
      <c r="P17" s="528">
        <v>19483.46</v>
      </c>
      <c r="Q17" s="528"/>
      <c r="R17" s="528"/>
      <c r="T17" s="168">
        <f>SUM(T7:T15)</f>
        <v>12987.3</v>
      </c>
      <c r="U17" s="168">
        <f>SUM(U7:U15)</f>
        <v>0</v>
      </c>
    </row>
    <row r="18" spans="1:18" ht="12">
      <c r="A18" s="240"/>
      <c r="B18" s="544" t="s">
        <v>213</v>
      </c>
      <c r="C18" s="544"/>
      <c r="D18" s="545" t="s">
        <v>228</v>
      </c>
      <c r="E18" s="545"/>
      <c r="F18" s="545"/>
      <c r="G18" s="545"/>
      <c r="H18" s="545"/>
      <c r="I18" s="545"/>
      <c r="J18" s="545"/>
      <c r="K18" s="545"/>
      <c r="L18" s="545"/>
      <c r="M18" s="545"/>
      <c r="N18" s="240"/>
      <c r="O18" s="240"/>
      <c r="P18" s="240"/>
      <c r="Q18" s="240"/>
      <c r="R18" s="240"/>
    </row>
    <row r="19" spans="1:18" ht="12">
      <c r="A19" s="544" t="s">
        <v>215</v>
      </c>
      <c r="B19" s="544"/>
      <c r="C19" s="240"/>
      <c r="D19" s="240"/>
      <c r="E19" s="546" t="s">
        <v>216</v>
      </c>
      <c r="F19" s="546"/>
      <c r="G19" s="546"/>
      <c r="H19" s="546"/>
      <c r="I19" s="546"/>
      <c r="J19" s="547" t="s">
        <v>5</v>
      </c>
      <c r="K19" s="547"/>
      <c r="L19" s="547"/>
      <c r="M19" s="547"/>
      <c r="N19" s="547" t="s">
        <v>217</v>
      </c>
      <c r="O19" s="547"/>
      <c r="P19" s="551" t="s">
        <v>521</v>
      </c>
      <c r="Q19" s="551"/>
      <c r="R19" s="240"/>
    </row>
    <row r="20" spans="1:18" ht="12">
      <c r="A20" s="544"/>
      <c r="B20" s="544"/>
      <c r="C20" s="240"/>
      <c r="D20" s="240"/>
      <c r="E20" s="546"/>
      <c r="F20" s="546"/>
      <c r="G20" s="546"/>
      <c r="H20" s="546"/>
      <c r="I20" s="546"/>
      <c r="J20" s="551" t="s">
        <v>223</v>
      </c>
      <c r="K20" s="551"/>
      <c r="L20" s="551"/>
      <c r="M20" s="551"/>
      <c r="N20" s="551" t="s">
        <v>224</v>
      </c>
      <c r="O20" s="551"/>
      <c r="P20" s="551"/>
      <c r="Q20" s="551"/>
      <c r="R20" s="240"/>
    </row>
    <row r="21" spans="1:21" ht="12">
      <c r="A21" s="548" t="s">
        <v>25</v>
      </c>
      <c r="B21" s="548"/>
      <c r="C21" s="548"/>
      <c r="D21" s="548" t="s">
        <v>463</v>
      </c>
      <c r="E21" s="548"/>
      <c r="F21" s="548"/>
      <c r="G21" s="517" t="s">
        <v>226</v>
      </c>
      <c r="H21" s="548" t="s">
        <v>464</v>
      </c>
      <c r="I21" s="548"/>
      <c r="J21" s="549">
        <v>68526</v>
      </c>
      <c r="K21" s="549"/>
      <c r="L21" s="549"/>
      <c r="M21" s="549"/>
      <c r="N21" s="549">
        <v>45270.15</v>
      </c>
      <c r="O21" s="549"/>
      <c r="P21" s="550">
        <v>23255.85</v>
      </c>
      <c r="Q21" s="550"/>
      <c r="R21" s="550"/>
      <c r="T21" s="168">
        <v>45270.15</v>
      </c>
      <c r="U21" s="168">
        <f>N21-T21</f>
        <v>0</v>
      </c>
    </row>
    <row r="22" spans="1:21" ht="12">
      <c r="A22" s="548" t="s">
        <v>26</v>
      </c>
      <c r="B22" s="548"/>
      <c r="C22" s="548"/>
      <c r="D22" s="548" t="s">
        <v>463</v>
      </c>
      <c r="E22" s="548"/>
      <c r="F22" s="548"/>
      <c r="G22" s="517" t="s">
        <v>226</v>
      </c>
      <c r="H22" s="548" t="s">
        <v>464</v>
      </c>
      <c r="I22" s="548"/>
      <c r="J22" s="549">
        <v>47650.58</v>
      </c>
      <c r="K22" s="549"/>
      <c r="L22" s="549"/>
      <c r="M22" s="549"/>
      <c r="N22" s="549">
        <v>17571.57</v>
      </c>
      <c r="O22" s="549"/>
      <c r="P22" s="550">
        <v>30079.01</v>
      </c>
      <c r="Q22" s="550"/>
      <c r="R22" s="550"/>
      <c r="T22" s="168">
        <v>17571.57</v>
      </c>
      <c r="U22" s="168">
        <f aca="true" t="shared" si="1" ref="U22:U31">N22-T22</f>
        <v>0</v>
      </c>
    </row>
    <row r="23" spans="1:21" ht="12">
      <c r="A23" s="548" t="s">
        <v>27</v>
      </c>
      <c r="B23" s="548"/>
      <c r="C23" s="548"/>
      <c r="D23" s="548" t="s">
        <v>463</v>
      </c>
      <c r="E23" s="548"/>
      <c r="F23" s="548"/>
      <c r="G23" s="517" t="s">
        <v>226</v>
      </c>
      <c r="H23" s="548" t="s">
        <v>464</v>
      </c>
      <c r="I23" s="548"/>
      <c r="J23" s="549">
        <v>30695</v>
      </c>
      <c r="K23" s="549"/>
      <c r="L23" s="549"/>
      <c r="M23" s="549"/>
      <c r="N23" s="549">
        <v>15698.47</v>
      </c>
      <c r="O23" s="549"/>
      <c r="P23" s="550">
        <v>14996.53</v>
      </c>
      <c r="Q23" s="550"/>
      <c r="R23" s="550"/>
      <c r="T23" s="168">
        <v>15698.47</v>
      </c>
      <c r="U23" s="168">
        <f t="shared" si="1"/>
        <v>0</v>
      </c>
    </row>
    <row r="24" spans="1:21" ht="12">
      <c r="A24" s="548" t="s">
        <v>349</v>
      </c>
      <c r="B24" s="548"/>
      <c r="C24" s="548"/>
      <c r="D24" s="548" t="s">
        <v>463</v>
      </c>
      <c r="E24" s="548"/>
      <c r="F24" s="548"/>
      <c r="G24" s="517" t="s">
        <v>226</v>
      </c>
      <c r="H24" s="548" t="s">
        <v>464</v>
      </c>
      <c r="I24" s="548"/>
      <c r="J24" s="549">
        <v>1125</v>
      </c>
      <c r="K24" s="549"/>
      <c r="L24" s="549"/>
      <c r="M24" s="549"/>
      <c r="N24" s="549">
        <v>881</v>
      </c>
      <c r="O24" s="549"/>
      <c r="P24" s="550">
        <v>244</v>
      </c>
      <c r="Q24" s="550"/>
      <c r="R24" s="550"/>
      <c r="T24" s="168">
        <v>881</v>
      </c>
      <c r="U24" s="168">
        <f t="shared" si="1"/>
        <v>0</v>
      </c>
    </row>
    <row r="25" spans="1:21" ht="12">
      <c r="A25" s="548" t="s">
        <v>29</v>
      </c>
      <c r="B25" s="548"/>
      <c r="C25" s="548"/>
      <c r="D25" s="548" t="s">
        <v>463</v>
      </c>
      <c r="E25" s="548"/>
      <c r="F25" s="548"/>
      <c r="G25" s="517" t="s">
        <v>226</v>
      </c>
      <c r="H25" s="548" t="s">
        <v>464</v>
      </c>
      <c r="I25" s="548"/>
      <c r="J25" s="549">
        <v>51287</v>
      </c>
      <c r="K25" s="549"/>
      <c r="L25" s="549"/>
      <c r="M25" s="549"/>
      <c r="N25" s="549">
        <v>6744</v>
      </c>
      <c r="O25" s="549"/>
      <c r="P25" s="550">
        <v>44543</v>
      </c>
      <c r="Q25" s="550"/>
      <c r="R25" s="550"/>
      <c r="T25" s="168">
        <v>6744</v>
      </c>
      <c r="U25" s="168">
        <f t="shared" si="1"/>
        <v>0</v>
      </c>
    </row>
    <row r="26" spans="1:21" ht="12">
      <c r="A26" s="548" t="s">
        <v>30</v>
      </c>
      <c r="B26" s="548"/>
      <c r="C26" s="548"/>
      <c r="D26" s="548" t="s">
        <v>463</v>
      </c>
      <c r="E26" s="548"/>
      <c r="F26" s="548"/>
      <c r="G26" s="517" t="s">
        <v>226</v>
      </c>
      <c r="H26" s="548" t="s">
        <v>464</v>
      </c>
      <c r="I26" s="548"/>
      <c r="J26" s="549">
        <v>705</v>
      </c>
      <c r="K26" s="549"/>
      <c r="L26" s="549"/>
      <c r="M26" s="549"/>
      <c r="N26" s="549">
        <v>0</v>
      </c>
      <c r="O26" s="549"/>
      <c r="P26" s="550">
        <v>705</v>
      </c>
      <c r="Q26" s="550"/>
      <c r="R26" s="550"/>
      <c r="T26" s="168"/>
      <c r="U26" s="168">
        <f t="shared" si="1"/>
        <v>0</v>
      </c>
    </row>
    <row r="27" spans="1:21" ht="12">
      <c r="A27" s="548" t="s">
        <v>31</v>
      </c>
      <c r="B27" s="548"/>
      <c r="C27" s="548"/>
      <c r="D27" s="548" t="s">
        <v>463</v>
      </c>
      <c r="E27" s="548"/>
      <c r="F27" s="548"/>
      <c r="G27" s="517" t="s">
        <v>226</v>
      </c>
      <c r="H27" s="548" t="s">
        <v>464</v>
      </c>
      <c r="I27" s="548"/>
      <c r="J27" s="549">
        <v>14338</v>
      </c>
      <c r="K27" s="549"/>
      <c r="L27" s="549"/>
      <c r="M27" s="549"/>
      <c r="N27" s="549">
        <v>14338</v>
      </c>
      <c r="O27" s="549"/>
      <c r="P27" s="550">
        <v>0</v>
      </c>
      <c r="Q27" s="550"/>
      <c r="R27" s="550"/>
      <c r="T27" s="168">
        <v>14338</v>
      </c>
      <c r="U27" s="168">
        <f t="shared" si="1"/>
        <v>0</v>
      </c>
    </row>
    <row r="28" spans="1:21" ht="12">
      <c r="A28" s="548" t="s">
        <v>32</v>
      </c>
      <c r="B28" s="548"/>
      <c r="C28" s="548"/>
      <c r="D28" s="548" t="s">
        <v>463</v>
      </c>
      <c r="E28" s="548"/>
      <c r="F28" s="548"/>
      <c r="G28" s="517" t="s">
        <v>226</v>
      </c>
      <c r="H28" s="548" t="s">
        <v>464</v>
      </c>
      <c r="I28" s="548"/>
      <c r="J28" s="549">
        <v>7907</v>
      </c>
      <c r="K28" s="549"/>
      <c r="L28" s="549"/>
      <c r="M28" s="549"/>
      <c r="N28" s="549">
        <v>2053</v>
      </c>
      <c r="O28" s="549"/>
      <c r="P28" s="550">
        <v>5854</v>
      </c>
      <c r="Q28" s="550"/>
      <c r="R28" s="550"/>
      <c r="T28" s="168">
        <v>2053</v>
      </c>
      <c r="U28" s="168">
        <f t="shared" si="1"/>
        <v>0</v>
      </c>
    </row>
    <row r="29" spans="1:21" ht="12">
      <c r="A29" s="548" t="s">
        <v>33</v>
      </c>
      <c r="B29" s="548"/>
      <c r="C29" s="548"/>
      <c r="D29" s="548" t="s">
        <v>463</v>
      </c>
      <c r="E29" s="548"/>
      <c r="F29" s="548"/>
      <c r="G29" s="517" t="s">
        <v>226</v>
      </c>
      <c r="H29" s="548" t="s">
        <v>464</v>
      </c>
      <c r="I29" s="548"/>
      <c r="J29" s="549">
        <v>22981</v>
      </c>
      <c r="K29" s="549"/>
      <c r="L29" s="549"/>
      <c r="M29" s="549"/>
      <c r="N29" s="549">
        <v>14280</v>
      </c>
      <c r="O29" s="549"/>
      <c r="P29" s="550">
        <v>8701</v>
      </c>
      <c r="Q29" s="550"/>
      <c r="R29" s="550"/>
      <c r="T29" s="168">
        <v>14280</v>
      </c>
      <c r="U29" s="168">
        <f t="shared" si="1"/>
        <v>0</v>
      </c>
    </row>
    <row r="30" spans="1:21" ht="12">
      <c r="A30" s="548" t="s">
        <v>34</v>
      </c>
      <c r="B30" s="548"/>
      <c r="C30" s="548"/>
      <c r="D30" s="548" t="s">
        <v>463</v>
      </c>
      <c r="E30" s="548"/>
      <c r="F30" s="548"/>
      <c r="G30" s="517" t="s">
        <v>226</v>
      </c>
      <c r="H30" s="548" t="s">
        <v>464</v>
      </c>
      <c r="I30" s="548"/>
      <c r="J30" s="549">
        <v>42265</v>
      </c>
      <c r="K30" s="549"/>
      <c r="L30" s="549"/>
      <c r="M30" s="549"/>
      <c r="N30" s="549">
        <v>2011</v>
      </c>
      <c r="O30" s="549"/>
      <c r="P30" s="550">
        <v>40254</v>
      </c>
      <c r="Q30" s="550"/>
      <c r="R30" s="550"/>
      <c r="T30" s="168">
        <v>2011</v>
      </c>
      <c r="U30" s="168">
        <f t="shared" si="1"/>
        <v>0</v>
      </c>
    </row>
    <row r="31" spans="1:21" ht="12">
      <c r="A31" s="548" t="s">
        <v>35</v>
      </c>
      <c r="B31" s="548"/>
      <c r="C31" s="548"/>
      <c r="D31" s="548" t="s">
        <v>463</v>
      </c>
      <c r="E31" s="548"/>
      <c r="F31" s="548"/>
      <c r="G31" s="517" t="s">
        <v>226</v>
      </c>
      <c r="H31" s="548" t="s">
        <v>464</v>
      </c>
      <c r="I31" s="548"/>
      <c r="J31" s="549">
        <v>13500</v>
      </c>
      <c r="K31" s="549"/>
      <c r="L31" s="549"/>
      <c r="M31" s="549"/>
      <c r="N31" s="549">
        <v>6897</v>
      </c>
      <c r="O31" s="549"/>
      <c r="P31" s="550">
        <v>6603</v>
      </c>
      <c r="Q31" s="550"/>
      <c r="R31" s="550"/>
      <c r="T31" s="168">
        <v>6897</v>
      </c>
      <c r="U31" s="168">
        <f t="shared" si="1"/>
        <v>0</v>
      </c>
    </row>
    <row r="32" spans="1:21" ht="10.5">
      <c r="A32" s="245"/>
      <c r="B32" s="245"/>
      <c r="C32" s="245"/>
      <c r="D32" s="245"/>
      <c r="E32" s="245"/>
      <c r="F32" s="245"/>
      <c r="G32" s="245"/>
      <c r="H32" s="245"/>
      <c r="I32" s="245"/>
      <c r="J32" s="245"/>
      <c r="K32" s="245"/>
      <c r="L32" s="245"/>
      <c r="M32" s="245"/>
      <c r="N32" s="245"/>
      <c r="O32" s="245"/>
      <c r="P32" s="245"/>
      <c r="Q32" s="245"/>
      <c r="R32" s="245"/>
      <c r="T32" s="168"/>
      <c r="U32" s="168"/>
    </row>
    <row r="33" spans="1:21" ht="12" thickBot="1">
      <c r="A33" s="240"/>
      <c r="B33" s="240"/>
      <c r="C33" s="240"/>
      <c r="D33" s="240"/>
      <c r="E33" s="240"/>
      <c r="F33" s="240"/>
      <c r="G33" s="240"/>
      <c r="H33" s="240"/>
      <c r="I33" s="240"/>
      <c r="J33" s="552">
        <v>300979.58</v>
      </c>
      <c r="K33" s="552"/>
      <c r="L33" s="552"/>
      <c r="M33" s="552"/>
      <c r="N33" s="552">
        <v>125744.19</v>
      </c>
      <c r="O33" s="552"/>
      <c r="P33" s="529">
        <v>175235.39</v>
      </c>
      <c r="Q33" s="529"/>
      <c r="R33" s="529"/>
      <c r="T33" s="168">
        <f>SUM(T21:T31)</f>
        <v>125744.19</v>
      </c>
      <c r="U33" s="168">
        <f>SUM(U21:U31)</f>
        <v>0</v>
      </c>
    </row>
    <row r="34" spans="1:18" ht="11.25" thickTop="1">
      <c r="A34" s="246"/>
      <c r="B34" s="246"/>
      <c r="C34" s="246"/>
      <c r="D34" s="246"/>
      <c r="E34" s="246"/>
      <c r="F34" s="246"/>
      <c r="G34" s="246"/>
      <c r="H34" s="246"/>
      <c r="I34" s="246"/>
      <c r="J34" s="246"/>
      <c r="K34" s="246"/>
      <c r="L34" s="246"/>
      <c r="M34" s="246"/>
      <c r="N34" s="246"/>
      <c r="O34" s="246"/>
      <c r="P34" s="246"/>
      <c r="Q34" s="246"/>
      <c r="R34" s="246"/>
    </row>
    <row r="35" spans="1:18" ht="12">
      <c r="A35" s="547" t="s">
        <v>479</v>
      </c>
      <c r="B35" s="547"/>
      <c r="C35" s="547"/>
      <c r="D35" s="547"/>
      <c r="E35" s="547"/>
      <c r="F35" s="547"/>
      <c r="G35" s="547"/>
      <c r="H35" s="547"/>
      <c r="I35" s="240"/>
      <c r="J35" s="553">
        <v>333450.34</v>
      </c>
      <c r="K35" s="553"/>
      <c r="L35" s="553"/>
      <c r="M35" s="553"/>
      <c r="N35" s="553">
        <v>138731.49</v>
      </c>
      <c r="O35" s="553"/>
      <c r="P35" s="528">
        <v>194718.85</v>
      </c>
      <c r="Q35" s="528"/>
      <c r="R35" s="528"/>
    </row>
    <row r="36" spans="1:18" ht="12">
      <c r="A36" s="544" t="s">
        <v>211</v>
      </c>
      <c r="B36" s="544"/>
      <c r="C36" s="545" t="s">
        <v>492</v>
      </c>
      <c r="D36" s="545"/>
      <c r="E36" s="545"/>
      <c r="F36" s="545"/>
      <c r="G36" s="545"/>
      <c r="H36" s="545"/>
      <c r="I36" s="545"/>
      <c r="J36" s="545"/>
      <c r="K36" s="545"/>
      <c r="L36" s="240"/>
      <c r="M36" s="240"/>
      <c r="N36" s="240"/>
      <c r="O36" s="240"/>
      <c r="P36" s="240"/>
      <c r="Q36" s="240"/>
      <c r="R36" s="240"/>
    </row>
    <row r="37" spans="1:18" ht="10.5" customHeight="1">
      <c r="A37" s="544"/>
      <c r="B37" s="544"/>
      <c r="C37" s="240"/>
      <c r="D37" s="240"/>
      <c r="E37" s="240"/>
      <c r="F37" s="240"/>
      <c r="G37" s="240"/>
      <c r="H37" s="240"/>
      <c r="I37" s="240"/>
      <c r="J37" s="240"/>
      <c r="K37" s="240"/>
      <c r="L37" s="240"/>
      <c r="M37" s="240"/>
      <c r="N37" s="240"/>
      <c r="O37" s="240"/>
      <c r="P37" s="240"/>
      <c r="Q37" s="240"/>
      <c r="R37" s="240"/>
    </row>
    <row r="38" spans="1:18" ht="12">
      <c r="A38" s="240"/>
      <c r="B38" s="544" t="s">
        <v>213</v>
      </c>
      <c r="C38" s="544"/>
      <c r="D38" s="545" t="s">
        <v>214</v>
      </c>
      <c r="E38" s="545"/>
      <c r="F38" s="545"/>
      <c r="G38" s="545"/>
      <c r="H38" s="545"/>
      <c r="I38" s="545"/>
      <c r="J38" s="545"/>
      <c r="K38" s="545"/>
      <c r="L38" s="545"/>
      <c r="M38" s="545"/>
      <c r="N38" s="240"/>
      <c r="O38" s="240"/>
      <c r="P38" s="240"/>
      <c r="Q38" s="240"/>
      <c r="R38" s="240"/>
    </row>
    <row r="39" spans="1:18" ht="12">
      <c r="A39" s="544" t="s">
        <v>215</v>
      </c>
      <c r="B39" s="544"/>
      <c r="C39" s="240"/>
      <c r="D39" s="240"/>
      <c r="E39" s="546" t="s">
        <v>216</v>
      </c>
      <c r="F39" s="546"/>
      <c r="G39" s="546"/>
      <c r="H39" s="546"/>
      <c r="I39" s="546"/>
      <c r="J39" s="547" t="s">
        <v>5</v>
      </c>
      <c r="K39" s="547"/>
      <c r="L39" s="547"/>
      <c r="M39" s="547"/>
      <c r="N39" s="547" t="s">
        <v>217</v>
      </c>
      <c r="O39" s="547"/>
      <c r="P39" s="551" t="s">
        <v>521</v>
      </c>
      <c r="Q39" s="551"/>
      <c r="R39" s="240"/>
    </row>
    <row r="40" spans="1:18" ht="12">
      <c r="A40" s="544"/>
      <c r="B40" s="544"/>
      <c r="C40" s="240"/>
      <c r="D40" s="240"/>
      <c r="E40" s="546"/>
      <c r="F40" s="546"/>
      <c r="G40" s="546"/>
      <c r="H40" s="546"/>
      <c r="I40" s="546"/>
      <c r="J40" s="551" t="s">
        <v>223</v>
      </c>
      <c r="K40" s="551"/>
      <c r="L40" s="551"/>
      <c r="M40" s="551"/>
      <c r="N40" s="551" t="s">
        <v>224</v>
      </c>
      <c r="O40" s="551"/>
      <c r="P40" s="551"/>
      <c r="Q40" s="551"/>
      <c r="R40" s="240"/>
    </row>
    <row r="41" spans="1:21" ht="12">
      <c r="A41" s="548" t="s">
        <v>36</v>
      </c>
      <c r="B41" s="548"/>
      <c r="C41" s="548"/>
      <c r="D41" s="548" t="s">
        <v>463</v>
      </c>
      <c r="E41" s="548"/>
      <c r="F41" s="548"/>
      <c r="G41" s="517" t="s">
        <v>226</v>
      </c>
      <c r="H41" s="548" t="s">
        <v>464</v>
      </c>
      <c r="I41" s="548"/>
      <c r="J41" s="549">
        <v>9319</v>
      </c>
      <c r="K41" s="549"/>
      <c r="L41" s="549"/>
      <c r="M41" s="549"/>
      <c r="N41" s="549">
        <v>8980</v>
      </c>
      <c r="O41" s="549"/>
      <c r="P41" s="550">
        <v>339</v>
      </c>
      <c r="Q41" s="550"/>
      <c r="R41" s="550"/>
      <c r="T41" s="168">
        <v>8980</v>
      </c>
      <c r="U41" s="168">
        <f>N41-T41</f>
        <v>0</v>
      </c>
    </row>
    <row r="42" spans="1:21" ht="12">
      <c r="A42" s="548" t="s">
        <v>37</v>
      </c>
      <c r="B42" s="548"/>
      <c r="C42" s="548"/>
      <c r="D42" s="548" t="s">
        <v>463</v>
      </c>
      <c r="E42" s="548"/>
      <c r="F42" s="548"/>
      <c r="G42" s="517" t="s">
        <v>226</v>
      </c>
      <c r="H42" s="548" t="s">
        <v>464</v>
      </c>
      <c r="I42" s="548"/>
      <c r="J42" s="549">
        <v>10000</v>
      </c>
      <c r="K42" s="549"/>
      <c r="L42" s="549"/>
      <c r="M42" s="549"/>
      <c r="N42" s="549">
        <v>3582.82</v>
      </c>
      <c r="O42" s="549"/>
      <c r="P42" s="550">
        <v>6417.18</v>
      </c>
      <c r="Q42" s="550"/>
      <c r="R42" s="550"/>
      <c r="T42" s="168">
        <v>3582.82</v>
      </c>
      <c r="U42" s="168">
        <f>N42-T42</f>
        <v>0</v>
      </c>
    </row>
    <row r="43" spans="1:21" ht="12">
      <c r="A43" s="548" t="s">
        <v>32</v>
      </c>
      <c r="B43" s="548"/>
      <c r="C43" s="548"/>
      <c r="D43" s="548" t="s">
        <v>463</v>
      </c>
      <c r="E43" s="548"/>
      <c r="F43" s="548"/>
      <c r="G43" s="517" t="s">
        <v>226</v>
      </c>
      <c r="H43" s="548" t="s">
        <v>464</v>
      </c>
      <c r="I43" s="548"/>
      <c r="J43" s="549">
        <v>2271.86</v>
      </c>
      <c r="K43" s="549"/>
      <c r="L43" s="549"/>
      <c r="M43" s="549"/>
      <c r="N43" s="549">
        <v>1</v>
      </c>
      <c r="O43" s="549"/>
      <c r="P43" s="550">
        <v>2270.86</v>
      </c>
      <c r="Q43" s="550"/>
      <c r="R43" s="550"/>
      <c r="T43" s="168">
        <v>1</v>
      </c>
      <c r="U43" s="168">
        <f>N43-T43</f>
        <v>0</v>
      </c>
    </row>
    <row r="44" spans="1:21" ht="12">
      <c r="A44" s="548" t="s">
        <v>38</v>
      </c>
      <c r="B44" s="548"/>
      <c r="C44" s="548"/>
      <c r="D44" s="548" t="s">
        <v>463</v>
      </c>
      <c r="E44" s="548"/>
      <c r="F44" s="548"/>
      <c r="G44" s="517" t="s">
        <v>226</v>
      </c>
      <c r="H44" s="548" t="s">
        <v>464</v>
      </c>
      <c r="I44" s="548"/>
      <c r="J44" s="549">
        <v>6669.01</v>
      </c>
      <c r="K44" s="549"/>
      <c r="L44" s="549"/>
      <c r="M44" s="549"/>
      <c r="N44" s="549">
        <v>4622.42</v>
      </c>
      <c r="O44" s="549"/>
      <c r="P44" s="550">
        <v>2046.59</v>
      </c>
      <c r="Q44" s="550"/>
      <c r="R44" s="550"/>
      <c r="T44" s="168">
        <v>4622.42</v>
      </c>
      <c r="U44" s="168">
        <f>N44-T44</f>
        <v>0</v>
      </c>
    </row>
    <row r="45" spans="1:21" ht="10.5">
      <c r="A45" s="245"/>
      <c r="B45" s="245"/>
      <c r="C45" s="245"/>
      <c r="D45" s="245"/>
      <c r="E45" s="245"/>
      <c r="F45" s="245"/>
      <c r="G45" s="245"/>
      <c r="H45" s="245"/>
      <c r="I45" s="245"/>
      <c r="J45" s="245"/>
      <c r="K45" s="245"/>
      <c r="L45" s="245"/>
      <c r="M45" s="245"/>
      <c r="N45" s="245"/>
      <c r="O45" s="245"/>
      <c r="P45" s="245"/>
      <c r="Q45" s="245"/>
      <c r="R45" s="245"/>
      <c r="T45" s="168"/>
      <c r="U45" s="168"/>
    </row>
    <row r="46" spans="1:21" ht="11.25">
      <c r="A46" s="240"/>
      <c r="B46" s="240"/>
      <c r="C46" s="240"/>
      <c r="D46" s="240"/>
      <c r="E46" s="240"/>
      <c r="F46" s="240"/>
      <c r="G46" s="240"/>
      <c r="H46" s="240"/>
      <c r="I46" s="240"/>
      <c r="J46" s="552">
        <v>28259.87</v>
      </c>
      <c r="K46" s="552"/>
      <c r="L46" s="552"/>
      <c r="M46" s="552"/>
      <c r="N46" s="552">
        <v>17186.24</v>
      </c>
      <c r="O46" s="552"/>
      <c r="P46" s="528">
        <v>11073.63</v>
      </c>
      <c r="Q46" s="528"/>
      <c r="R46" s="528"/>
      <c r="T46" s="168">
        <f>SUM(T41:T44)</f>
        <v>17186.239999999998</v>
      </c>
      <c r="U46" s="168">
        <f>SUM(U41:U44)</f>
        <v>0</v>
      </c>
    </row>
    <row r="47" spans="1:18" ht="12">
      <c r="A47" s="240"/>
      <c r="B47" s="544" t="s">
        <v>213</v>
      </c>
      <c r="C47" s="544"/>
      <c r="D47" s="545" t="s">
        <v>228</v>
      </c>
      <c r="E47" s="545"/>
      <c r="F47" s="545"/>
      <c r="G47" s="545"/>
      <c r="H47" s="545"/>
      <c r="I47" s="545"/>
      <c r="J47" s="545"/>
      <c r="K47" s="545"/>
      <c r="L47" s="545"/>
      <c r="M47" s="545"/>
      <c r="N47" s="240"/>
      <c r="O47" s="240"/>
      <c r="P47" s="240"/>
      <c r="Q47" s="240"/>
      <c r="R47" s="240"/>
    </row>
    <row r="48" spans="1:18" ht="12">
      <c r="A48" s="544" t="s">
        <v>215</v>
      </c>
      <c r="B48" s="544"/>
      <c r="C48" s="240"/>
      <c r="D48" s="240"/>
      <c r="E48" s="546" t="s">
        <v>216</v>
      </c>
      <c r="F48" s="546"/>
      <c r="G48" s="546"/>
      <c r="H48" s="546"/>
      <c r="I48" s="546"/>
      <c r="J48" s="547" t="s">
        <v>5</v>
      </c>
      <c r="K48" s="547"/>
      <c r="L48" s="547"/>
      <c r="M48" s="547"/>
      <c r="N48" s="547" t="s">
        <v>217</v>
      </c>
      <c r="O48" s="547"/>
      <c r="P48" s="551" t="s">
        <v>521</v>
      </c>
      <c r="Q48" s="551"/>
      <c r="R48" s="240"/>
    </row>
    <row r="49" spans="1:18" ht="12">
      <c r="A49" s="544"/>
      <c r="B49" s="544"/>
      <c r="C49" s="240"/>
      <c r="D49" s="240"/>
      <c r="E49" s="546"/>
      <c r="F49" s="546"/>
      <c r="G49" s="546"/>
      <c r="H49" s="546"/>
      <c r="I49" s="546"/>
      <c r="J49" s="551" t="s">
        <v>223</v>
      </c>
      <c r="K49" s="551"/>
      <c r="L49" s="551"/>
      <c r="M49" s="551"/>
      <c r="N49" s="551" t="s">
        <v>224</v>
      </c>
      <c r="O49" s="551"/>
      <c r="P49" s="551"/>
      <c r="Q49" s="551"/>
      <c r="R49" s="240"/>
    </row>
    <row r="50" spans="1:21" ht="12">
      <c r="A50" s="548" t="s">
        <v>36</v>
      </c>
      <c r="B50" s="548"/>
      <c r="C50" s="548"/>
      <c r="D50" s="548" t="s">
        <v>463</v>
      </c>
      <c r="E50" s="548"/>
      <c r="F50" s="548"/>
      <c r="G50" s="517" t="s">
        <v>226</v>
      </c>
      <c r="H50" s="548" t="s">
        <v>464</v>
      </c>
      <c r="I50" s="548"/>
      <c r="J50" s="549">
        <v>149038</v>
      </c>
      <c r="K50" s="549"/>
      <c r="L50" s="549"/>
      <c r="M50" s="549"/>
      <c r="N50" s="549">
        <v>144728</v>
      </c>
      <c r="O50" s="549"/>
      <c r="P50" s="550">
        <v>4310</v>
      </c>
      <c r="Q50" s="550"/>
      <c r="R50" s="550"/>
      <c r="T50" s="168">
        <v>144728</v>
      </c>
      <c r="U50" s="168">
        <f>N50-T50</f>
        <v>0</v>
      </c>
    </row>
    <row r="51" spans="1:21" ht="12">
      <c r="A51" s="548" t="s">
        <v>37</v>
      </c>
      <c r="B51" s="548"/>
      <c r="C51" s="548"/>
      <c r="D51" s="548" t="s">
        <v>463</v>
      </c>
      <c r="E51" s="548"/>
      <c r="F51" s="548"/>
      <c r="G51" s="517" t="s">
        <v>226</v>
      </c>
      <c r="H51" s="548" t="s">
        <v>464</v>
      </c>
      <c r="I51" s="548"/>
      <c r="J51" s="549">
        <v>90129.6</v>
      </c>
      <c r="K51" s="549"/>
      <c r="L51" s="549"/>
      <c r="M51" s="549"/>
      <c r="N51" s="549">
        <v>58763.6</v>
      </c>
      <c r="O51" s="549"/>
      <c r="P51" s="550">
        <v>31366</v>
      </c>
      <c r="Q51" s="550"/>
      <c r="R51" s="550"/>
      <c r="T51" s="168">
        <v>58763.6</v>
      </c>
      <c r="U51" s="168">
        <f>N51-T51</f>
        <v>0</v>
      </c>
    </row>
    <row r="52" spans="1:21" ht="12">
      <c r="A52" s="548" t="s">
        <v>31</v>
      </c>
      <c r="B52" s="548"/>
      <c r="C52" s="548"/>
      <c r="D52" s="548" t="s">
        <v>463</v>
      </c>
      <c r="E52" s="548"/>
      <c r="F52" s="548"/>
      <c r="G52" s="517" t="s">
        <v>226</v>
      </c>
      <c r="H52" s="548" t="s">
        <v>464</v>
      </c>
      <c r="I52" s="548"/>
      <c r="J52" s="549">
        <v>24750</v>
      </c>
      <c r="K52" s="549"/>
      <c r="L52" s="549"/>
      <c r="M52" s="549"/>
      <c r="N52" s="549">
        <v>24750</v>
      </c>
      <c r="O52" s="549"/>
      <c r="P52" s="550">
        <v>0</v>
      </c>
      <c r="Q52" s="550"/>
      <c r="R52" s="550"/>
      <c r="T52" s="168">
        <v>24750</v>
      </c>
      <c r="U52" s="168">
        <f>N52-T52</f>
        <v>0</v>
      </c>
    </row>
    <row r="53" spans="1:21" ht="12">
      <c r="A53" s="548" t="s">
        <v>32</v>
      </c>
      <c r="B53" s="548"/>
      <c r="C53" s="548"/>
      <c r="D53" s="548" t="s">
        <v>463</v>
      </c>
      <c r="E53" s="548"/>
      <c r="F53" s="548"/>
      <c r="G53" s="517" t="s">
        <v>226</v>
      </c>
      <c r="H53" s="548" t="s">
        <v>464</v>
      </c>
      <c r="I53" s="548"/>
      <c r="J53" s="549">
        <v>12192</v>
      </c>
      <c r="K53" s="549"/>
      <c r="L53" s="549"/>
      <c r="M53" s="549"/>
      <c r="N53" s="549">
        <v>6200</v>
      </c>
      <c r="O53" s="549"/>
      <c r="P53" s="550">
        <v>5992</v>
      </c>
      <c r="Q53" s="550"/>
      <c r="R53" s="550"/>
      <c r="T53" s="168">
        <v>6200</v>
      </c>
      <c r="U53" s="168">
        <f>N53-T53</f>
        <v>0</v>
      </c>
    </row>
    <row r="54" spans="1:21" ht="12">
      <c r="A54" s="548" t="s">
        <v>38</v>
      </c>
      <c r="B54" s="548"/>
      <c r="C54" s="548"/>
      <c r="D54" s="548" t="s">
        <v>463</v>
      </c>
      <c r="E54" s="548"/>
      <c r="F54" s="548"/>
      <c r="G54" s="517" t="s">
        <v>226</v>
      </c>
      <c r="H54" s="548" t="s">
        <v>464</v>
      </c>
      <c r="I54" s="548"/>
      <c r="J54" s="549">
        <v>85930.53</v>
      </c>
      <c r="K54" s="549"/>
      <c r="L54" s="549"/>
      <c r="M54" s="549"/>
      <c r="N54" s="549">
        <v>34359.54</v>
      </c>
      <c r="O54" s="549"/>
      <c r="P54" s="550">
        <v>51570.99</v>
      </c>
      <c r="Q54" s="550"/>
      <c r="R54" s="550"/>
      <c r="T54" s="168">
        <v>34359.54</v>
      </c>
      <c r="U54" s="168">
        <f>N54-T54</f>
        <v>0</v>
      </c>
    </row>
    <row r="55" spans="1:21" ht="10.5">
      <c r="A55" s="245"/>
      <c r="B55" s="245"/>
      <c r="C55" s="245"/>
      <c r="D55" s="245"/>
      <c r="E55" s="245"/>
      <c r="F55" s="245"/>
      <c r="G55" s="245"/>
      <c r="H55" s="245"/>
      <c r="I55" s="245"/>
      <c r="J55" s="245"/>
      <c r="K55" s="245"/>
      <c r="L55" s="245"/>
      <c r="M55" s="245"/>
      <c r="N55" s="245"/>
      <c r="O55" s="245"/>
      <c r="P55" s="245"/>
      <c r="Q55" s="245"/>
      <c r="R55" s="245"/>
      <c r="T55" s="168"/>
      <c r="U55" s="168"/>
    </row>
    <row r="56" spans="1:21" ht="12" thickBot="1">
      <c r="A56" s="240"/>
      <c r="B56" s="240"/>
      <c r="C56" s="240"/>
      <c r="D56" s="240"/>
      <c r="E56" s="240"/>
      <c r="F56" s="240"/>
      <c r="G56" s="240"/>
      <c r="H56" s="240"/>
      <c r="I56" s="240"/>
      <c r="J56" s="552">
        <v>362040.13</v>
      </c>
      <c r="K56" s="552"/>
      <c r="L56" s="552"/>
      <c r="M56" s="552"/>
      <c r="N56" s="552">
        <v>268801.14</v>
      </c>
      <c r="O56" s="552"/>
      <c r="P56" s="529">
        <v>93238.99</v>
      </c>
      <c r="Q56" s="529"/>
      <c r="R56" s="529"/>
      <c r="T56" s="168">
        <f>SUM(T50:T54)</f>
        <v>268801.14</v>
      </c>
      <c r="U56" s="168">
        <f>SUM(U50:U54)</f>
        <v>0</v>
      </c>
    </row>
    <row r="57" spans="1:18" ht="11.25" thickTop="1">
      <c r="A57" s="246"/>
      <c r="B57" s="246"/>
      <c r="C57" s="246"/>
      <c r="D57" s="246"/>
      <c r="E57" s="246"/>
      <c r="F57" s="246"/>
      <c r="G57" s="246"/>
      <c r="H57" s="246"/>
      <c r="I57" s="246"/>
      <c r="J57" s="246"/>
      <c r="K57" s="246"/>
      <c r="L57" s="246"/>
      <c r="M57" s="246"/>
      <c r="N57" s="246"/>
      <c r="O57" s="246"/>
      <c r="P57" s="246"/>
      <c r="Q57" s="246"/>
      <c r="R57" s="246"/>
    </row>
    <row r="58" spans="1:18" ht="12">
      <c r="A58" s="547" t="s">
        <v>493</v>
      </c>
      <c r="B58" s="547"/>
      <c r="C58" s="547"/>
      <c r="D58" s="547"/>
      <c r="E58" s="547"/>
      <c r="F58" s="547"/>
      <c r="G58" s="547"/>
      <c r="H58" s="547"/>
      <c r="I58" s="240"/>
      <c r="J58" s="553">
        <v>390300</v>
      </c>
      <c r="K58" s="553"/>
      <c r="L58" s="553"/>
      <c r="M58" s="553"/>
      <c r="N58" s="553">
        <v>285987.38</v>
      </c>
      <c r="O58" s="553"/>
      <c r="P58" s="528">
        <v>104312.62</v>
      </c>
      <c r="Q58" s="528"/>
      <c r="R58" s="528"/>
    </row>
    <row r="59" spans="1:18" ht="12">
      <c r="A59" s="544" t="s">
        <v>211</v>
      </c>
      <c r="B59" s="544"/>
      <c r="C59" s="545" t="s">
        <v>462</v>
      </c>
      <c r="D59" s="545"/>
      <c r="E59" s="545"/>
      <c r="F59" s="545"/>
      <c r="G59" s="545"/>
      <c r="H59" s="545"/>
      <c r="I59" s="545"/>
      <c r="J59" s="545"/>
      <c r="K59" s="545"/>
      <c r="L59" s="240"/>
      <c r="M59" s="240"/>
      <c r="N59" s="240"/>
      <c r="O59" s="240"/>
      <c r="P59" s="240"/>
      <c r="Q59" s="240"/>
      <c r="R59" s="240"/>
    </row>
    <row r="60" spans="1:18" ht="10.5" customHeight="1">
      <c r="A60" s="544"/>
      <c r="B60" s="544"/>
      <c r="C60" s="240"/>
      <c r="D60" s="240"/>
      <c r="E60" s="240"/>
      <c r="F60" s="240"/>
      <c r="G60" s="240"/>
      <c r="H60" s="240"/>
      <c r="I60" s="240"/>
      <c r="J60" s="240"/>
      <c r="K60" s="240"/>
      <c r="L60" s="240"/>
      <c r="M60" s="240"/>
      <c r="N60" s="240"/>
      <c r="O60" s="240"/>
      <c r="P60" s="240"/>
      <c r="Q60" s="240"/>
      <c r="R60" s="240"/>
    </row>
    <row r="61" spans="1:18" ht="12">
      <c r="A61" s="240"/>
      <c r="B61" s="544" t="s">
        <v>213</v>
      </c>
      <c r="C61" s="544"/>
      <c r="D61" s="545" t="s">
        <v>75</v>
      </c>
      <c r="E61" s="545"/>
      <c r="F61" s="545"/>
      <c r="G61" s="545"/>
      <c r="H61" s="545"/>
      <c r="I61" s="545"/>
      <c r="J61" s="545"/>
      <c r="K61" s="545"/>
      <c r="L61" s="545"/>
      <c r="M61" s="545"/>
      <c r="N61" s="240"/>
      <c r="O61" s="240"/>
      <c r="P61" s="240"/>
      <c r="Q61" s="240"/>
      <c r="R61" s="240"/>
    </row>
    <row r="62" spans="1:18" ht="12">
      <c r="A62" s="544" t="s">
        <v>215</v>
      </c>
      <c r="B62" s="544"/>
      <c r="C62" s="240"/>
      <c r="D62" s="240"/>
      <c r="E62" s="546" t="s">
        <v>216</v>
      </c>
      <c r="F62" s="546"/>
      <c r="G62" s="546"/>
      <c r="H62" s="546"/>
      <c r="I62" s="546"/>
      <c r="J62" s="547" t="s">
        <v>5</v>
      </c>
      <c r="K62" s="547"/>
      <c r="L62" s="547"/>
      <c r="M62" s="547"/>
      <c r="N62" s="547" t="s">
        <v>217</v>
      </c>
      <c r="O62" s="547"/>
      <c r="P62" s="551" t="s">
        <v>521</v>
      </c>
      <c r="Q62" s="551"/>
      <c r="R62" s="240"/>
    </row>
    <row r="63" spans="1:18" ht="12">
      <c r="A63" s="544"/>
      <c r="B63" s="544"/>
      <c r="C63" s="240"/>
      <c r="D63" s="240"/>
      <c r="E63" s="546"/>
      <c r="F63" s="546"/>
      <c r="G63" s="546"/>
      <c r="H63" s="546"/>
      <c r="I63" s="546"/>
      <c r="J63" s="551" t="s">
        <v>223</v>
      </c>
      <c r="K63" s="551"/>
      <c r="L63" s="551"/>
      <c r="M63" s="551"/>
      <c r="N63" s="551" t="s">
        <v>224</v>
      </c>
      <c r="O63" s="551"/>
      <c r="P63" s="551"/>
      <c r="Q63" s="551"/>
      <c r="R63" s="240"/>
    </row>
    <row r="64" spans="1:21" ht="12">
      <c r="A64" s="548" t="s">
        <v>25</v>
      </c>
      <c r="B64" s="548"/>
      <c r="C64" s="548"/>
      <c r="D64" s="548" t="s">
        <v>463</v>
      </c>
      <c r="E64" s="548"/>
      <c r="F64" s="548"/>
      <c r="G64" s="517" t="s">
        <v>226</v>
      </c>
      <c r="H64" s="548" t="s">
        <v>464</v>
      </c>
      <c r="I64" s="548"/>
      <c r="J64" s="549">
        <v>78503.13</v>
      </c>
      <c r="K64" s="549"/>
      <c r="L64" s="549"/>
      <c r="M64" s="549"/>
      <c r="N64" s="549">
        <v>68007.88</v>
      </c>
      <c r="O64" s="549"/>
      <c r="P64" s="550">
        <v>10495.25</v>
      </c>
      <c r="Q64" s="550"/>
      <c r="R64" s="550"/>
      <c r="T64" s="168">
        <v>68007.88</v>
      </c>
      <c r="U64" s="168">
        <f>N64-T64</f>
        <v>0</v>
      </c>
    </row>
    <row r="65" spans="1:21" ht="12">
      <c r="A65" s="548" t="s">
        <v>26</v>
      </c>
      <c r="B65" s="548"/>
      <c r="C65" s="548"/>
      <c r="D65" s="548" t="s">
        <v>463</v>
      </c>
      <c r="E65" s="548"/>
      <c r="F65" s="548"/>
      <c r="G65" s="517" t="s">
        <v>226</v>
      </c>
      <c r="H65" s="548" t="s">
        <v>464</v>
      </c>
      <c r="I65" s="548"/>
      <c r="J65" s="549">
        <v>23271.57</v>
      </c>
      <c r="K65" s="549"/>
      <c r="L65" s="549"/>
      <c r="M65" s="549"/>
      <c r="N65" s="549">
        <v>8131.76</v>
      </c>
      <c r="O65" s="549"/>
      <c r="P65" s="550">
        <v>15139.81</v>
      </c>
      <c r="Q65" s="550"/>
      <c r="R65" s="550"/>
      <c r="T65" s="168">
        <v>8131.76</v>
      </c>
      <c r="U65" s="168">
        <f aca="true" t="shared" si="2" ref="U65:U76">N65-T65</f>
        <v>0</v>
      </c>
    </row>
    <row r="66" spans="1:21" ht="12">
      <c r="A66" s="548" t="s">
        <v>27</v>
      </c>
      <c r="B66" s="548"/>
      <c r="C66" s="548"/>
      <c r="D66" s="548" t="s">
        <v>463</v>
      </c>
      <c r="E66" s="548"/>
      <c r="F66" s="548"/>
      <c r="G66" s="517" t="s">
        <v>226</v>
      </c>
      <c r="H66" s="548" t="s">
        <v>464</v>
      </c>
      <c r="I66" s="548"/>
      <c r="J66" s="549">
        <v>17920</v>
      </c>
      <c r="K66" s="549"/>
      <c r="L66" s="549"/>
      <c r="M66" s="549"/>
      <c r="N66" s="549">
        <v>5014</v>
      </c>
      <c r="O66" s="549"/>
      <c r="P66" s="550">
        <v>12906</v>
      </c>
      <c r="Q66" s="550"/>
      <c r="R66" s="550"/>
      <c r="T66" s="168">
        <v>5014</v>
      </c>
      <c r="U66" s="168">
        <f t="shared" si="2"/>
        <v>0</v>
      </c>
    </row>
    <row r="67" spans="1:21" ht="12">
      <c r="A67" s="548" t="s">
        <v>349</v>
      </c>
      <c r="B67" s="548"/>
      <c r="C67" s="548"/>
      <c r="D67" s="548" t="s">
        <v>463</v>
      </c>
      <c r="E67" s="548"/>
      <c r="F67" s="548"/>
      <c r="G67" s="517" t="s">
        <v>226</v>
      </c>
      <c r="H67" s="548" t="s">
        <v>464</v>
      </c>
      <c r="I67" s="548"/>
      <c r="J67" s="549">
        <v>7639</v>
      </c>
      <c r="K67" s="549"/>
      <c r="L67" s="549"/>
      <c r="M67" s="549"/>
      <c r="N67" s="549">
        <v>1218</v>
      </c>
      <c r="O67" s="549"/>
      <c r="P67" s="550">
        <v>6421</v>
      </c>
      <c r="Q67" s="550"/>
      <c r="R67" s="550"/>
      <c r="T67" s="168">
        <v>1218</v>
      </c>
      <c r="U67" s="168">
        <f t="shared" si="2"/>
        <v>0</v>
      </c>
    </row>
    <row r="68" spans="1:21" ht="12">
      <c r="A68" s="548" t="s">
        <v>29</v>
      </c>
      <c r="B68" s="548"/>
      <c r="C68" s="548"/>
      <c r="D68" s="548" t="s">
        <v>463</v>
      </c>
      <c r="E68" s="548"/>
      <c r="F68" s="548"/>
      <c r="G68" s="517" t="s">
        <v>226</v>
      </c>
      <c r="H68" s="548" t="s">
        <v>464</v>
      </c>
      <c r="I68" s="548"/>
      <c r="J68" s="549">
        <v>103708</v>
      </c>
      <c r="K68" s="549"/>
      <c r="L68" s="549"/>
      <c r="M68" s="549"/>
      <c r="N68" s="549">
        <v>57833</v>
      </c>
      <c r="O68" s="549"/>
      <c r="P68" s="550">
        <v>45875</v>
      </c>
      <c r="Q68" s="550"/>
      <c r="R68" s="550"/>
      <c r="T68" s="168">
        <v>57833</v>
      </c>
      <c r="U68" s="168">
        <f t="shared" si="2"/>
        <v>0</v>
      </c>
    </row>
    <row r="69" spans="1:21" ht="12">
      <c r="A69" s="548" t="s">
        <v>350</v>
      </c>
      <c r="B69" s="548"/>
      <c r="C69" s="548"/>
      <c r="D69" s="548" t="s">
        <v>463</v>
      </c>
      <c r="E69" s="548"/>
      <c r="F69" s="548"/>
      <c r="G69" s="517" t="s">
        <v>226</v>
      </c>
      <c r="H69" s="548" t="s">
        <v>464</v>
      </c>
      <c r="I69" s="548"/>
      <c r="J69" s="549">
        <v>5964</v>
      </c>
      <c r="K69" s="549"/>
      <c r="L69" s="549"/>
      <c r="M69" s="549"/>
      <c r="N69" s="549">
        <v>5071</v>
      </c>
      <c r="O69" s="549"/>
      <c r="P69" s="550">
        <v>893</v>
      </c>
      <c r="Q69" s="550"/>
      <c r="R69" s="550"/>
      <c r="T69" s="168">
        <v>5071</v>
      </c>
      <c r="U69" s="168">
        <f t="shared" si="2"/>
        <v>0</v>
      </c>
    </row>
    <row r="70" spans="1:21" ht="12">
      <c r="A70" s="548" t="s">
        <v>30</v>
      </c>
      <c r="B70" s="548"/>
      <c r="C70" s="548"/>
      <c r="D70" s="548" t="s">
        <v>463</v>
      </c>
      <c r="E70" s="548"/>
      <c r="F70" s="548"/>
      <c r="G70" s="517" t="s">
        <v>226</v>
      </c>
      <c r="H70" s="548" t="s">
        <v>464</v>
      </c>
      <c r="I70" s="548"/>
      <c r="J70" s="549">
        <v>8060</v>
      </c>
      <c r="K70" s="549"/>
      <c r="L70" s="549"/>
      <c r="M70" s="549"/>
      <c r="N70" s="549">
        <v>2651.96</v>
      </c>
      <c r="O70" s="549"/>
      <c r="P70" s="550">
        <v>5408.04</v>
      </c>
      <c r="Q70" s="550"/>
      <c r="R70" s="550"/>
      <c r="T70" s="169">
        <v>2651.96</v>
      </c>
      <c r="U70" s="168">
        <f t="shared" si="2"/>
        <v>0</v>
      </c>
    </row>
    <row r="71" spans="1:21" ht="12">
      <c r="A71" s="548" t="s">
        <v>31</v>
      </c>
      <c r="B71" s="548"/>
      <c r="C71" s="548"/>
      <c r="D71" s="548" t="s">
        <v>463</v>
      </c>
      <c r="E71" s="548"/>
      <c r="F71" s="548"/>
      <c r="G71" s="517" t="s">
        <v>226</v>
      </c>
      <c r="H71" s="548" t="s">
        <v>464</v>
      </c>
      <c r="I71" s="548"/>
      <c r="J71" s="549">
        <v>96232.47</v>
      </c>
      <c r="K71" s="549"/>
      <c r="L71" s="549"/>
      <c r="M71" s="549"/>
      <c r="N71" s="549">
        <v>61522.36</v>
      </c>
      <c r="O71" s="549"/>
      <c r="P71" s="550">
        <v>34710.11</v>
      </c>
      <c r="Q71" s="550"/>
      <c r="R71" s="550"/>
      <c r="T71" s="168">
        <v>61522.36</v>
      </c>
      <c r="U71" s="168">
        <f t="shared" si="2"/>
        <v>0</v>
      </c>
    </row>
    <row r="72" spans="1:21" ht="12">
      <c r="A72" s="548" t="s">
        <v>32</v>
      </c>
      <c r="B72" s="548"/>
      <c r="C72" s="548"/>
      <c r="D72" s="548" t="s">
        <v>463</v>
      </c>
      <c r="E72" s="548"/>
      <c r="F72" s="548"/>
      <c r="G72" s="517" t="s">
        <v>226</v>
      </c>
      <c r="H72" s="548" t="s">
        <v>464</v>
      </c>
      <c r="I72" s="548"/>
      <c r="J72" s="549">
        <v>26015.54</v>
      </c>
      <c r="K72" s="549"/>
      <c r="L72" s="549"/>
      <c r="M72" s="549"/>
      <c r="N72" s="549">
        <v>16066</v>
      </c>
      <c r="O72" s="549"/>
      <c r="P72" s="550">
        <v>9949.54</v>
      </c>
      <c r="Q72" s="550"/>
      <c r="R72" s="550"/>
      <c r="T72" s="168">
        <v>16066</v>
      </c>
      <c r="U72" s="168">
        <f t="shared" si="2"/>
        <v>0</v>
      </c>
    </row>
    <row r="73" spans="1:21" ht="12">
      <c r="A73" s="548" t="s">
        <v>33</v>
      </c>
      <c r="B73" s="548"/>
      <c r="C73" s="548"/>
      <c r="D73" s="548" t="s">
        <v>463</v>
      </c>
      <c r="E73" s="548"/>
      <c r="F73" s="548"/>
      <c r="G73" s="517" t="s">
        <v>226</v>
      </c>
      <c r="H73" s="548" t="s">
        <v>464</v>
      </c>
      <c r="I73" s="548"/>
      <c r="J73" s="549">
        <v>56296</v>
      </c>
      <c r="K73" s="549"/>
      <c r="L73" s="549"/>
      <c r="M73" s="549"/>
      <c r="N73" s="549">
        <v>36762</v>
      </c>
      <c r="O73" s="549"/>
      <c r="P73" s="550">
        <v>19534</v>
      </c>
      <c r="Q73" s="550"/>
      <c r="R73" s="550"/>
      <c r="T73" s="168">
        <v>36762</v>
      </c>
      <c r="U73" s="168">
        <f t="shared" si="2"/>
        <v>0</v>
      </c>
    </row>
    <row r="74" spans="1:21" ht="12">
      <c r="A74" s="548" t="s">
        <v>41</v>
      </c>
      <c r="B74" s="548"/>
      <c r="C74" s="548"/>
      <c r="D74" s="548" t="s">
        <v>463</v>
      </c>
      <c r="E74" s="548"/>
      <c r="F74" s="548"/>
      <c r="G74" s="517" t="s">
        <v>226</v>
      </c>
      <c r="H74" s="548" t="s">
        <v>464</v>
      </c>
      <c r="I74" s="548"/>
      <c r="J74" s="549">
        <v>27584.77</v>
      </c>
      <c r="K74" s="549"/>
      <c r="L74" s="549"/>
      <c r="M74" s="549"/>
      <c r="N74" s="549">
        <v>14947.76</v>
      </c>
      <c r="O74" s="549"/>
      <c r="P74" s="550">
        <v>12637.01</v>
      </c>
      <c r="Q74" s="550"/>
      <c r="R74" s="550"/>
      <c r="T74" s="168">
        <v>14947.76</v>
      </c>
      <c r="U74" s="168">
        <f t="shared" si="2"/>
        <v>0</v>
      </c>
    </row>
    <row r="75" spans="1:21" ht="12">
      <c r="A75" s="548" t="s">
        <v>34</v>
      </c>
      <c r="B75" s="548"/>
      <c r="C75" s="548"/>
      <c r="D75" s="548" t="s">
        <v>463</v>
      </c>
      <c r="E75" s="548"/>
      <c r="F75" s="548"/>
      <c r="G75" s="517" t="s">
        <v>226</v>
      </c>
      <c r="H75" s="548" t="s">
        <v>464</v>
      </c>
      <c r="I75" s="548"/>
      <c r="J75" s="549">
        <v>38810</v>
      </c>
      <c r="K75" s="549"/>
      <c r="L75" s="549"/>
      <c r="M75" s="549"/>
      <c r="N75" s="549">
        <v>6144</v>
      </c>
      <c r="O75" s="549"/>
      <c r="P75" s="550">
        <v>32666</v>
      </c>
      <c r="Q75" s="550"/>
      <c r="R75" s="550"/>
      <c r="T75" s="168">
        <v>6144</v>
      </c>
      <c r="U75" s="168">
        <f t="shared" si="2"/>
        <v>0</v>
      </c>
    </row>
    <row r="76" spans="1:21" ht="12">
      <c r="A76" s="548" t="s">
        <v>35</v>
      </c>
      <c r="B76" s="548"/>
      <c r="C76" s="548"/>
      <c r="D76" s="548" t="s">
        <v>463</v>
      </c>
      <c r="E76" s="548"/>
      <c r="F76" s="548"/>
      <c r="G76" s="517" t="s">
        <v>226</v>
      </c>
      <c r="H76" s="548" t="s">
        <v>464</v>
      </c>
      <c r="I76" s="548"/>
      <c r="J76" s="549">
        <v>80479</v>
      </c>
      <c r="K76" s="549"/>
      <c r="L76" s="549"/>
      <c r="M76" s="549"/>
      <c r="N76" s="549">
        <v>44717</v>
      </c>
      <c r="O76" s="549"/>
      <c r="P76" s="550">
        <v>35762</v>
      </c>
      <c r="Q76" s="550"/>
      <c r="R76" s="550"/>
      <c r="T76" s="168">
        <v>44717</v>
      </c>
      <c r="U76" s="168">
        <f t="shared" si="2"/>
        <v>0</v>
      </c>
    </row>
    <row r="77" spans="1:21" ht="10.5">
      <c r="A77" s="245"/>
      <c r="B77" s="245"/>
      <c r="C77" s="245"/>
      <c r="D77" s="245"/>
      <c r="E77" s="245"/>
      <c r="F77" s="245"/>
      <c r="G77" s="245"/>
      <c r="H77" s="245"/>
      <c r="I77" s="245"/>
      <c r="J77" s="245"/>
      <c r="K77" s="245"/>
      <c r="L77" s="245"/>
      <c r="M77" s="245"/>
      <c r="N77" s="245"/>
      <c r="O77" s="245"/>
      <c r="P77" s="245"/>
      <c r="Q77" s="245"/>
      <c r="R77" s="245"/>
      <c r="T77" s="168"/>
      <c r="U77" s="168"/>
    </row>
    <row r="78" spans="1:21" ht="11.25">
      <c r="A78" s="240"/>
      <c r="B78" s="240"/>
      <c r="C78" s="240"/>
      <c r="D78" s="240"/>
      <c r="E78" s="240"/>
      <c r="F78" s="240"/>
      <c r="G78" s="240"/>
      <c r="H78" s="240"/>
      <c r="I78" s="240"/>
      <c r="J78" s="552">
        <v>570483.48</v>
      </c>
      <c r="K78" s="552"/>
      <c r="L78" s="552"/>
      <c r="M78" s="552"/>
      <c r="N78" s="552">
        <v>328086.72</v>
      </c>
      <c r="O78" s="552"/>
      <c r="P78" s="528">
        <v>242396.76</v>
      </c>
      <c r="Q78" s="528"/>
      <c r="R78" s="528"/>
      <c r="T78" s="168">
        <f>SUM(T64:T76)</f>
        <v>328086.72000000003</v>
      </c>
      <c r="U78" s="168">
        <f>SUM(U64:U76)</f>
        <v>0</v>
      </c>
    </row>
    <row r="79" spans="1:18" ht="12">
      <c r="A79" s="240"/>
      <c r="B79" s="544" t="s">
        <v>213</v>
      </c>
      <c r="C79" s="544"/>
      <c r="D79" s="545" t="s">
        <v>238</v>
      </c>
      <c r="E79" s="545"/>
      <c r="F79" s="545"/>
      <c r="G79" s="545"/>
      <c r="H79" s="545"/>
      <c r="I79" s="545"/>
      <c r="J79" s="545"/>
      <c r="K79" s="545"/>
      <c r="L79" s="545"/>
      <c r="M79" s="545"/>
      <c r="N79" s="240"/>
      <c r="O79" s="240"/>
      <c r="P79" s="240"/>
      <c r="Q79" s="240"/>
      <c r="R79" s="240"/>
    </row>
    <row r="80" spans="1:18" ht="12">
      <c r="A80" s="544" t="s">
        <v>215</v>
      </c>
      <c r="B80" s="544"/>
      <c r="C80" s="240"/>
      <c r="D80" s="240"/>
      <c r="E80" s="546" t="s">
        <v>216</v>
      </c>
      <c r="F80" s="546"/>
      <c r="G80" s="546"/>
      <c r="H80" s="546"/>
      <c r="I80" s="546"/>
      <c r="J80" s="547" t="s">
        <v>5</v>
      </c>
      <c r="K80" s="547"/>
      <c r="L80" s="547"/>
      <c r="M80" s="547"/>
      <c r="N80" s="547" t="s">
        <v>217</v>
      </c>
      <c r="O80" s="547"/>
      <c r="P80" s="551" t="s">
        <v>521</v>
      </c>
      <c r="Q80" s="551"/>
      <c r="R80" s="240"/>
    </row>
    <row r="81" spans="1:18" ht="12">
      <c r="A81" s="544"/>
      <c r="B81" s="544"/>
      <c r="C81" s="240"/>
      <c r="D81" s="240"/>
      <c r="E81" s="546"/>
      <c r="F81" s="546"/>
      <c r="G81" s="546"/>
      <c r="H81" s="546"/>
      <c r="I81" s="546"/>
      <c r="J81" s="551" t="s">
        <v>223</v>
      </c>
      <c r="K81" s="551"/>
      <c r="L81" s="551"/>
      <c r="M81" s="551"/>
      <c r="N81" s="551" t="s">
        <v>224</v>
      </c>
      <c r="O81" s="551"/>
      <c r="P81" s="551"/>
      <c r="Q81" s="551"/>
      <c r="R81" s="240"/>
    </row>
    <row r="82" spans="1:21" ht="12">
      <c r="A82" s="548" t="s">
        <v>25</v>
      </c>
      <c r="B82" s="548"/>
      <c r="C82" s="548"/>
      <c r="D82" s="548" t="s">
        <v>463</v>
      </c>
      <c r="E82" s="548"/>
      <c r="F82" s="548"/>
      <c r="G82" s="517" t="s">
        <v>226</v>
      </c>
      <c r="H82" s="548" t="s">
        <v>464</v>
      </c>
      <c r="I82" s="548"/>
      <c r="J82" s="549">
        <v>633130.79</v>
      </c>
      <c r="K82" s="549"/>
      <c r="L82" s="549"/>
      <c r="M82" s="549"/>
      <c r="N82" s="549">
        <v>434986.52</v>
      </c>
      <c r="O82" s="549"/>
      <c r="P82" s="550">
        <v>198144.27</v>
      </c>
      <c r="Q82" s="550"/>
      <c r="R82" s="550"/>
      <c r="T82" s="168">
        <v>434986.52</v>
      </c>
      <c r="U82" s="168">
        <f>N82-T82</f>
        <v>0</v>
      </c>
    </row>
    <row r="83" spans="1:21" ht="12">
      <c r="A83" s="548" t="s">
        <v>26</v>
      </c>
      <c r="B83" s="548"/>
      <c r="C83" s="548"/>
      <c r="D83" s="548" t="s">
        <v>463</v>
      </c>
      <c r="E83" s="548"/>
      <c r="F83" s="548"/>
      <c r="G83" s="517" t="s">
        <v>226</v>
      </c>
      <c r="H83" s="548" t="s">
        <v>464</v>
      </c>
      <c r="I83" s="548"/>
      <c r="J83" s="549">
        <v>208326.19</v>
      </c>
      <c r="K83" s="549"/>
      <c r="L83" s="549"/>
      <c r="M83" s="549"/>
      <c r="N83" s="549">
        <v>124604.64</v>
      </c>
      <c r="O83" s="549"/>
      <c r="P83" s="550">
        <v>83721.55</v>
      </c>
      <c r="Q83" s="550"/>
      <c r="R83" s="550"/>
      <c r="T83" s="168">
        <v>124604.64</v>
      </c>
      <c r="U83" s="168">
        <f aca="true" t="shared" si="3" ref="U83:U94">N83-T83</f>
        <v>0</v>
      </c>
    </row>
    <row r="84" spans="1:21" ht="12">
      <c r="A84" s="548" t="s">
        <v>27</v>
      </c>
      <c r="B84" s="548"/>
      <c r="C84" s="548"/>
      <c r="D84" s="548" t="s">
        <v>463</v>
      </c>
      <c r="E84" s="548"/>
      <c r="F84" s="548"/>
      <c r="G84" s="517" t="s">
        <v>226</v>
      </c>
      <c r="H84" s="548" t="s">
        <v>464</v>
      </c>
      <c r="I84" s="548"/>
      <c r="J84" s="549">
        <v>271752.68</v>
      </c>
      <c r="K84" s="549"/>
      <c r="L84" s="549"/>
      <c r="M84" s="549"/>
      <c r="N84" s="549">
        <v>87831.77</v>
      </c>
      <c r="O84" s="549"/>
      <c r="P84" s="550">
        <v>183920.91</v>
      </c>
      <c r="Q84" s="550"/>
      <c r="R84" s="550"/>
      <c r="T84" s="168">
        <v>87831.77</v>
      </c>
      <c r="U84" s="168">
        <f t="shared" si="3"/>
        <v>0</v>
      </c>
    </row>
    <row r="85" spans="1:21" ht="12">
      <c r="A85" s="548" t="s">
        <v>349</v>
      </c>
      <c r="B85" s="548"/>
      <c r="C85" s="548"/>
      <c r="D85" s="548" t="s">
        <v>463</v>
      </c>
      <c r="E85" s="548"/>
      <c r="F85" s="548"/>
      <c r="G85" s="517" t="s">
        <v>226</v>
      </c>
      <c r="H85" s="548" t="s">
        <v>464</v>
      </c>
      <c r="I85" s="548"/>
      <c r="J85" s="549">
        <v>55241</v>
      </c>
      <c r="K85" s="549"/>
      <c r="L85" s="549"/>
      <c r="M85" s="549"/>
      <c r="N85" s="549">
        <v>9986</v>
      </c>
      <c r="O85" s="549"/>
      <c r="P85" s="550">
        <v>45255</v>
      </c>
      <c r="Q85" s="550"/>
      <c r="R85" s="550"/>
      <c r="T85" s="168">
        <v>9986</v>
      </c>
      <c r="U85" s="168">
        <f t="shared" si="3"/>
        <v>0</v>
      </c>
    </row>
    <row r="86" spans="1:21" ht="12">
      <c r="A86" s="548" t="s">
        <v>29</v>
      </c>
      <c r="B86" s="548"/>
      <c r="C86" s="548"/>
      <c r="D86" s="548" t="s">
        <v>463</v>
      </c>
      <c r="E86" s="548"/>
      <c r="F86" s="548"/>
      <c r="G86" s="517" t="s">
        <v>226</v>
      </c>
      <c r="H86" s="548" t="s">
        <v>464</v>
      </c>
      <c r="I86" s="548"/>
      <c r="J86" s="549">
        <v>846751</v>
      </c>
      <c r="K86" s="549"/>
      <c r="L86" s="549"/>
      <c r="M86" s="549"/>
      <c r="N86" s="549">
        <v>607004</v>
      </c>
      <c r="O86" s="549"/>
      <c r="P86" s="550">
        <v>239747</v>
      </c>
      <c r="Q86" s="550"/>
      <c r="R86" s="550"/>
      <c r="T86" s="168">
        <v>607004</v>
      </c>
      <c r="U86" s="168">
        <f t="shared" si="3"/>
        <v>0</v>
      </c>
    </row>
    <row r="87" spans="1:21" ht="12">
      <c r="A87" s="548" t="s">
        <v>350</v>
      </c>
      <c r="B87" s="548"/>
      <c r="C87" s="548"/>
      <c r="D87" s="548" t="s">
        <v>463</v>
      </c>
      <c r="E87" s="548"/>
      <c r="F87" s="548"/>
      <c r="G87" s="517" t="s">
        <v>226</v>
      </c>
      <c r="H87" s="548" t="s">
        <v>464</v>
      </c>
      <c r="I87" s="548"/>
      <c r="J87" s="549">
        <v>54558</v>
      </c>
      <c r="K87" s="549"/>
      <c r="L87" s="549"/>
      <c r="M87" s="549"/>
      <c r="N87" s="549">
        <v>25272</v>
      </c>
      <c r="O87" s="549"/>
      <c r="P87" s="550">
        <v>29286</v>
      </c>
      <c r="Q87" s="550"/>
      <c r="R87" s="550"/>
      <c r="T87" s="168">
        <v>25272</v>
      </c>
      <c r="U87" s="168">
        <f t="shared" si="3"/>
        <v>0</v>
      </c>
    </row>
    <row r="88" spans="1:21" ht="12">
      <c r="A88" s="548" t="s">
        <v>30</v>
      </c>
      <c r="B88" s="548"/>
      <c r="C88" s="548"/>
      <c r="D88" s="548" t="s">
        <v>463</v>
      </c>
      <c r="E88" s="548"/>
      <c r="F88" s="548"/>
      <c r="G88" s="517" t="s">
        <v>226</v>
      </c>
      <c r="H88" s="548" t="s">
        <v>464</v>
      </c>
      <c r="I88" s="548"/>
      <c r="J88" s="549">
        <v>72550</v>
      </c>
      <c r="K88" s="549"/>
      <c r="L88" s="549"/>
      <c r="M88" s="549"/>
      <c r="N88" s="549">
        <v>18889.73</v>
      </c>
      <c r="O88" s="549"/>
      <c r="P88" s="550">
        <v>53660.27</v>
      </c>
      <c r="Q88" s="550"/>
      <c r="R88" s="550"/>
      <c r="T88" s="168">
        <v>18889.73</v>
      </c>
      <c r="U88" s="168">
        <f t="shared" si="3"/>
        <v>0</v>
      </c>
    </row>
    <row r="89" spans="1:21" ht="12">
      <c r="A89" s="548" t="s">
        <v>31</v>
      </c>
      <c r="B89" s="548"/>
      <c r="C89" s="548"/>
      <c r="D89" s="548" t="s">
        <v>463</v>
      </c>
      <c r="E89" s="548"/>
      <c r="F89" s="548"/>
      <c r="G89" s="517" t="s">
        <v>226</v>
      </c>
      <c r="H89" s="548" t="s">
        <v>464</v>
      </c>
      <c r="I89" s="548"/>
      <c r="J89" s="549">
        <v>753603.38</v>
      </c>
      <c r="K89" s="549"/>
      <c r="L89" s="549"/>
      <c r="M89" s="549"/>
      <c r="N89" s="549">
        <v>359466.15</v>
      </c>
      <c r="O89" s="549"/>
      <c r="P89" s="550">
        <v>394137.23</v>
      </c>
      <c r="Q89" s="550"/>
      <c r="R89" s="550"/>
      <c r="T89" s="168">
        <v>359466.15</v>
      </c>
      <c r="U89" s="168">
        <f t="shared" si="3"/>
        <v>0</v>
      </c>
    </row>
    <row r="90" spans="1:21" ht="12">
      <c r="A90" s="548" t="s">
        <v>32</v>
      </c>
      <c r="B90" s="548"/>
      <c r="C90" s="548"/>
      <c r="D90" s="548" t="s">
        <v>463</v>
      </c>
      <c r="E90" s="548"/>
      <c r="F90" s="548"/>
      <c r="G90" s="517" t="s">
        <v>226</v>
      </c>
      <c r="H90" s="548" t="s">
        <v>464</v>
      </c>
      <c r="I90" s="548"/>
      <c r="J90" s="549">
        <v>208428.46</v>
      </c>
      <c r="K90" s="549"/>
      <c r="L90" s="549"/>
      <c r="M90" s="549"/>
      <c r="N90" s="549">
        <v>159550</v>
      </c>
      <c r="O90" s="549"/>
      <c r="P90" s="550">
        <v>48878.46</v>
      </c>
      <c r="Q90" s="550"/>
      <c r="R90" s="550"/>
      <c r="T90" s="168">
        <v>159550</v>
      </c>
      <c r="U90" s="168">
        <f t="shared" si="3"/>
        <v>0</v>
      </c>
    </row>
    <row r="91" spans="1:21" ht="12">
      <c r="A91" s="548" t="s">
        <v>33</v>
      </c>
      <c r="B91" s="548"/>
      <c r="C91" s="548"/>
      <c r="D91" s="548" t="s">
        <v>463</v>
      </c>
      <c r="E91" s="548"/>
      <c r="F91" s="548"/>
      <c r="G91" s="517" t="s">
        <v>226</v>
      </c>
      <c r="H91" s="548" t="s">
        <v>464</v>
      </c>
      <c r="I91" s="548"/>
      <c r="J91" s="549">
        <v>566916</v>
      </c>
      <c r="K91" s="549"/>
      <c r="L91" s="549"/>
      <c r="M91" s="549"/>
      <c r="N91" s="549">
        <v>399861</v>
      </c>
      <c r="O91" s="549"/>
      <c r="P91" s="550">
        <v>167055</v>
      </c>
      <c r="Q91" s="550"/>
      <c r="R91" s="550"/>
      <c r="T91" s="168">
        <v>399861</v>
      </c>
      <c r="U91" s="168">
        <f t="shared" si="3"/>
        <v>0</v>
      </c>
    </row>
    <row r="92" spans="1:21" ht="12">
      <c r="A92" s="548" t="s">
        <v>41</v>
      </c>
      <c r="B92" s="548"/>
      <c r="C92" s="548"/>
      <c r="D92" s="548" t="s">
        <v>463</v>
      </c>
      <c r="E92" s="548"/>
      <c r="F92" s="548"/>
      <c r="G92" s="517" t="s">
        <v>226</v>
      </c>
      <c r="H92" s="548" t="s">
        <v>464</v>
      </c>
      <c r="I92" s="548"/>
      <c r="J92" s="549">
        <v>306497.48</v>
      </c>
      <c r="K92" s="549"/>
      <c r="L92" s="549"/>
      <c r="M92" s="549"/>
      <c r="N92" s="549">
        <v>166086.25</v>
      </c>
      <c r="O92" s="549"/>
      <c r="P92" s="550">
        <v>140411.23</v>
      </c>
      <c r="Q92" s="550"/>
      <c r="R92" s="550"/>
      <c r="T92" s="168">
        <v>166086.25</v>
      </c>
      <c r="U92" s="168">
        <f t="shared" si="3"/>
        <v>0</v>
      </c>
    </row>
    <row r="93" spans="1:21" ht="12">
      <c r="A93" s="548" t="s">
        <v>34</v>
      </c>
      <c r="B93" s="548"/>
      <c r="C93" s="548"/>
      <c r="D93" s="548" t="s">
        <v>463</v>
      </c>
      <c r="E93" s="548"/>
      <c r="F93" s="548"/>
      <c r="G93" s="517" t="s">
        <v>226</v>
      </c>
      <c r="H93" s="548" t="s">
        <v>464</v>
      </c>
      <c r="I93" s="548"/>
      <c r="J93" s="549">
        <v>294457.75</v>
      </c>
      <c r="K93" s="549"/>
      <c r="L93" s="549"/>
      <c r="M93" s="549"/>
      <c r="N93" s="549">
        <v>70165</v>
      </c>
      <c r="O93" s="549"/>
      <c r="P93" s="550">
        <v>224292.75</v>
      </c>
      <c r="Q93" s="550"/>
      <c r="R93" s="550"/>
      <c r="T93" s="168">
        <v>70165</v>
      </c>
      <c r="U93" s="168">
        <f t="shared" si="3"/>
        <v>0</v>
      </c>
    </row>
    <row r="94" spans="1:21" ht="12">
      <c r="A94" s="548" t="s">
        <v>35</v>
      </c>
      <c r="B94" s="548"/>
      <c r="C94" s="548"/>
      <c r="D94" s="548" t="s">
        <v>463</v>
      </c>
      <c r="E94" s="548"/>
      <c r="F94" s="548"/>
      <c r="G94" s="517" t="s">
        <v>226</v>
      </c>
      <c r="H94" s="548" t="s">
        <v>464</v>
      </c>
      <c r="I94" s="548"/>
      <c r="J94" s="549">
        <v>806692</v>
      </c>
      <c r="K94" s="549"/>
      <c r="L94" s="549"/>
      <c r="M94" s="549"/>
      <c r="N94" s="549">
        <v>571589</v>
      </c>
      <c r="O94" s="549"/>
      <c r="P94" s="550">
        <v>235103</v>
      </c>
      <c r="Q94" s="550"/>
      <c r="R94" s="550"/>
      <c r="T94" s="168">
        <v>571589</v>
      </c>
      <c r="U94" s="168">
        <f t="shared" si="3"/>
        <v>0</v>
      </c>
    </row>
    <row r="95" spans="1:21" ht="10.5">
      <c r="A95" s="245"/>
      <c r="B95" s="245"/>
      <c r="C95" s="245"/>
      <c r="D95" s="245"/>
      <c r="E95" s="245"/>
      <c r="F95" s="245"/>
      <c r="G95" s="245"/>
      <c r="H95" s="245"/>
      <c r="I95" s="245"/>
      <c r="J95" s="245"/>
      <c r="K95" s="245"/>
      <c r="L95" s="245"/>
      <c r="M95" s="245"/>
      <c r="N95" s="245"/>
      <c r="O95" s="245"/>
      <c r="P95" s="245"/>
      <c r="Q95" s="245"/>
      <c r="R95" s="245"/>
      <c r="T95" s="168"/>
      <c r="U95" s="168"/>
    </row>
    <row r="96" spans="1:21" ht="12" thickBot="1">
      <c r="A96" s="240"/>
      <c r="B96" s="240"/>
      <c r="C96" s="240"/>
      <c r="D96" s="240"/>
      <c r="E96" s="240"/>
      <c r="F96" s="240"/>
      <c r="G96" s="240"/>
      <c r="H96" s="240"/>
      <c r="I96" s="240"/>
      <c r="J96" s="552">
        <v>5078904.73</v>
      </c>
      <c r="K96" s="552"/>
      <c r="L96" s="552"/>
      <c r="M96" s="552"/>
      <c r="N96" s="552">
        <v>3035292.06</v>
      </c>
      <c r="O96" s="552"/>
      <c r="P96" s="529">
        <v>2043612.67</v>
      </c>
      <c r="Q96" s="529"/>
      <c r="R96" s="529"/>
      <c r="T96" s="168">
        <f>SUM(T82:T94)</f>
        <v>3035292.06</v>
      </c>
      <c r="U96" s="168">
        <f>SUM(U82:U94)</f>
        <v>0</v>
      </c>
    </row>
    <row r="97" spans="1:18" ht="11.25" thickTop="1">
      <c r="A97" s="246"/>
      <c r="B97" s="246"/>
      <c r="C97" s="246"/>
      <c r="D97" s="246"/>
      <c r="E97" s="246"/>
      <c r="F97" s="246"/>
      <c r="G97" s="246"/>
      <c r="H97" s="246"/>
      <c r="I97" s="246"/>
      <c r="J97" s="246"/>
      <c r="K97" s="246"/>
      <c r="L97" s="246"/>
      <c r="M97" s="246"/>
      <c r="N97" s="246"/>
      <c r="O97" s="246"/>
      <c r="P97" s="246"/>
      <c r="Q97" s="246"/>
      <c r="R97" s="246"/>
    </row>
    <row r="98" spans="1:18" ht="12">
      <c r="A98" s="547" t="s">
        <v>465</v>
      </c>
      <c r="B98" s="547"/>
      <c r="C98" s="547"/>
      <c r="D98" s="547"/>
      <c r="E98" s="547"/>
      <c r="F98" s="547"/>
      <c r="G98" s="547"/>
      <c r="H98" s="547"/>
      <c r="I98" s="240"/>
      <c r="J98" s="553">
        <v>5649388.21</v>
      </c>
      <c r="K98" s="553"/>
      <c r="L98" s="553"/>
      <c r="M98" s="553"/>
      <c r="N98" s="553">
        <v>3363378.78</v>
      </c>
      <c r="O98" s="553"/>
      <c r="P98" s="528">
        <v>2286009.43</v>
      </c>
      <c r="Q98" s="528"/>
      <c r="R98" s="528"/>
    </row>
    <row r="99" spans="1:18" ht="12">
      <c r="A99" s="544" t="s">
        <v>211</v>
      </c>
      <c r="B99" s="544"/>
      <c r="C99" s="545" t="s">
        <v>466</v>
      </c>
      <c r="D99" s="545"/>
      <c r="E99" s="545"/>
      <c r="F99" s="545"/>
      <c r="G99" s="545"/>
      <c r="H99" s="545"/>
      <c r="I99" s="545"/>
      <c r="J99" s="545"/>
      <c r="K99" s="545"/>
      <c r="L99" s="240"/>
      <c r="M99" s="240"/>
      <c r="N99" s="240"/>
      <c r="O99" s="240"/>
      <c r="P99" s="240"/>
      <c r="Q99" s="240"/>
      <c r="R99" s="240"/>
    </row>
    <row r="100" spans="1:18" ht="10.5" customHeight="1">
      <c r="A100" s="544"/>
      <c r="B100" s="544"/>
      <c r="C100" s="240"/>
      <c r="D100" s="240"/>
      <c r="E100" s="240"/>
      <c r="F100" s="240"/>
      <c r="G100" s="240"/>
      <c r="H100" s="240"/>
      <c r="I100" s="240"/>
      <c r="J100" s="240"/>
      <c r="K100" s="240"/>
      <c r="L100" s="240"/>
      <c r="M100" s="240"/>
      <c r="N100" s="240"/>
      <c r="O100" s="240"/>
      <c r="P100" s="240"/>
      <c r="Q100" s="240"/>
      <c r="R100" s="240"/>
    </row>
    <row r="101" spans="1:18" ht="12">
      <c r="A101" s="240"/>
      <c r="B101" s="544" t="s">
        <v>213</v>
      </c>
      <c r="C101" s="544"/>
      <c r="D101" s="545" t="s">
        <v>75</v>
      </c>
      <c r="E101" s="545"/>
      <c r="F101" s="545"/>
      <c r="G101" s="545"/>
      <c r="H101" s="545"/>
      <c r="I101" s="545"/>
      <c r="J101" s="545"/>
      <c r="K101" s="545"/>
      <c r="L101" s="545"/>
      <c r="M101" s="545"/>
      <c r="N101" s="240"/>
      <c r="O101" s="240"/>
      <c r="P101" s="240"/>
      <c r="Q101" s="240"/>
      <c r="R101" s="240"/>
    </row>
    <row r="102" spans="1:18" ht="12">
      <c r="A102" s="544" t="s">
        <v>215</v>
      </c>
      <c r="B102" s="544"/>
      <c r="C102" s="240"/>
      <c r="D102" s="240"/>
      <c r="E102" s="546" t="s">
        <v>216</v>
      </c>
      <c r="F102" s="546"/>
      <c r="G102" s="546"/>
      <c r="H102" s="546"/>
      <c r="I102" s="546"/>
      <c r="J102" s="547" t="s">
        <v>5</v>
      </c>
      <c r="K102" s="547"/>
      <c r="L102" s="547"/>
      <c r="M102" s="547"/>
      <c r="N102" s="547" t="s">
        <v>217</v>
      </c>
      <c r="O102" s="547"/>
      <c r="P102" s="551" t="s">
        <v>521</v>
      </c>
      <c r="Q102" s="551"/>
      <c r="R102" s="240"/>
    </row>
    <row r="103" spans="1:18" ht="12">
      <c r="A103" s="544"/>
      <c r="B103" s="544"/>
      <c r="C103" s="240"/>
      <c r="D103" s="240"/>
      <c r="E103" s="546"/>
      <c r="F103" s="546"/>
      <c r="G103" s="546"/>
      <c r="H103" s="546"/>
      <c r="I103" s="546"/>
      <c r="J103" s="551" t="s">
        <v>223</v>
      </c>
      <c r="K103" s="551"/>
      <c r="L103" s="551"/>
      <c r="M103" s="551"/>
      <c r="N103" s="551" t="s">
        <v>224</v>
      </c>
      <c r="O103" s="551"/>
      <c r="P103" s="551"/>
      <c r="Q103" s="551"/>
      <c r="R103" s="240"/>
    </row>
    <row r="104" spans="1:21" ht="12">
      <c r="A104" s="548" t="s">
        <v>36</v>
      </c>
      <c r="B104" s="548"/>
      <c r="C104" s="548"/>
      <c r="D104" s="548" t="s">
        <v>463</v>
      </c>
      <c r="E104" s="548"/>
      <c r="F104" s="548"/>
      <c r="G104" s="517" t="s">
        <v>226</v>
      </c>
      <c r="H104" s="548" t="s">
        <v>464</v>
      </c>
      <c r="I104" s="548"/>
      <c r="J104" s="549">
        <v>243602</v>
      </c>
      <c r="K104" s="549"/>
      <c r="L104" s="549"/>
      <c r="M104" s="549"/>
      <c r="N104" s="549">
        <v>86515</v>
      </c>
      <c r="O104" s="549"/>
      <c r="P104" s="550">
        <v>157087</v>
      </c>
      <c r="Q104" s="550"/>
      <c r="R104" s="550"/>
      <c r="T104" s="168">
        <v>86515</v>
      </c>
      <c r="U104" s="168">
        <f>N104-T104</f>
        <v>0</v>
      </c>
    </row>
    <row r="105" spans="1:21" ht="12">
      <c r="A105" s="548" t="s">
        <v>37</v>
      </c>
      <c r="B105" s="548"/>
      <c r="C105" s="548"/>
      <c r="D105" s="548" t="s">
        <v>463</v>
      </c>
      <c r="E105" s="548"/>
      <c r="F105" s="548"/>
      <c r="G105" s="517" t="s">
        <v>226</v>
      </c>
      <c r="H105" s="548" t="s">
        <v>464</v>
      </c>
      <c r="I105" s="548"/>
      <c r="J105" s="549">
        <v>164154.82</v>
      </c>
      <c r="K105" s="549"/>
      <c r="L105" s="549"/>
      <c r="M105" s="549"/>
      <c r="N105" s="549">
        <v>122629.46</v>
      </c>
      <c r="O105" s="549"/>
      <c r="P105" s="550">
        <v>41525.36</v>
      </c>
      <c r="Q105" s="550"/>
      <c r="R105" s="550"/>
      <c r="T105" s="168">
        <v>122629.46</v>
      </c>
      <c r="U105" s="168">
        <f>N105-T105</f>
        <v>0</v>
      </c>
    </row>
    <row r="106" spans="1:21" ht="12">
      <c r="A106" s="548" t="s">
        <v>31</v>
      </c>
      <c r="B106" s="548"/>
      <c r="C106" s="548"/>
      <c r="D106" s="548" t="s">
        <v>463</v>
      </c>
      <c r="E106" s="548"/>
      <c r="F106" s="548"/>
      <c r="G106" s="517" t="s">
        <v>226</v>
      </c>
      <c r="H106" s="548" t="s">
        <v>464</v>
      </c>
      <c r="I106" s="548"/>
      <c r="J106" s="549">
        <v>231475.64</v>
      </c>
      <c r="K106" s="549"/>
      <c r="L106" s="549"/>
      <c r="M106" s="549"/>
      <c r="N106" s="549">
        <v>169509.13</v>
      </c>
      <c r="O106" s="549"/>
      <c r="P106" s="550">
        <v>61966.51</v>
      </c>
      <c r="Q106" s="550"/>
      <c r="R106" s="550"/>
      <c r="T106" s="168">
        <v>169509.13</v>
      </c>
      <c r="U106" s="168">
        <f>N106-T106</f>
        <v>0</v>
      </c>
    </row>
    <row r="107" spans="1:21" ht="12">
      <c r="A107" s="548" t="s">
        <v>32</v>
      </c>
      <c r="B107" s="548"/>
      <c r="C107" s="548"/>
      <c r="D107" s="548" t="s">
        <v>463</v>
      </c>
      <c r="E107" s="548"/>
      <c r="F107" s="548"/>
      <c r="G107" s="517" t="s">
        <v>226</v>
      </c>
      <c r="H107" s="548" t="s">
        <v>464</v>
      </c>
      <c r="I107" s="548"/>
      <c r="J107" s="549">
        <v>94713.84</v>
      </c>
      <c r="K107" s="549"/>
      <c r="L107" s="549"/>
      <c r="M107" s="549"/>
      <c r="N107" s="549">
        <v>62868</v>
      </c>
      <c r="O107" s="549"/>
      <c r="P107" s="550">
        <v>31845.84</v>
      </c>
      <c r="Q107" s="550"/>
      <c r="R107" s="550"/>
      <c r="T107" s="168">
        <v>62868</v>
      </c>
      <c r="U107" s="168">
        <f>N107-T107</f>
        <v>0</v>
      </c>
    </row>
    <row r="108" spans="1:21" ht="12">
      <c r="A108" s="548" t="s">
        <v>38</v>
      </c>
      <c r="B108" s="548"/>
      <c r="C108" s="548"/>
      <c r="D108" s="548" t="s">
        <v>463</v>
      </c>
      <c r="E108" s="548"/>
      <c r="F108" s="548"/>
      <c r="G108" s="517" t="s">
        <v>226</v>
      </c>
      <c r="H108" s="548" t="s">
        <v>464</v>
      </c>
      <c r="I108" s="548"/>
      <c r="J108" s="549">
        <v>22795.18</v>
      </c>
      <c r="K108" s="549"/>
      <c r="L108" s="549"/>
      <c r="M108" s="549"/>
      <c r="N108" s="549">
        <v>21270.57</v>
      </c>
      <c r="O108" s="549"/>
      <c r="P108" s="550">
        <v>1524.61</v>
      </c>
      <c r="Q108" s="550"/>
      <c r="R108" s="550"/>
      <c r="T108" s="168">
        <v>21270.57</v>
      </c>
      <c r="U108" s="168">
        <f>N108-T108</f>
        <v>0</v>
      </c>
    </row>
    <row r="109" spans="1:21" ht="10.5">
      <c r="A109" s="245"/>
      <c r="B109" s="245"/>
      <c r="C109" s="245"/>
      <c r="D109" s="245"/>
      <c r="E109" s="245"/>
      <c r="F109" s="245"/>
      <c r="G109" s="245"/>
      <c r="H109" s="245"/>
      <c r="I109" s="245"/>
      <c r="J109" s="245"/>
      <c r="K109" s="245"/>
      <c r="L109" s="245"/>
      <c r="M109" s="245"/>
      <c r="N109" s="245"/>
      <c r="O109" s="245"/>
      <c r="P109" s="245"/>
      <c r="Q109" s="245"/>
      <c r="R109" s="245"/>
      <c r="T109" s="168"/>
      <c r="U109" s="168"/>
    </row>
    <row r="110" spans="1:21" ht="11.25">
      <c r="A110" s="240"/>
      <c r="B110" s="240"/>
      <c r="C110" s="240"/>
      <c r="D110" s="240"/>
      <c r="E110" s="240"/>
      <c r="F110" s="240"/>
      <c r="G110" s="240"/>
      <c r="H110" s="240"/>
      <c r="I110" s="240"/>
      <c r="J110" s="552">
        <v>756741.48</v>
      </c>
      <c r="K110" s="552"/>
      <c r="L110" s="552"/>
      <c r="M110" s="552"/>
      <c r="N110" s="552">
        <v>462792.16</v>
      </c>
      <c r="O110" s="552"/>
      <c r="P110" s="528">
        <v>293949.32</v>
      </c>
      <c r="Q110" s="528"/>
      <c r="R110" s="528"/>
      <c r="T110" s="168">
        <f>SUM(T104:T108)</f>
        <v>462792.16000000003</v>
      </c>
      <c r="U110" s="168">
        <f>SUM(U104:U108)</f>
        <v>0</v>
      </c>
    </row>
    <row r="111" spans="1:18" ht="12">
      <c r="A111" s="240"/>
      <c r="B111" s="544" t="s">
        <v>213</v>
      </c>
      <c r="C111" s="544"/>
      <c r="D111" s="545" t="s">
        <v>238</v>
      </c>
      <c r="E111" s="545"/>
      <c r="F111" s="545"/>
      <c r="G111" s="545"/>
      <c r="H111" s="545"/>
      <c r="I111" s="545"/>
      <c r="J111" s="545"/>
      <c r="K111" s="545"/>
      <c r="L111" s="545"/>
      <c r="M111" s="545"/>
      <c r="N111" s="240"/>
      <c r="O111" s="240"/>
      <c r="P111" s="240"/>
      <c r="Q111" s="240"/>
      <c r="R111" s="240"/>
    </row>
    <row r="112" spans="1:18" ht="12">
      <c r="A112" s="544" t="s">
        <v>215</v>
      </c>
      <c r="B112" s="544"/>
      <c r="C112" s="240"/>
      <c r="D112" s="240"/>
      <c r="E112" s="546" t="s">
        <v>216</v>
      </c>
      <c r="F112" s="546"/>
      <c r="G112" s="546"/>
      <c r="H112" s="546"/>
      <c r="I112" s="546"/>
      <c r="J112" s="547" t="s">
        <v>5</v>
      </c>
      <c r="K112" s="547"/>
      <c r="L112" s="547"/>
      <c r="M112" s="547"/>
      <c r="N112" s="547" t="s">
        <v>217</v>
      </c>
      <c r="O112" s="547"/>
      <c r="P112" s="551" t="s">
        <v>521</v>
      </c>
      <c r="Q112" s="551"/>
      <c r="R112" s="240"/>
    </row>
    <row r="113" spans="1:18" ht="12">
      <c r="A113" s="544"/>
      <c r="B113" s="544"/>
      <c r="C113" s="240"/>
      <c r="D113" s="240"/>
      <c r="E113" s="546"/>
      <c r="F113" s="546"/>
      <c r="G113" s="546"/>
      <c r="H113" s="546"/>
      <c r="I113" s="546"/>
      <c r="J113" s="551" t="s">
        <v>223</v>
      </c>
      <c r="K113" s="551"/>
      <c r="L113" s="551"/>
      <c r="M113" s="551"/>
      <c r="N113" s="551" t="s">
        <v>224</v>
      </c>
      <c r="O113" s="551"/>
      <c r="P113" s="551"/>
      <c r="Q113" s="551"/>
      <c r="R113" s="240"/>
    </row>
    <row r="114" spans="1:21" ht="12">
      <c r="A114" s="548" t="s">
        <v>36</v>
      </c>
      <c r="B114" s="548"/>
      <c r="C114" s="548"/>
      <c r="D114" s="548" t="s">
        <v>463</v>
      </c>
      <c r="E114" s="548"/>
      <c r="F114" s="548"/>
      <c r="G114" s="517" t="s">
        <v>226</v>
      </c>
      <c r="H114" s="548" t="s">
        <v>464</v>
      </c>
      <c r="I114" s="548"/>
      <c r="J114" s="549">
        <v>1727370.5</v>
      </c>
      <c r="K114" s="549"/>
      <c r="L114" s="549"/>
      <c r="M114" s="549"/>
      <c r="N114" s="549">
        <v>1471932.5</v>
      </c>
      <c r="O114" s="549"/>
      <c r="P114" s="550">
        <v>255438</v>
      </c>
      <c r="Q114" s="550"/>
      <c r="R114" s="550"/>
      <c r="T114" s="168">
        <v>1471932.5</v>
      </c>
      <c r="U114" s="168">
        <f>N114-T114</f>
        <v>0</v>
      </c>
    </row>
    <row r="115" spans="1:21" ht="12">
      <c r="A115" s="548" t="s">
        <v>37</v>
      </c>
      <c r="B115" s="548"/>
      <c r="C115" s="548"/>
      <c r="D115" s="548" t="s">
        <v>463</v>
      </c>
      <c r="E115" s="548"/>
      <c r="F115" s="548"/>
      <c r="G115" s="517" t="s">
        <v>226</v>
      </c>
      <c r="H115" s="548" t="s">
        <v>464</v>
      </c>
      <c r="I115" s="548"/>
      <c r="J115" s="549">
        <v>1491327.33</v>
      </c>
      <c r="K115" s="549"/>
      <c r="L115" s="549"/>
      <c r="M115" s="549"/>
      <c r="N115" s="549">
        <v>1202594.06</v>
      </c>
      <c r="O115" s="549"/>
      <c r="P115" s="550">
        <v>288733.27</v>
      </c>
      <c r="Q115" s="550"/>
      <c r="R115" s="550"/>
      <c r="T115" s="168">
        <v>1202594.06</v>
      </c>
      <c r="U115" s="168">
        <f>N115-T115</f>
        <v>0</v>
      </c>
    </row>
    <row r="116" spans="1:21" ht="12">
      <c r="A116" s="548" t="s">
        <v>31</v>
      </c>
      <c r="B116" s="548"/>
      <c r="C116" s="548"/>
      <c r="D116" s="548" t="s">
        <v>463</v>
      </c>
      <c r="E116" s="548"/>
      <c r="F116" s="548"/>
      <c r="G116" s="517" t="s">
        <v>226</v>
      </c>
      <c r="H116" s="548" t="s">
        <v>464</v>
      </c>
      <c r="I116" s="548"/>
      <c r="J116" s="549">
        <v>1838267.79</v>
      </c>
      <c r="K116" s="549"/>
      <c r="L116" s="549"/>
      <c r="M116" s="549"/>
      <c r="N116" s="549">
        <v>1398670.33</v>
      </c>
      <c r="O116" s="549"/>
      <c r="P116" s="550">
        <v>439597.46</v>
      </c>
      <c r="Q116" s="550"/>
      <c r="R116" s="550"/>
      <c r="T116" s="168">
        <v>1398670.33</v>
      </c>
      <c r="U116" s="168">
        <f>N116-T116</f>
        <v>0</v>
      </c>
    </row>
    <row r="117" spans="1:21" ht="12">
      <c r="A117" s="548" t="s">
        <v>32</v>
      </c>
      <c r="B117" s="548"/>
      <c r="C117" s="548"/>
      <c r="D117" s="548" t="s">
        <v>463</v>
      </c>
      <c r="E117" s="548"/>
      <c r="F117" s="548"/>
      <c r="G117" s="517" t="s">
        <v>226</v>
      </c>
      <c r="H117" s="548" t="s">
        <v>464</v>
      </c>
      <c r="I117" s="548"/>
      <c r="J117" s="549">
        <v>865609.67</v>
      </c>
      <c r="K117" s="549"/>
      <c r="L117" s="549"/>
      <c r="M117" s="549"/>
      <c r="N117" s="549">
        <v>742977</v>
      </c>
      <c r="O117" s="549"/>
      <c r="P117" s="550">
        <v>122632.67</v>
      </c>
      <c r="Q117" s="550"/>
      <c r="R117" s="550"/>
      <c r="T117" s="168">
        <v>742977</v>
      </c>
      <c r="U117" s="168">
        <f>N117-T117</f>
        <v>0</v>
      </c>
    </row>
    <row r="118" spans="1:21" ht="12">
      <c r="A118" s="548" t="s">
        <v>38</v>
      </c>
      <c r="B118" s="548"/>
      <c r="C118" s="548"/>
      <c r="D118" s="548" t="s">
        <v>463</v>
      </c>
      <c r="E118" s="548"/>
      <c r="F118" s="548"/>
      <c r="G118" s="517" t="s">
        <v>226</v>
      </c>
      <c r="H118" s="548" t="s">
        <v>464</v>
      </c>
      <c r="I118" s="548"/>
      <c r="J118" s="549">
        <v>265312.76</v>
      </c>
      <c r="K118" s="549"/>
      <c r="L118" s="549"/>
      <c r="M118" s="549"/>
      <c r="N118" s="549">
        <v>154779.7</v>
      </c>
      <c r="O118" s="549"/>
      <c r="P118" s="550">
        <v>110533.06</v>
      </c>
      <c r="Q118" s="550"/>
      <c r="R118" s="550"/>
      <c r="T118" s="168">
        <v>154779.7</v>
      </c>
      <c r="U118" s="168">
        <f>N118-T118</f>
        <v>0</v>
      </c>
    </row>
    <row r="119" spans="1:21" ht="10.5">
      <c r="A119" s="245"/>
      <c r="B119" s="245"/>
      <c r="C119" s="245"/>
      <c r="D119" s="245"/>
      <c r="E119" s="245"/>
      <c r="F119" s="245"/>
      <c r="G119" s="245"/>
      <c r="H119" s="245"/>
      <c r="I119" s="245"/>
      <c r="J119" s="245"/>
      <c r="K119" s="245"/>
      <c r="L119" s="245"/>
      <c r="M119" s="245"/>
      <c r="N119" s="245"/>
      <c r="O119" s="245"/>
      <c r="P119" s="245"/>
      <c r="Q119" s="245"/>
      <c r="R119" s="245"/>
      <c r="T119" s="168"/>
      <c r="U119" s="168"/>
    </row>
    <row r="120" spans="1:21" ht="12" thickBot="1">
      <c r="A120" s="240"/>
      <c r="B120" s="240"/>
      <c r="C120" s="240"/>
      <c r="D120" s="240"/>
      <c r="E120" s="240"/>
      <c r="F120" s="240"/>
      <c r="G120" s="240"/>
      <c r="H120" s="240"/>
      <c r="I120" s="240"/>
      <c r="J120" s="552">
        <v>6187888.05</v>
      </c>
      <c r="K120" s="552"/>
      <c r="L120" s="552"/>
      <c r="M120" s="552"/>
      <c r="N120" s="552">
        <v>4970953.59</v>
      </c>
      <c r="O120" s="552"/>
      <c r="P120" s="529">
        <v>1216934.46</v>
      </c>
      <c r="Q120" s="529"/>
      <c r="R120" s="529"/>
      <c r="T120" s="168">
        <f>SUM(T114:T118)</f>
        <v>4970953.590000001</v>
      </c>
      <c r="U120" s="168">
        <f>SUM(U114:U118)</f>
        <v>0</v>
      </c>
    </row>
    <row r="121" spans="1:18" ht="11.25" thickTop="1">
      <c r="A121" s="246"/>
      <c r="B121" s="246"/>
      <c r="C121" s="246"/>
      <c r="D121" s="246"/>
      <c r="E121" s="246"/>
      <c r="F121" s="246"/>
      <c r="G121" s="246"/>
      <c r="H121" s="246"/>
      <c r="I121" s="246"/>
      <c r="J121" s="246"/>
      <c r="K121" s="246"/>
      <c r="L121" s="246"/>
      <c r="M121" s="246"/>
      <c r="N121" s="246"/>
      <c r="O121" s="246"/>
      <c r="P121" s="246"/>
      <c r="Q121" s="246"/>
      <c r="R121" s="246"/>
    </row>
    <row r="122" spans="1:18" ht="12">
      <c r="A122" s="547" t="s">
        <v>467</v>
      </c>
      <c r="B122" s="547"/>
      <c r="C122" s="547"/>
      <c r="D122" s="547"/>
      <c r="E122" s="547"/>
      <c r="F122" s="547"/>
      <c r="G122" s="547"/>
      <c r="H122" s="547"/>
      <c r="I122" s="240"/>
      <c r="J122" s="553">
        <v>6944629.53</v>
      </c>
      <c r="K122" s="553"/>
      <c r="L122" s="553"/>
      <c r="M122" s="553"/>
      <c r="N122" s="553">
        <v>5433745.75</v>
      </c>
      <c r="O122" s="553"/>
      <c r="P122" s="528">
        <v>1510883.78</v>
      </c>
      <c r="Q122" s="528"/>
      <c r="R122" s="528"/>
    </row>
    <row r="123" spans="1:18" ht="12">
      <c r="A123" s="544" t="s">
        <v>211</v>
      </c>
      <c r="B123" s="544"/>
      <c r="C123" s="545" t="s">
        <v>480</v>
      </c>
      <c r="D123" s="545"/>
      <c r="E123" s="545"/>
      <c r="F123" s="545"/>
      <c r="G123" s="545"/>
      <c r="H123" s="545"/>
      <c r="I123" s="545"/>
      <c r="J123" s="545"/>
      <c r="K123" s="545"/>
      <c r="L123" s="240"/>
      <c r="M123" s="240"/>
      <c r="N123" s="240"/>
      <c r="O123" s="240"/>
      <c r="P123" s="240"/>
      <c r="Q123" s="240"/>
      <c r="R123" s="240"/>
    </row>
    <row r="124" spans="1:18" ht="10.5" customHeight="1">
      <c r="A124" s="544"/>
      <c r="B124" s="544"/>
      <c r="C124" s="240"/>
      <c r="D124" s="240"/>
      <c r="E124" s="240"/>
      <c r="F124" s="240"/>
      <c r="G124" s="240"/>
      <c r="H124" s="240"/>
      <c r="I124" s="240"/>
      <c r="J124" s="240"/>
      <c r="K124" s="240"/>
      <c r="L124" s="240"/>
      <c r="M124" s="240"/>
      <c r="N124" s="240"/>
      <c r="O124" s="240"/>
      <c r="P124" s="240"/>
      <c r="Q124" s="240"/>
      <c r="R124" s="240"/>
    </row>
    <row r="125" spans="1:18" ht="12">
      <c r="A125" s="240"/>
      <c r="B125" s="544" t="s">
        <v>213</v>
      </c>
      <c r="C125" s="544"/>
      <c r="D125" s="545" t="s">
        <v>235</v>
      </c>
      <c r="E125" s="545"/>
      <c r="F125" s="545"/>
      <c r="G125" s="545"/>
      <c r="H125" s="545"/>
      <c r="I125" s="545"/>
      <c r="J125" s="545"/>
      <c r="K125" s="545"/>
      <c r="L125" s="545"/>
      <c r="M125" s="545"/>
      <c r="N125" s="240"/>
      <c r="O125" s="240"/>
      <c r="P125" s="240"/>
      <c r="Q125" s="240"/>
      <c r="R125" s="240"/>
    </row>
    <row r="126" spans="1:18" ht="12">
      <c r="A126" s="544" t="s">
        <v>215</v>
      </c>
      <c r="B126" s="544"/>
      <c r="C126" s="240"/>
      <c r="D126" s="240"/>
      <c r="E126" s="546" t="s">
        <v>216</v>
      </c>
      <c r="F126" s="546"/>
      <c r="G126" s="546"/>
      <c r="H126" s="546"/>
      <c r="I126" s="546"/>
      <c r="J126" s="547" t="s">
        <v>5</v>
      </c>
      <c r="K126" s="547"/>
      <c r="L126" s="547"/>
      <c r="M126" s="547"/>
      <c r="N126" s="547" t="s">
        <v>217</v>
      </c>
      <c r="O126" s="547"/>
      <c r="P126" s="551" t="s">
        <v>521</v>
      </c>
      <c r="Q126" s="551"/>
      <c r="R126" s="240"/>
    </row>
    <row r="127" spans="1:18" ht="12">
      <c r="A127" s="544"/>
      <c r="B127" s="544"/>
      <c r="C127" s="240"/>
      <c r="D127" s="240"/>
      <c r="E127" s="546"/>
      <c r="F127" s="546"/>
      <c r="G127" s="546"/>
      <c r="H127" s="546"/>
      <c r="I127" s="546"/>
      <c r="J127" s="551" t="s">
        <v>223</v>
      </c>
      <c r="K127" s="551"/>
      <c r="L127" s="551"/>
      <c r="M127" s="551"/>
      <c r="N127" s="551" t="s">
        <v>224</v>
      </c>
      <c r="O127" s="551"/>
      <c r="P127" s="551"/>
      <c r="Q127" s="551"/>
      <c r="R127" s="240"/>
    </row>
    <row r="128" spans="1:21" ht="12">
      <c r="A128" s="548" t="s">
        <v>39</v>
      </c>
      <c r="B128" s="548"/>
      <c r="C128" s="548"/>
      <c r="D128" s="548" t="s">
        <v>463</v>
      </c>
      <c r="E128" s="548"/>
      <c r="F128" s="548"/>
      <c r="G128" s="517" t="s">
        <v>226</v>
      </c>
      <c r="H128" s="548" t="s">
        <v>464</v>
      </c>
      <c r="I128" s="548"/>
      <c r="J128" s="549">
        <v>10389</v>
      </c>
      <c r="K128" s="549"/>
      <c r="L128" s="549"/>
      <c r="M128" s="549"/>
      <c r="N128" s="549">
        <v>10389</v>
      </c>
      <c r="O128" s="549"/>
      <c r="P128" s="550">
        <v>0</v>
      </c>
      <c r="Q128" s="550"/>
      <c r="R128" s="550"/>
      <c r="T128" s="168">
        <v>10389</v>
      </c>
      <c r="U128" s="168">
        <f>N128-T128</f>
        <v>0</v>
      </c>
    </row>
    <row r="129" spans="1:21" ht="12">
      <c r="A129" s="548" t="s">
        <v>32</v>
      </c>
      <c r="B129" s="548"/>
      <c r="C129" s="548"/>
      <c r="D129" s="548" t="s">
        <v>463</v>
      </c>
      <c r="E129" s="548"/>
      <c r="F129" s="548"/>
      <c r="G129" s="517" t="s">
        <v>226</v>
      </c>
      <c r="H129" s="548" t="s">
        <v>464</v>
      </c>
      <c r="I129" s="548"/>
      <c r="J129" s="549">
        <v>424</v>
      </c>
      <c r="K129" s="549"/>
      <c r="L129" s="549"/>
      <c r="M129" s="549"/>
      <c r="N129" s="549">
        <v>0</v>
      </c>
      <c r="O129" s="549"/>
      <c r="P129" s="550">
        <v>424</v>
      </c>
      <c r="Q129" s="550"/>
      <c r="R129" s="550"/>
      <c r="T129" s="168"/>
      <c r="U129" s="168"/>
    </row>
    <row r="130" spans="1:21" ht="10.5">
      <c r="A130" s="245"/>
      <c r="B130" s="245"/>
      <c r="C130" s="245"/>
      <c r="D130" s="245"/>
      <c r="E130" s="245"/>
      <c r="F130" s="245"/>
      <c r="G130" s="245"/>
      <c r="H130" s="245"/>
      <c r="I130" s="245"/>
      <c r="J130" s="245"/>
      <c r="K130" s="245"/>
      <c r="L130" s="245"/>
      <c r="M130" s="245"/>
      <c r="N130" s="245"/>
      <c r="O130" s="245"/>
      <c r="P130" s="245"/>
      <c r="Q130" s="245"/>
      <c r="R130" s="245"/>
      <c r="T130" s="168"/>
      <c r="U130" s="168"/>
    </row>
    <row r="131" spans="1:21" ht="12" thickBot="1">
      <c r="A131" s="240"/>
      <c r="B131" s="240"/>
      <c r="C131" s="240"/>
      <c r="D131" s="240"/>
      <c r="E131" s="240"/>
      <c r="F131" s="240"/>
      <c r="G131" s="240"/>
      <c r="H131" s="240"/>
      <c r="I131" s="240"/>
      <c r="J131" s="552">
        <v>10813</v>
      </c>
      <c r="K131" s="552"/>
      <c r="L131" s="552"/>
      <c r="M131" s="552"/>
      <c r="N131" s="552">
        <v>10389</v>
      </c>
      <c r="O131" s="552"/>
      <c r="P131" s="529">
        <v>424</v>
      </c>
      <c r="Q131" s="529"/>
      <c r="R131" s="529"/>
      <c r="T131" s="168"/>
      <c r="U131" s="168"/>
    </row>
    <row r="132" spans="1:21" ht="11.25" thickTop="1">
      <c r="A132" s="246"/>
      <c r="B132" s="246"/>
      <c r="C132" s="246"/>
      <c r="D132" s="246"/>
      <c r="E132" s="246"/>
      <c r="F132" s="246"/>
      <c r="G132" s="246"/>
      <c r="H132" s="246"/>
      <c r="I132" s="246"/>
      <c r="J132" s="246"/>
      <c r="K132" s="246"/>
      <c r="L132" s="246"/>
      <c r="M132" s="246"/>
      <c r="N132" s="246"/>
      <c r="O132" s="246"/>
      <c r="P132" s="246"/>
      <c r="Q132" s="246"/>
      <c r="R132" s="246"/>
      <c r="T132" s="168"/>
      <c r="U132" s="168"/>
    </row>
    <row r="133" spans="1:21" ht="12">
      <c r="A133" s="547" t="s">
        <v>481</v>
      </c>
      <c r="B133" s="547"/>
      <c r="C133" s="547"/>
      <c r="D133" s="547"/>
      <c r="E133" s="547"/>
      <c r="F133" s="547"/>
      <c r="G133" s="547"/>
      <c r="H133" s="547"/>
      <c r="I133" s="240"/>
      <c r="J133" s="553">
        <v>10813</v>
      </c>
      <c r="K133" s="553"/>
      <c r="L133" s="553"/>
      <c r="M133" s="553"/>
      <c r="N133" s="553">
        <v>10389</v>
      </c>
      <c r="O133" s="553"/>
      <c r="P133" s="528">
        <v>424</v>
      </c>
      <c r="Q133" s="528"/>
      <c r="R133" s="528"/>
      <c r="T133" s="168"/>
      <c r="U133" s="168"/>
    </row>
    <row r="134" spans="1:18" ht="12">
      <c r="A134" s="544" t="s">
        <v>211</v>
      </c>
      <c r="B134" s="544"/>
      <c r="C134" s="545" t="s">
        <v>482</v>
      </c>
      <c r="D134" s="545"/>
      <c r="E134" s="545"/>
      <c r="F134" s="545"/>
      <c r="G134" s="545"/>
      <c r="H134" s="545"/>
      <c r="I134" s="545"/>
      <c r="J134" s="545"/>
      <c r="K134" s="545"/>
      <c r="L134" s="240"/>
      <c r="M134" s="240"/>
      <c r="N134" s="240"/>
      <c r="O134" s="240"/>
      <c r="P134" s="240"/>
      <c r="Q134" s="240"/>
      <c r="R134" s="240"/>
    </row>
    <row r="135" spans="1:18" ht="10.5" customHeight="1">
      <c r="A135" s="544"/>
      <c r="B135" s="544"/>
      <c r="C135" s="240"/>
      <c r="D135" s="240"/>
      <c r="E135" s="240"/>
      <c r="F135" s="240"/>
      <c r="G135" s="240"/>
      <c r="H135" s="240"/>
      <c r="I135" s="240"/>
      <c r="J135" s="240"/>
      <c r="K135" s="240"/>
      <c r="L135" s="240"/>
      <c r="M135" s="240"/>
      <c r="N135" s="240"/>
      <c r="O135" s="240"/>
      <c r="P135" s="240"/>
      <c r="Q135" s="240"/>
      <c r="R135" s="240"/>
    </row>
    <row r="136" spans="1:18" ht="12">
      <c r="A136" s="240"/>
      <c r="B136" s="544" t="s">
        <v>213</v>
      </c>
      <c r="C136" s="544"/>
      <c r="D136" s="545" t="s">
        <v>75</v>
      </c>
      <c r="E136" s="545"/>
      <c r="F136" s="545"/>
      <c r="G136" s="545"/>
      <c r="H136" s="545"/>
      <c r="I136" s="545"/>
      <c r="J136" s="545"/>
      <c r="K136" s="545"/>
      <c r="L136" s="545"/>
      <c r="M136" s="545"/>
      <c r="N136" s="240"/>
      <c r="O136" s="240"/>
      <c r="P136" s="240"/>
      <c r="Q136" s="240"/>
      <c r="R136" s="240"/>
    </row>
    <row r="137" spans="1:18" ht="12">
      <c r="A137" s="544" t="s">
        <v>215</v>
      </c>
      <c r="B137" s="544"/>
      <c r="C137" s="240"/>
      <c r="D137" s="240"/>
      <c r="E137" s="546" t="s">
        <v>216</v>
      </c>
      <c r="F137" s="546"/>
      <c r="G137" s="546"/>
      <c r="H137" s="546"/>
      <c r="I137" s="546"/>
      <c r="J137" s="547" t="s">
        <v>5</v>
      </c>
      <c r="K137" s="547"/>
      <c r="L137" s="547"/>
      <c r="M137" s="547"/>
      <c r="N137" s="547" t="s">
        <v>217</v>
      </c>
      <c r="O137" s="547"/>
      <c r="P137" s="551" t="s">
        <v>521</v>
      </c>
      <c r="Q137" s="551"/>
      <c r="R137" s="240"/>
    </row>
    <row r="138" spans="1:18" ht="12">
      <c r="A138" s="544"/>
      <c r="B138" s="544"/>
      <c r="C138" s="240"/>
      <c r="D138" s="240"/>
      <c r="E138" s="546"/>
      <c r="F138" s="546"/>
      <c r="G138" s="546"/>
      <c r="H138" s="546"/>
      <c r="I138" s="546"/>
      <c r="J138" s="551" t="s">
        <v>223</v>
      </c>
      <c r="K138" s="551"/>
      <c r="L138" s="551"/>
      <c r="M138" s="551"/>
      <c r="N138" s="551" t="s">
        <v>224</v>
      </c>
      <c r="O138" s="551"/>
      <c r="P138" s="551"/>
      <c r="Q138" s="551"/>
      <c r="R138" s="240"/>
    </row>
    <row r="139" spans="1:21" ht="12">
      <c r="A139" s="548" t="s">
        <v>39</v>
      </c>
      <c r="B139" s="548"/>
      <c r="C139" s="548"/>
      <c r="D139" s="548" t="s">
        <v>463</v>
      </c>
      <c r="E139" s="548"/>
      <c r="F139" s="548"/>
      <c r="G139" s="517" t="s">
        <v>226</v>
      </c>
      <c r="H139" s="548" t="s">
        <v>464</v>
      </c>
      <c r="I139" s="548"/>
      <c r="J139" s="549">
        <v>40865</v>
      </c>
      <c r="K139" s="549"/>
      <c r="L139" s="549"/>
      <c r="M139" s="549"/>
      <c r="N139" s="549">
        <v>40865</v>
      </c>
      <c r="O139" s="549"/>
      <c r="P139" s="554">
        <v>0</v>
      </c>
      <c r="Q139" s="554"/>
      <c r="R139" s="554"/>
      <c r="T139" s="168">
        <v>40865</v>
      </c>
      <c r="U139" s="168">
        <f>N139-T139</f>
        <v>0</v>
      </c>
    </row>
    <row r="140" spans="1:21" ht="10.5">
      <c r="A140" s="245"/>
      <c r="B140" s="245"/>
      <c r="C140" s="245"/>
      <c r="D140" s="245"/>
      <c r="E140" s="245"/>
      <c r="F140" s="245"/>
      <c r="G140" s="245"/>
      <c r="H140" s="245"/>
      <c r="I140" s="245"/>
      <c r="J140" s="245"/>
      <c r="K140" s="245"/>
      <c r="L140" s="245"/>
      <c r="M140" s="245"/>
      <c r="N140" s="245"/>
      <c r="O140" s="245"/>
      <c r="P140" s="245"/>
      <c r="Q140" s="245"/>
      <c r="R140" s="245"/>
      <c r="T140" s="168"/>
      <c r="U140" s="168"/>
    </row>
    <row r="141" spans="1:21" ht="12" thickBot="1">
      <c r="A141" s="240"/>
      <c r="B141" s="240"/>
      <c r="C141" s="240"/>
      <c r="D141" s="240"/>
      <c r="E141" s="240"/>
      <c r="F141" s="240"/>
      <c r="G141" s="240"/>
      <c r="H141" s="240"/>
      <c r="I141" s="240"/>
      <c r="J141" s="552">
        <v>40865</v>
      </c>
      <c r="K141" s="552"/>
      <c r="L141" s="552"/>
      <c r="M141" s="552"/>
      <c r="N141" s="552">
        <v>40865</v>
      </c>
      <c r="O141" s="552"/>
      <c r="P141" s="529">
        <v>0</v>
      </c>
      <c r="Q141" s="529"/>
      <c r="R141" s="529"/>
      <c r="T141" s="168"/>
      <c r="U141" s="168"/>
    </row>
    <row r="142" spans="1:21" ht="11.25" thickTop="1">
      <c r="A142" s="246"/>
      <c r="B142" s="246"/>
      <c r="C142" s="246"/>
      <c r="D142" s="246"/>
      <c r="E142" s="246"/>
      <c r="F142" s="246"/>
      <c r="G142" s="246"/>
      <c r="H142" s="246"/>
      <c r="I142" s="246"/>
      <c r="J142" s="246"/>
      <c r="K142" s="246"/>
      <c r="L142" s="246"/>
      <c r="M142" s="246"/>
      <c r="N142" s="246"/>
      <c r="O142" s="246"/>
      <c r="P142" s="246"/>
      <c r="Q142" s="246"/>
      <c r="R142" s="246"/>
      <c r="T142" s="168"/>
      <c r="U142" s="168"/>
    </row>
    <row r="143" spans="1:21" ht="12">
      <c r="A143" s="547" t="s">
        <v>483</v>
      </c>
      <c r="B143" s="547"/>
      <c r="C143" s="547"/>
      <c r="D143" s="547"/>
      <c r="E143" s="547"/>
      <c r="F143" s="547"/>
      <c r="G143" s="547"/>
      <c r="H143" s="547"/>
      <c r="I143" s="240"/>
      <c r="J143" s="553">
        <v>40865</v>
      </c>
      <c r="K143" s="553"/>
      <c r="L143" s="553"/>
      <c r="M143" s="553"/>
      <c r="N143" s="553">
        <v>40865</v>
      </c>
      <c r="O143" s="553"/>
      <c r="P143" s="528">
        <v>0</v>
      </c>
      <c r="Q143" s="528"/>
      <c r="R143" s="528"/>
      <c r="T143" s="168"/>
      <c r="U143" s="168"/>
    </row>
    <row r="144" spans="1:18" ht="12">
      <c r="A144" s="544" t="s">
        <v>211</v>
      </c>
      <c r="B144" s="544"/>
      <c r="C144" s="545" t="s">
        <v>484</v>
      </c>
      <c r="D144" s="545"/>
      <c r="E144" s="545"/>
      <c r="F144" s="545"/>
      <c r="G144" s="545"/>
      <c r="H144" s="545"/>
      <c r="I144" s="545"/>
      <c r="J144" s="545"/>
      <c r="K144" s="545"/>
      <c r="L144" s="240"/>
      <c r="M144" s="240"/>
      <c r="N144" s="240"/>
      <c r="O144" s="240"/>
      <c r="P144" s="240"/>
      <c r="Q144" s="240"/>
      <c r="R144" s="240"/>
    </row>
    <row r="145" spans="1:18" ht="10.5" customHeight="1">
      <c r="A145" s="544"/>
      <c r="B145" s="544"/>
      <c r="C145" s="240"/>
      <c r="D145" s="240"/>
      <c r="E145" s="240"/>
      <c r="F145" s="240"/>
      <c r="G145" s="240"/>
      <c r="H145" s="240"/>
      <c r="I145" s="240"/>
      <c r="J145" s="240"/>
      <c r="K145" s="240"/>
      <c r="L145" s="240"/>
      <c r="M145" s="240"/>
      <c r="N145" s="240"/>
      <c r="O145" s="240"/>
      <c r="P145" s="240"/>
      <c r="Q145" s="240"/>
      <c r="R145" s="240"/>
    </row>
    <row r="146" spans="1:18" ht="12">
      <c r="A146" s="240"/>
      <c r="B146" s="544" t="s">
        <v>213</v>
      </c>
      <c r="C146" s="544"/>
      <c r="D146" s="545" t="s">
        <v>235</v>
      </c>
      <c r="E146" s="545"/>
      <c r="F146" s="545"/>
      <c r="G146" s="545"/>
      <c r="H146" s="545"/>
      <c r="I146" s="545"/>
      <c r="J146" s="545"/>
      <c r="K146" s="545"/>
      <c r="L146" s="545"/>
      <c r="M146" s="545"/>
      <c r="N146" s="240"/>
      <c r="O146" s="240"/>
      <c r="P146" s="240"/>
      <c r="Q146" s="240"/>
      <c r="R146" s="240"/>
    </row>
    <row r="147" spans="1:18" ht="12">
      <c r="A147" s="544" t="s">
        <v>215</v>
      </c>
      <c r="B147" s="544"/>
      <c r="C147" s="240"/>
      <c r="D147" s="240"/>
      <c r="E147" s="546" t="s">
        <v>216</v>
      </c>
      <c r="F147" s="546"/>
      <c r="G147" s="546"/>
      <c r="H147" s="546"/>
      <c r="I147" s="546"/>
      <c r="J147" s="547" t="s">
        <v>5</v>
      </c>
      <c r="K147" s="547"/>
      <c r="L147" s="547"/>
      <c r="M147" s="547"/>
      <c r="N147" s="547" t="s">
        <v>217</v>
      </c>
      <c r="O147" s="547"/>
      <c r="P147" s="551" t="s">
        <v>521</v>
      </c>
      <c r="Q147" s="551"/>
      <c r="R147" s="240"/>
    </row>
    <row r="148" spans="1:18" ht="12">
      <c r="A148" s="544"/>
      <c r="B148" s="544"/>
      <c r="C148" s="240"/>
      <c r="D148" s="240"/>
      <c r="E148" s="546"/>
      <c r="F148" s="546"/>
      <c r="G148" s="546"/>
      <c r="H148" s="546"/>
      <c r="I148" s="546"/>
      <c r="J148" s="551" t="s">
        <v>223</v>
      </c>
      <c r="K148" s="551"/>
      <c r="L148" s="551"/>
      <c r="M148" s="551"/>
      <c r="N148" s="551" t="s">
        <v>224</v>
      </c>
      <c r="O148" s="551"/>
      <c r="P148" s="551"/>
      <c r="Q148" s="551"/>
      <c r="R148" s="240"/>
    </row>
    <row r="149" spans="1:21" ht="12">
      <c r="A149" s="548" t="s">
        <v>25</v>
      </c>
      <c r="B149" s="548"/>
      <c r="C149" s="548"/>
      <c r="D149" s="548" t="s">
        <v>463</v>
      </c>
      <c r="E149" s="548"/>
      <c r="F149" s="548"/>
      <c r="G149" s="517" t="s">
        <v>226</v>
      </c>
      <c r="H149" s="548" t="s">
        <v>464</v>
      </c>
      <c r="I149" s="548"/>
      <c r="J149" s="549">
        <v>6972</v>
      </c>
      <c r="K149" s="549"/>
      <c r="L149" s="549"/>
      <c r="M149" s="549"/>
      <c r="N149" s="549">
        <v>817.45</v>
      </c>
      <c r="O149" s="549"/>
      <c r="P149" s="550">
        <v>6154.55</v>
      </c>
      <c r="Q149" s="550"/>
      <c r="R149" s="550"/>
      <c r="T149" s="168">
        <v>817.45</v>
      </c>
      <c r="U149" s="168">
        <f>N149-T149</f>
        <v>0</v>
      </c>
    </row>
    <row r="150" spans="1:21" ht="12">
      <c r="A150" s="548" t="s">
        <v>26</v>
      </c>
      <c r="B150" s="548"/>
      <c r="C150" s="548"/>
      <c r="D150" s="548" t="s">
        <v>463</v>
      </c>
      <c r="E150" s="548"/>
      <c r="F150" s="548"/>
      <c r="G150" s="517" t="s">
        <v>226</v>
      </c>
      <c r="H150" s="548" t="s">
        <v>464</v>
      </c>
      <c r="I150" s="548"/>
      <c r="J150" s="549">
        <v>1960</v>
      </c>
      <c r="K150" s="549"/>
      <c r="L150" s="549"/>
      <c r="M150" s="549"/>
      <c r="N150" s="549">
        <v>921.5</v>
      </c>
      <c r="O150" s="549"/>
      <c r="P150" s="550">
        <v>1038.5</v>
      </c>
      <c r="Q150" s="550"/>
      <c r="R150" s="550"/>
      <c r="T150" s="168">
        <v>921.5</v>
      </c>
      <c r="U150" s="168">
        <f>N150-T150</f>
        <v>0</v>
      </c>
    </row>
    <row r="151" spans="1:21" ht="12">
      <c r="A151" s="548" t="s">
        <v>27</v>
      </c>
      <c r="B151" s="548"/>
      <c r="C151" s="548"/>
      <c r="D151" s="548" t="s">
        <v>463</v>
      </c>
      <c r="E151" s="548"/>
      <c r="F151" s="548"/>
      <c r="G151" s="517" t="s">
        <v>226</v>
      </c>
      <c r="H151" s="548" t="s">
        <v>464</v>
      </c>
      <c r="I151" s="548"/>
      <c r="J151" s="549">
        <v>2788.12</v>
      </c>
      <c r="K151" s="549"/>
      <c r="L151" s="549"/>
      <c r="M151" s="549"/>
      <c r="N151" s="549">
        <v>82.18</v>
      </c>
      <c r="O151" s="549"/>
      <c r="P151" s="550">
        <v>2705.94</v>
      </c>
      <c r="Q151" s="550"/>
      <c r="R151" s="550"/>
      <c r="T151" s="168">
        <v>82.18</v>
      </c>
      <c r="U151" s="168">
        <f>N151-T151</f>
        <v>0</v>
      </c>
    </row>
    <row r="152" spans="1:21" ht="12">
      <c r="A152" s="548" t="s">
        <v>349</v>
      </c>
      <c r="B152" s="548"/>
      <c r="C152" s="548"/>
      <c r="D152" s="548" t="s">
        <v>463</v>
      </c>
      <c r="E152" s="548"/>
      <c r="F152" s="548"/>
      <c r="G152" s="517" t="s">
        <v>226</v>
      </c>
      <c r="H152" s="548" t="s">
        <v>464</v>
      </c>
      <c r="I152" s="548"/>
      <c r="J152" s="549">
        <v>522</v>
      </c>
      <c r="K152" s="549"/>
      <c r="L152" s="549"/>
      <c r="M152" s="549"/>
      <c r="N152" s="549">
        <v>0</v>
      </c>
      <c r="O152" s="549"/>
      <c r="P152" s="550">
        <v>522</v>
      </c>
      <c r="Q152" s="550"/>
      <c r="R152" s="550"/>
      <c r="T152" s="168"/>
      <c r="U152" s="168">
        <f>N152-T152</f>
        <v>0</v>
      </c>
    </row>
    <row r="153" spans="1:21" ht="12">
      <c r="A153" s="548" t="s">
        <v>29</v>
      </c>
      <c r="B153" s="548"/>
      <c r="C153" s="548"/>
      <c r="D153" s="548" t="s">
        <v>463</v>
      </c>
      <c r="E153" s="548"/>
      <c r="F153" s="548"/>
      <c r="G153" s="517" t="s">
        <v>226</v>
      </c>
      <c r="H153" s="548" t="s">
        <v>464</v>
      </c>
      <c r="I153" s="548"/>
      <c r="J153" s="549">
        <v>7240</v>
      </c>
      <c r="K153" s="549"/>
      <c r="L153" s="549"/>
      <c r="M153" s="549"/>
      <c r="N153" s="549">
        <v>573</v>
      </c>
      <c r="O153" s="549"/>
      <c r="P153" s="550">
        <v>6667</v>
      </c>
      <c r="Q153" s="550"/>
      <c r="R153" s="550"/>
      <c r="T153" s="168">
        <v>573</v>
      </c>
      <c r="U153" s="168">
        <f>N153-T153</f>
        <v>0</v>
      </c>
    </row>
    <row r="154" spans="1:21" ht="12">
      <c r="A154" s="548" t="s">
        <v>30</v>
      </c>
      <c r="B154" s="548"/>
      <c r="C154" s="548"/>
      <c r="D154" s="548" t="s">
        <v>463</v>
      </c>
      <c r="E154" s="548"/>
      <c r="F154" s="548"/>
      <c r="G154" s="517" t="s">
        <v>226</v>
      </c>
      <c r="H154" s="548" t="s">
        <v>464</v>
      </c>
      <c r="I154" s="548"/>
      <c r="J154" s="549">
        <v>1283.88</v>
      </c>
      <c r="K154" s="549"/>
      <c r="L154" s="549"/>
      <c r="M154" s="549"/>
      <c r="N154" s="549">
        <v>431.88</v>
      </c>
      <c r="O154" s="549"/>
      <c r="P154" s="550">
        <v>852</v>
      </c>
      <c r="Q154" s="550"/>
      <c r="R154" s="550"/>
      <c r="T154" s="168">
        <v>431.88</v>
      </c>
      <c r="U154" s="168">
        <f>N154-T154</f>
        <v>0</v>
      </c>
    </row>
    <row r="155" spans="1:21" ht="12">
      <c r="A155" s="548" t="s">
        <v>31</v>
      </c>
      <c r="B155" s="548"/>
      <c r="C155" s="548"/>
      <c r="D155" s="548" t="s">
        <v>463</v>
      </c>
      <c r="E155" s="548"/>
      <c r="F155" s="548"/>
      <c r="G155" s="517" t="s">
        <v>226</v>
      </c>
      <c r="H155" s="548" t="s">
        <v>464</v>
      </c>
      <c r="I155" s="548"/>
      <c r="J155" s="549">
        <v>6123</v>
      </c>
      <c r="K155" s="549"/>
      <c r="L155" s="549"/>
      <c r="M155" s="549"/>
      <c r="N155" s="549">
        <v>6123</v>
      </c>
      <c r="O155" s="549"/>
      <c r="P155" s="550">
        <v>0</v>
      </c>
      <c r="Q155" s="550"/>
      <c r="R155" s="550"/>
      <c r="T155" s="168">
        <v>6123</v>
      </c>
      <c r="U155" s="168">
        <f>N155-T155</f>
        <v>0</v>
      </c>
    </row>
    <row r="156" spans="1:21" ht="12">
      <c r="A156" s="548" t="s">
        <v>32</v>
      </c>
      <c r="B156" s="548"/>
      <c r="C156" s="548"/>
      <c r="D156" s="548" t="s">
        <v>463</v>
      </c>
      <c r="E156" s="548"/>
      <c r="F156" s="548"/>
      <c r="G156" s="517" t="s">
        <v>226</v>
      </c>
      <c r="H156" s="548" t="s">
        <v>464</v>
      </c>
      <c r="I156" s="548"/>
      <c r="J156" s="549">
        <v>3017</v>
      </c>
      <c r="K156" s="549"/>
      <c r="L156" s="549"/>
      <c r="M156" s="549"/>
      <c r="N156" s="549">
        <v>1440</v>
      </c>
      <c r="O156" s="549"/>
      <c r="P156" s="550">
        <v>1577</v>
      </c>
      <c r="Q156" s="550"/>
      <c r="R156" s="550"/>
      <c r="T156" s="168">
        <f>1180+260</f>
        <v>1440</v>
      </c>
      <c r="U156" s="168">
        <f>N156-T156</f>
        <v>0</v>
      </c>
    </row>
    <row r="157" spans="1:21" ht="12">
      <c r="A157" s="548" t="s">
        <v>33</v>
      </c>
      <c r="B157" s="548"/>
      <c r="C157" s="548"/>
      <c r="D157" s="548" t="s">
        <v>463</v>
      </c>
      <c r="E157" s="548"/>
      <c r="F157" s="548"/>
      <c r="G157" s="517" t="s">
        <v>226</v>
      </c>
      <c r="H157" s="548" t="s">
        <v>464</v>
      </c>
      <c r="I157" s="548"/>
      <c r="J157" s="549">
        <v>5630</v>
      </c>
      <c r="K157" s="549"/>
      <c r="L157" s="549"/>
      <c r="M157" s="549"/>
      <c r="N157" s="549">
        <v>4733</v>
      </c>
      <c r="O157" s="549"/>
      <c r="P157" s="550">
        <v>897</v>
      </c>
      <c r="Q157" s="550"/>
      <c r="R157" s="550"/>
      <c r="T157" s="168">
        <v>4733</v>
      </c>
      <c r="U157" s="168">
        <f>N157-T157</f>
        <v>0</v>
      </c>
    </row>
    <row r="158" spans="1:21" ht="12">
      <c r="A158" s="548" t="s">
        <v>34</v>
      </c>
      <c r="B158" s="548"/>
      <c r="C158" s="548"/>
      <c r="D158" s="548" t="s">
        <v>463</v>
      </c>
      <c r="E158" s="548"/>
      <c r="F158" s="548"/>
      <c r="G158" s="517" t="s">
        <v>226</v>
      </c>
      <c r="H158" s="548" t="s">
        <v>464</v>
      </c>
      <c r="I158" s="548"/>
      <c r="J158" s="549">
        <v>2899</v>
      </c>
      <c r="K158" s="549"/>
      <c r="L158" s="549"/>
      <c r="M158" s="549"/>
      <c r="N158" s="549">
        <v>2899</v>
      </c>
      <c r="O158" s="549"/>
      <c r="P158" s="550">
        <v>0</v>
      </c>
      <c r="Q158" s="550"/>
      <c r="R158" s="550"/>
      <c r="T158" s="168">
        <v>2899</v>
      </c>
      <c r="U158" s="168">
        <f>N158-T158</f>
        <v>0</v>
      </c>
    </row>
    <row r="159" spans="1:21" ht="12">
      <c r="A159" s="548" t="s">
        <v>35</v>
      </c>
      <c r="B159" s="548"/>
      <c r="C159" s="548"/>
      <c r="D159" s="548" t="s">
        <v>463</v>
      </c>
      <c r="E159" s="548"/>
      <c r="F159" s="548"/>
      <c r="G159" s="517" t="s">
        <v>226</v>
      </c>
      <c r="H159" s="548" t="s">
        <v>464</v>
      </c>
      <c r="I159" s="548"/>
      <c r="J159" s="549">
        <v>6442</v>
      </c>
      <c r="K159" s="549"/>
      <c r="L159" s="549"/>
      <c r="M159" s="549"/>
      <c r="N159" s="549">
        <v>625</v>
      </c>
      <c r="O159" s="549"/>
      <c r="P159" s="550">
        <v>5817</v>
      </c>
      <c r="Q159" s="550"/>
      <c r="R159" s="550"/>
      <c r="T159" s="168">
        <v>625</v>
      </c>
      <c r="U159" s="168">
        <f>N159-T159</f>
        <v>0</v>
      </c>
    </row>
    <row r="160" spans="1:21" ht="10.5">
      <c r="A160" s="245"/>
      <c r="B160" s="245"/>
      <c r="C160" s="245"/>
      <c r="D160" s="245"/>
      <c r="E160" s="245"/>
      <c r="F160" s="245"/>
      <c r="G160" s="245"/>
      <c r="H160" s="245"/>
      <c r="I160" s="245"/>
      <c r="J160" s="245"/>
      <c r="K160" s="245"/>
      <c r="L160" s="245"/>
      <c r="M160" s="245"/>
      <c r="N160" s="245"/>
      <c r="O160" s="245"/>
      <c r="P160" s="245"/>
      <c r="Q160" s="245"/>
      <c r="R160" s="245"/>
      <c r="T160" s="168"/>
      <c r="U160" s="168"/>
    </row>
    <row r="161" spans="1:21" ht="12" thickBot="1">
      <c r="A161" s="240"/>
      <c r="B161" s="240"/>
      <c r="C161" s="240"/>
      <c r="D161" s="240"/>
      <c r="E161" s="240"/>
      <c r="F161" s="240"/>
      <c r="G161" s="240"/>
      <c r="H161" s="240"/>
      <c r="I161" s="240"/>
      <c r="J161" s="552">
        <v>44877</v>
      </c>
      <c r="K161" s="552"/>
      <c r="L161" s="552"/>
      <c r="M161" s="552"/>
      <c r="N161" s="552">
        <v>18646.01</v>
      </c>
      <c r="O161" s="552"/>
      <c r="P161" s="529">
        <v>26230.99</v>
      </c>
      <c r="Q161" s="529"/>
      <c r="R161" s="529"/>
      <c r="T161" s="168">
        <f>SUM(T149:T159)</f>
        <v>18646.010000000002</v>
      </c>
      <c r="U161" s="168">
        <f>SUM(U149:U159)</f>
        <v>0</v>
      </c>
    </row>
    <row r="162" spans="1:18" ht="11.25" thickTop="1">
      <c r="A162" s="246"/>
      <c r="B162" s="246"/>
      <c r="C162" s="246"/>
      <c r="D162" s="246"/>
      <c r="E162" s="246"/>
      <c r="F162" s="246"/>
      <c r="G162" s="246"/>
      <c r="H162" s="246"/>
      <c r="I162" s="246"/>
      <c r="J162" s="246"/>
      <c r="K162" s="246"/>
      <c r="L162" s="246"/>
      <c r="M162" s="246"/>
      <c r="N162" s="246"/>
      <c r="O162" s="246"/>
      <c r="P162" s="246"/>
      <c r="Q162" s="246"/>
      <c r="R162" s="246"/>
    </row>
    <row r="163" spans="1:18" ht="12">
      <c r="A163" s="547" t="s">
        <v>485</v>
      </c>
      <c r="B163" s="547"/>
      <c r="C163" s="547"/>
      <c r="D163" s="547"/>
      <c r="E163" s="547"/>
      <c r="F163" s="547"/>
      <c r="G163" s="547"/>
      <c r="H163" s="547"/>
      <c r="I163" s="240"/>
      <c r="J163" s="553">
        <v>44877</v>
      </c>
      <c r="K163" s="553"/>
      <c r="L163" s="553"/>
      <c r="M163" s="553"/>
      <c r="N163" s="553">
        <v>18646.01</v>
      </c>
      <c r="O163" s="553"/>
      <c r="P163" s="528">
        <v>26230.99</v>
      </c>
      <c r="Q163" s="528"/>
      <c r="R163" s="528"/>
    </row>
    <row r="164" spans="1:18" ht="12">
      <c r="A164" s="544" t="s">
        <v>211</v>
      </c>
      <c r="B164" s="544"/>
      <c r="C164" s="545" t="s">
        <v>486</v>
      </c>
      <c r="D164" s="545"/>
      <c r="E164" s="545"/>
      <c r="F164" s="545"/>
      <c r="G164" s="545"/>
      <c r="H164" s="545"/>
      <c r="I164" s="545"/>
      <c r="J164" s="545"/>
      <c r="K164" s="545"/>
      <c r="L164" s="240"/>
      <c r="M164" s="240"/>
      <c r="N164" s="240"/>
      <c r="O164" s="240"/>
      <c r="P164" s="240"/>
      <c r="Q164" s="240"/>
      <c r="R164" s="240"/>
    </row>
    <row r="165" spans="1:18" ht="10.5">
      <c r="A165" s="544"/>
      <c r="B165" s="544"/>
      <c r="C165" s="240"/>
      <c r="D165" s="240"/>
      <c r="E165" s="240"/>
      <c r="F165" s="240"/>
      <c r="G165" s="240"/>
      <c r="H165" s="240"/>
      <c r="I165" s="240"/>
      <c r="J165" s="240"/>
      <c r="K165" s="240"/>
      <c r="L165" s="240"/>
      <c r="M165" s="240"/>
      <c r="N165" s="240"/>
      <c r="O165" s="240"/>
      <c r="P165" s="240"/>
      <c r="Q165" s="240"/>
      <c r="R165" s="240"/>
    </row>
    <row r="166" spans="1:18" ht="10.5" customHeight="1">
      <c r="A166" s="240"/>
      <c r="B166" s="544" t="s">
        <v>213</v>
      </c>
      <c r="C166" s="544"/>
      <c r="D166" s="545" t="s">
        <v>235</v>
      </c>
      <c r="E166" s="545"/>
      <c r="F166" s="545"/>
      <c r="G166" s="545"/>
      <c r="H166" s="545"/>
      <c r="I166" s="545"/>
      <c r="J166" s="545"/>
      <c r="K166" s="545"/>
      <c r="L166" s="545"/>
      <c r="M166" s="545"/>
      <c r="N166" s="240"/>
      <c r="O166" s="240"/>
      <c r="P166" s="240"/>
      <c r="Q166" s="240"/>
      <c r="R166" s="240"/>
    </row>
    <row r="167" spans="1:18" ht="12">
      <c r="A167" s="544" t="s">
        <v>215</v>
      </c>
      <c r="B167" s="544"/>
      <c r="C167" s="240"/>
      <c r="D167" s="240"/>
      <c r="E167" s="546" t="s">
        <v>216</v>
      </c>
      <c r="F167" s="546"/>
      <c r="G167" s="546"/>
      <c r="H167" s="546"/>
      <c r="I167" s="546"/>
      <c r="J167" s="547" t="s">
        <v>5</v>
      </c>
      <c r="K167" s="547"/>
      <c r="L167" s="547"/>
      <c r="M167" s="547"/>
      <c r="N167" s="547" t="s">
        <v>217</v>
      </c>
      <c r="O167" s="547"/>
      <c r="P167" s="551" t="s">
        <v>521</v>
      </c>
      <c r="Q167" s="551"/>
      <c r="R167" s="240"/>
    </row>
    <row r="168" spans="1:18" ht="12">
      <c r="A168" s="544"/>
      <c r="B168" s="544"/>
      <c r="C168" s="240"/>
      <c r="D168" s="240"/>
      <c r="E168" s="546"/>
      <c r="F168" s="546"/>
      <c r="G168" s="546"/>
      <c r="H168" s="546"/>
      <c r="I168" s="546"/>
      <c r="J168" s="551" t="s">
        <v>223</v>
      </c>
      <c r="K168" s="551"/>
      <c r="L168" s="551"/>
      <c r="M168" s="551"/>
      <c r="N168" s="551" t="s">
        <v>224</v>
      </c>
      <c r="O168" s="551"/>
      <c r="P168" s="551"/>
      <c r="Q168" s="551"/>
      <c r="R168" s="240"/>
    </row>
    <row r="169" spans="1:21" ht="12">
      <c r="A169" s="548" t="s">
        <v>36</v>
      </c>
      <c r="B169" s="548"/>
      <c r="C169" s="548"/>
      <c r="D169" s="548" t="s">
        <v>463</v>
      </c>
      <c r="E169" s="548"/>
      <c r="F169" s="548"/>
      <c r="G169" s="517" t="s">
        <v>226</v>
      </c>
      <c r="H169" s="548" t="s">
        <v>464</v>
      </c>
      <c r="I169" s="548"/>
      <c r="J169" s="549">
        <v>3457.5</v>
      </c>
      <c r="K169" s="549"/>
      <c r="L169" s="549"/>
      <c r="M169" s="549"/>
      <c r="N169" s="549">
        <v>3457.5</v>
      </c>
      <c r="O169" s="549"/>
      <c r="P169" s="550">
        <v>0</v>
      </c>
      <c r="Q169" s="550"/>
      <c r="R169" s="550"/>
      <c r="T169" s="168">
        <v>3457.5</v>
      </c>
      <c r="U169" s="168">
        <f>N169-T169</f>
        <v>0</v>
      </c>
    </row>
    <row r="170" spans="1:21" ht="12">
      <c r="A170" s="548" t="s">
        <v>37</v>
      </c>
      <c r="B170" s="548"/>
      <c r="C170" s="548"/>
      <c r="D170" s="548" t="s">
        <v>463</v>
      </c>
      <c r="E170" s="548"/>
      <c r="F170" s="548"/>
      <c r="G170" s="517" t="s">
        <v>226</v>
      </c>
      <c r="H170" s="548" t="s">
        <v>464</v>
      </c>
      <c r="I170" s="548"/>
      <c r="J170" s="549">
        <v>33986.49</v>
      </c>
      <c r="K170" s="549"/>
      <c r="L170" s="549"/>
      <c r="M170" s="549"/>
      <c r="N170" s="549">
        <v>8556.15</v>
      </c>
      <c r="O170" s="549"/>
      <c r="P170" s="550">
        <v>25430.34</v>
      </c>
      <c r="Q170" s="550"/>
      <c r="R170" s="550"/>
      <c r="T170" s="168">
        <v>8556.15</v>
      </c>
      <c r="U170" s="168">
        <f>N170-T170</f>
        <v>0</v>
      </c>
    </row>
    <row r="171" spans="1:23" ht="12">
      <c r="A171" s="548" t="s">
        <v>31</v>
      </c>
      <c r="B171" s="548"/>
      <c r="C171" s="548"/>
      <c r="D171" s="548" t="s">
        <v>463</v>
      </c>
      <c r="E171" s="548"/>
      <c r="F171" s="548"/>
      <c r="G171" s="517" t="s">
        <v>226</v>
      </c>
      <c r="H171" s="548" t="s">
        <v>464</v>
      </c>
      <c r="I171" s="548"/>
      <c r="J171" s="549">
        <v>19671</v>
      </c>
      <c r="K171" s="549"/>
      <c r="L171" s="549"/>
      <c r="M171" s="549"/>
      <c r="N171" s="549">
        <v>19671</v>
      </c>
      <c r="O171" s="549"/>
      <c r="P171" s="550">
        <v>0</v>
      </c>
      <c r="Q171" s="550"/>
      <c r="R171" s="550"/>
      <c r="T171" s="168">
        <v>19671</v>
      </c>
      <c r="U171" s="168">
        <f>N171-T171</f>
        <v>0</v>
      </c>
      <c r="W171" s="168">
        <f>T155+T171</f>
        <v>25794</v>
      </c>
    </row>
    <row r="172" spans="1:21" ht="12">
      <c r="A172" s="548" t="s">
        <v>32</v>
      </c>
      <c r="B172" s="548"/>
      <c r="C172" s="548"/>
      <c r="D172" s="548" t="s">
        <v>463</v>
      </c>
      <c r="E172" s="548"/>
      <c r="F172" s="548"/>
      <c r="G172" s="517" t="s">
        <v>226</v>
      </c>
      <c r="H172" s="548" t="s">
        <v>464</v>
      </c>
      <c r="I172" s="548"/>
      <c r="J172" s="549">
        <v>9691</v>
      </c>
      <c r="K172" s="549"/>
      <c r="L172" s="549"/>
      <c r="M172" s="549"/>
      <c r="N172" s="549">
        <v>2740</v>
      </c>
      <c r="O172" s="549"/>
      <c r="P172" s="550">
        <v>6951</v>
      </c>
      <c r="Q172" s="550"/>
      <c r="R172" s="550"/>
      <c r="T172" s="168">
        <v>2740</v>
      </c>
      <c r="U172" s="168">
        <f>N172-T172</f>
        <v>0</v>
      </c>
    </row>
    <row r="173" spans="1:23" ht="12">
      <c r="A173" s="548" t="s">
        <v>38</v>
      </c>
      <c r="B173" s="548"/>
      <c r="C173" s="548"/>
      <c r="D173" s="548" t="s">
        <v>463</v>
      </c>
      <c r="E173" s="548"/>
      <c r="F173" s="548"/>
      <c r="G173" s="517" t="s">
        <v>226</v>
      </c>
      <c r="H173" s="548" t="s">
        <v>464</v>
      </c>
      <c r="I173" s="548"/>
      <c r="J173" s="549">
        <v>3681.45</v>
      </c>
      <c r="K173" s="549"/>
      <c r="L173" s="549"/>
      <c r="M173" s="549"/>
      <c r="N173" s="549">
        <v>2647.63</v>
      </c>
      <c r="O173" s="549"/>
      <c r="P173" s="550">
        <v>1033.82</v>
      </c>
      <c r="Q173" s="550"/>
      <c r="R173" s="550"/>
      <c r="T173" s="168">
        <v>2647.63</v>
      </c>
      <c r="U173" s="168">
        <f>N173-T173</f>
        <v>0</v>
      </c>
      <c r="W173" s="494">
        <f>N156+N172</f>
        <v>4180</v>
      </c>
    </row>
    <row r="174" spans="1:21" ht="10.5">
      <c r="A174" s="245"/>
      <c r="B174" s="245"/>
      <c r="C174" s="245"/>
      <c r="D174" s="245"/>
      <c r="E174" s="245"/>
      <c r="F174" s="245"/>
      <c r="G174" s="245"/>
      <c r="H174" s="245"/>
      <c r="I174" s="245"/>
      <c r="J174" s="245"/>
      <c r="K174" s="245"/>
      <c r="L174" s="245"/>
      <c r="M174" s="245"/>
      <c r="N174" s="245"/>
      <c r="O174" s="245"/>
      <c r="P174" s="245"/>
      <c r="Q174" s="245"/>
      <c r="R174" s="245"/>
      <c r="T174" s="168"/>
      <c r="U174" s="168"/>
    </row>
    <row r="175" spans="1:21" ht="12" thickBot="1">
      <c r="A175" s="240"/>
      <c r="B175" s="240"/>
      <c r="C175" s="240"/>
      <c r="D175" s="240"/>
      <c r="E175" s="240"/>
      <c r="F175" s="240"/>
      <c r="G175" s="240"/>
      <c r="H175" s="240"/>
      <c r="I175" s="240"/>
      <c r="J175" s="552">
        <v>70487.44</v>
      </c>
      <c r="K175" s="552"/>
      <c r="L175" s="552"/>
      <c r="M175" s="552"/>
      <c r="N175" s="552">
        <v>37072.28</v>
      </c>
      <c r="O175" s="552"/>
      <c r="P175" s="529">
        <v>33415.16</v>
      </c>
      <c r="Q175" s="529"/>
      <c r="R175" s="529"/>
      <c r="T175" s="168">
        <f>SUM(T169:T173)</f>
        <v>37072.28</v>
      </c>
      <c r="U175" s="168">
        <f>SUM(U169:U173)</f>
        <v>0</v>
      </c>
    </row>
    <row r="176" spans="1:18" ht="11.25" thickTop="1">
      <c r="A176" s="246"/>
      <c r="B176" s="246"/>
      <c r="C176" s="246"/>
      <c r="D176" s="246"/>
      <c r="E176" s="246"/>
      <c r="F176" s="246"/>
      <c r="G176" s="246"/>
      <c r="H176" s="246"/>
      <c r="I176" s="246"/>
      <c r="J176" s="246"/>
      <c r="K176" s="246"/>
      <c r="L176" s="246"/>
      <c r="M176" s="246"/>
      <c r="N176" s="246"/>
      <c r="O176" s="246"/>
      <c r="P176" s="246"/>
      <c r="Q176" s="246"/>
      <c r="R176" s="246"/>
    </row>
    <row r="177" spans="1:18" ht="12">
      <c r="A177" s="547" t="s">
        <v>487</v>
      </c>
      <c r="B177" s="547"/>
      <c r="C177" s="547"/>
      <c r="D177" s="547"/>
      <c r="E177" s="547"/>
      <c r="F177" s="547"/>
      <c r="G177" s="547"/>
      <c r="H177" s="547"/>
      <c r="I177" s="240"/>
      <c r="J177" s="553">
        <v>70487.44</v>
      </c>
      <c r="K177" s="553"/>
      <c r="L177" s="553"/>
      <c r="M177" s="553"/>
      <c r="N177" s="553">
        <v>37072.28</v>
      </c>
      <c r="O177" s="553"/>
      <c r="P177" s="528">
        <v>33415.16</v>
      </c>
      <c r="Q177" s="528"/>
      <c r="R177" s="528"/>
    </row>
    <row r="182" ht="10.5">
      <c r="P182" s="494">
        <f>P35+P58+P98+P122+P131+P143+P163+P177</f>
        <v>4155994.830000001</v>
      </c>
    </row>
  </sheetData>
  <sheetProtection/>
  <mergeCells count="700">
    <mergeCell ref="P173:R173"/>
    <mergeCell ref="J175:M175"/>
    <mergeCell ref="N175:O175"/>
    <mergeCell ref="A177:H177"/>
    <mergeCell ref="J177:M177"/>
    <mergeCell ref="N177:O177"/>
    <mergeCell ref="A173:C173"/>
    <mergeCell ref="D173:F173"/>
    <mergeCell ref="H173:I173"/>
    <mergeCell ref="J173:M173"/>
    <mergeCell ref="N173:O173"/>
    <mergeCell ref="A172:C172"/>
    <mergeCell ref="D172:F172"/>
    <mergeCell ref="H172:I172"/>
    <mergeCell ref="J172:M172"/>
    <mergeCell ref="N172:O172"/>
    <mergeCell ref="P172:R172"/>
    <mergeCell ref="A171:C171"/>
    <mergeCell ref="D171:F171"/>
    <mergeCell ref="H171:I171"/>
    <mergeCell ref="J171:M171"/>
    <mergeCell ref="N171:O171"/>
    <mergeCell ref="P171:R171"/>
    <mergeCell ref="A170:C170"/>
    <mergeCell ref="D170:F170"/>
    <mergeCell ref="H170:I170"/>
    <mergeCell ref="J170:M170"/>
    <mergeCell ref="N170:O170"/>
    <mergeCell ref="P170:R170"/>
    <mergeCell ref="N168:O168"/>
    <mergeCell ref="P168:Q168"/>
    <mergeCell ref="J169:M169"/>
    <mergeCell ref="N169:O169"/>
    <mergeCell ref="A168:B168"/>
    <mergeCell ref="J168:M168"/>
    <mergeCell ref="A167:B167"/>
    <mergeCell ref="E167:I168"/>
    <mergeCell ref="J167:M167"/>
    <mergeCell ref="N167:O167"/>
    <mergeCell ref="P167:Q167"/>
    <mergeCell ref="A169:C169"/>
    <mergeCell ref="D169:F169"/>
    <mergeCell ref="H169:I169"/>
    <mergeCell ref="P169:R169"/>
    <mergeCell ref="J161:M161"/>
    <mergeCell ref="N161:O161"/>
    <mergeCell ref="A163:H163"/>
    <mergeCell ref="J163:M163"/>
    <mergeCell ref="N163:O163"/>
    <mergeCell ref="A164:B165"/>
    <mergeCell ref="C164:K164"/>
    <mergeCell ref="B166:C166"/>
    <mergeCell ref="D166:M166"/>
    <mergeCell ref="A159:C159"/>
    <mergeCell ref="D159:F159"/>
    <mergeCell ref="H159:I159"/>
    <mergeCell ref="J159:M159"/>
    <mergeCell ref="N159:O159"/>
    <mergeCell ref="P159:R159"/>
    <mergeCell ref="A158:C158"/>
    <mergeCell ref="D158:F158"/>
    <mergeCell ref="H158:I158"/>
    <mergeCell ref="J158:M158"/>
    <mergeCell ref="N158:O158"/>
    <mergeCell ref="P158:R158"/>
    <mergeCell ref="A157:C157"/>
    <mergeCell ref="D157:F157"/>
    <mergeCell ref="H157:I157"/>
    <mergeCell ref="J157:M157"/>
    <mergeCell ref="N157:O157"/>
    <mergeCell ref="P157:R157"/>
    <mergeCell ref="A156:C156"/>
    <mergeCell ref="D156:F156"/>
    <mergeCell ref="H156:I156"/>
    <mergeCell ref="J156:M156"/>
    <mergeCell ref="N156:O156"/>
    <mergeCell ref="P156:R156"/>
    <mergeCell ref="A155:C155"/>
    <mergeCell ref="D155:F155"/>
    <mergeCell ref="H155:I155"/>
    <mergeCell ref="J155:M155"/>
    <mergeCell ref="N155:O155"/>
    <mergeCell ref="P155:R155"/>
    <mergeCell ref="A154:C154"/>
    <mergeCell ref="D154:F154"/>
    <mergeCell ref="H154:I154"/>
    <mergeCell ref="J154:M154"/>
    <mergeCell ref="N154:O154"/>
    <mergeCell ref="P154:R154"/>
    <mergeCell ref="A153:C153"/>
    <mergeCell ref="D153:F153"/>
    <mergeCell ref="H153:I153"/>
    <mergeCell ref="J153:M153"/>
    <mergeCell ref="N153:O153"/>
    <mergeCell ref="P153:R153"/>
    <mergeCell ref="A152:C152"/>
    <mergeCell ref="D152:F152"/>
    <mergeCell ref="H152:I152"/>
    <mergeCell ref="J152:M152"/>
    <mergeCell ref="N152:O152"/>
    <mergeCell ref="P152:R152"/>
    <mergeCell ref="A151:C151"/>
    <mergeCell ref="D151:F151"/>
    <mergeCell ref="H151:I151"/>
    <mergeCell ref="J151:M151"/>
    <mergeCell ref="N151:O151"/>
    <mergeCell ref="P151:R151"/>
    <mergeCell ref="A150:C150"/>
    <mergeCell ref="D150:F150"/>
    <mergeCell ref="H150:I150"/>
    <mergeCell ref="J150:M150"/>
    <mergeCell ref="N150:O150"/>
    <mergeCell ref="P150:R150"/>
    <mergeCell ref="A149:C149"/>
    <mergeCell ref="D149:F149"/>
    <mergeCell ref="H149:I149"/>
    <mergeCell ref="J149:M149"/>
    <mergeCell ref="N149:O149"/>
    <mergeCell ref="P149:R149"/>
    <mergeCell ref="N147:O147"/>
    <mergeCell ref="P147:Q147"/>
    <mergeCell ref="A148:B148"/>
    <mergeCell ref="J148:M148"/>
    <mergeCell ref="N148:O148"/>
    <mergeCell ref="P148:Q148"/>
    <mergeCell ref="A144:B145"/>
    <mergeCell ref="C144:K144"/>
    <mergeCell ref="B146:C146"/>
    <mergeCell ref="D146:M146"/>
    <mergeCell ref="A147:B147"/>
    <mergeCell ref="E147:I148"/>
    <mergeCell ref="J147:M147"/>
    <mergeCell ref="J141:M141"/>
    <mergeCell ref="N141:O141"/>
    <mergeCell ref="A143:H143"/>
    <mergeCell ref="J143:M143"/>
    <mergeCell ref="N143:O143"/>
    <mergeCell ref="A139:C139"/>
    <mergeCell ref="D139:F139"/>
    <mergeCell ref="H139:I139"/>
    <mergeCell ref="J139:M139"/>
    <mergeCell ref="N139:O139"/>
    <mergeCell ref="P139:R139"/>
    <mergeCell ref="P129:R129"/>
    <mergeCell ref="N137:O137"/>
    <mergeCell ref="P137:Q137"/>
    <mergeCell ref="A138:B138"/>
    <mergeCell ref="J138:M138"/>
    <mergeCell ref="N138:O138"/>
    <mergeCell ref="P138:Q138"/>
    <mergeCell ref="A134:B135"/>
    <mergeCell ref="C134:K134"/>
    <mergeCell ref="B136:C136"/>
    <mergeCell ref="D136:M136"/>
    <mergeCell ref="A137:B137"/>
    <mergeCell ref="E137:I138"/>
    <mergeCell ref="J137:M137"/>
    <mergeCell ref="J131:M131"/>
    <mergeCell ref="N131:O131"/>
    <mergeCell ref="A133:H133"/>
    <mergeCell ref="J133:M133"/>
    <mergeCell ref="N133:O133"/>
    <mergeCell ref="A129:C129"/>
    <mergeCell ref="D129:F129"/>
    <mergeCell ref="H129:I129"/>
    <mergeCell ref="J129:M129"/>
    <mergeCell ref="N129:O129"/>
    <mergeCell ref="A128:C128"/>
    <mergeCell ref="D128:F128"/>
    <mergeCell ref="H128:I128"/>
    <mergeCell ref="J128:M128"/>
    <mergeCell ref="N128:O128"/>
    <mergeCell ref="P128:R128"/>
    <mergeCell ref="N126:O126"/>
    <mergeCell ref="P126:Q126"/>
    <mergeCell ref="A127:B127"/>
    <mergeCell ref="J127:M127"/>
    <mergeCell ref="N127:O127"/>
    <mergeCell ref="P127:Q127"/>
    <mergeCell ref="A123:B124"/>
    <mergeCell ref="C123:K123"/>
    <mergeCell ref="B125:C125"/>
    <mergeCell ref="D125:M125"/>
    <mergeCell ref="A126:B126"/>
    <mergeCell ref="E126:I127"/>
    <mergeCell ref="J126:M126"/>
    <mergeCell ref="J120:M120"/>
    <mergeCell ref="N120:O120"/>
    <mergeCell ref="A122:H122"/>
    <mergeCell ref="J122:M122"/>
    <mergeCell ref="N122:O122"/>
    <mergeCell ref="A118:C118"/>
    <mergeCell ref="D118:F118"/>
    <mergeCell ref="H118:I118"/>
    <mergeCell ref="J118:M118"/>
    <mergeCell ref="N118:O118"/>
    <mergeCell ref="P118:R118"/>
    <mergeCell ref="A117:C117"/>
    <mergeCell ref="D117:F117"/>
    <mergeCell ref="H117:I117"/>
    <mergeCell ref="J117:M117"/>
    <mergeCell ref="N117:O117"/>
    <mergeCell ref="P117:R117"/>
    <mergeCell ref="A114:C114"/>
    <mergeCell ref="D114:F114"/>
    <mergeCell ref="H114:I114"/>
    <mergeCell ref="J114:M114"/>
    <mergeCell ref="N114:O114"/>
    <mergeCell ref="P114:R114"/>
    <mergeCell ref="A116:C116"/>
    <mergeCell ref="D116:F116"/>
    <mergeCell ref="H116:I116"/>
    <mergeCell ref="J116:M116"/>
    <mergeCell ref="N116:O116"/>
    <mergeCell ref="P116:R116"/>
    <mergeCell ref="A115:C115"/>
    <mergeCell ref="D115:F115"/>
    <mergeCell ref="H115:I115"/>
    <mergeCell ref="J115:M115"/>
    <mergeCell ref="N115:O115"/>
    <mergeCell ref="P115:R115"/>
    <mergeCell ref="J110:M110"/>
    <mergeCell ref="N110:O110"/>
    <mergeCell ref="B111:C111"/>
    <mergeCell ref="D111:M111"/>
    <mergeCell ref="A112:B112"/>
    <mergeCell ref="E112:I113"/>
    <mergeCell ref="J112:M112"/>
    <mergeCell ref="N112:O112"/>
    <mergeCell ref="P112:Q112"/>
    <mergeCell ref="A113:B113"/>
    <mergeCell ref="J113:M113"/>
    <mergeCell ref="N113:O113"/>
    <mergeCell ref="P113:Q113"/>
    <mergeCell ref="A108:C108"/>
    <mergeCell ref="D108:F108"/>
    <mergeCell ref="H108:I108"/>
    <mergeCell ref="J108:M108"/>
    <mergeCell ref="N108:O108"/>
    <mergeCell ref="P108:R108"/>
    <mergeCell ref="A107:C107"/>
    <mergeCell ref="D107:F107"/>
    <mergeCell ref="H107:I107"/>
    <mergeCell ref="J107:M107"/>
    <mergeCell ref="N107:O107"/>
    <mergeCell ref="P107:R107"/>
    <mergeCell ref="A106:C106"/>
    <mergeCell ref="D106:F106"/>
    <mergeCell ref="H106:I106"/>
    <mergeCell ref="J106:M106"/>
    <mergeCell ref="N106:O106"/>
    <mergeCell ref="P106:R106"/>
    <mergeCell ref="A105:C105"/>
    <mergeCell ref="D105:F105"/>
    <mergeCell ref="H105:I105"/>
    <mergeCell ref="J105:M105"/>
    <mergeCell ref="N105:O105"/>
    <mergeCell ref="P105:R105"/>
    <mergeCell ref="A104:C104"/>
    <mergeCell ref="D104:F104"/>
    <mergeCell ref="H104:I104"/>
    <mergeCell ref="J104:M104"/>
    <mergeCell ref="N104:O104"/>
    <mergeCell ref="P104:R104"/>
    <mergeCell ref="N102:O102"/>
    <mergeCell ref="P102:Q102"/>
    <mergeCell ref="A103:B103"/>
    <mergeCell ref="J103:M103"/>
    <mergeCell ref="N103:O103"/>
    <mergeCell ref="P103:Q103"/>
    <mergeCell ref="A99:B100"/>
    <mergeCell ref="C99:K99"/>
    <mergeCell ref="B101:C101"/>
    <mergeCell ref="D101:M101"/>
    <mergeCell ref="A102:B102"/>
    <mergeCell ref="E102:I103"/>
    <mergeCell ref="J102:M102"/>
    <mergeCell ref="J96:M96"/>
    <mergeCell ref="N96:O96"/>
    <mergeCell ref="A98:H98"/>
    <mergeCell ref="J98:M98"/>
    <mergeCell ref="N98:O98"/>
    <mergeCell ref="A94:C94"/>
    <mergeCell ref="D94:F94"/>
    <mergeCell ref="H94:I94"/>
    <mergeCell ref="J94:M94"/>
    <mergeCell ref="N94:O94"/>
    <mergeCell ref="P94:R94"/>
    <mergeCell ref="A93:C93"/>
    <mergeCell ref="D93:F93"/>
    <mergeCell ref="H93:I93"/>
    <mergeCell ref="J93:M93"/>
    <mergeCell ref="N93:O93"/>
    <mergeCell ref="P93:R93"/>
    <mergeCell ref="A92:C92"/>
    <mergeCell ref="D92:F92"/>
    <mergeCell ref="H92:I92"/>
    <mergeCell ref="J92:M92"/>
    <mergeCell ref="N92:O92"/>
    <mergeCell ref="P92:R92"/>
    <mergeCell ref="A91:C91"/>
    <mergeCell ref="D91:F91"/>
    <mergeCell ref="H91:I91"/>
    <mergeCell ref="J91:M91"/>
    <mergeCell ref="N91:O91"/>
    <mergeCell ref="P91:R91"/>
    <mergeCell ref="A90:C90"/>
    <mergeCell ref="D90:F90"/>
    <mergeCell ref="H90:I90"/>
    <mergeCell ref="J90:M90"/>
    <mergeCell ref="N90:O90"/>
    <mergeCell ref="P90:R90"/>
    <mergeCell ref="A89:C89"/>
    <mergeCell ref="D89:F89"/>
    <mergeCell ref="H89:I89"/>
    <mergeCell ref="J89:M89"/>
    <mergeCell ref="N89:O89"/>
    <mergeCell ref="P89:R89"/>
    <mergeCell ref="A88:C88"/>
    <mergeCell ref="D88:F88"/>
    <mergeCell ref="H88:I88"/>
    <mergeCell ref="J88:M88"/>
    <mergeCell ref="N88:O88"/>
    <mergeCell ref="P88:R88"/>
    <mergeCell ref="A87:C87"/>
    <mergeCell ref="D87:F87"/>
    <mergeCell ref="H87:I87"/>
    <mergeCell ref="J87:M87"/>
    <mergeCell ref="N87:O87"/>
    <mergeCell ref="P87:R87"/>
    <mergeCell ref="A86:C86"/>
    <mergeCell ref="D86:F86"/>
    <mergeCell ref="H86:I86"/>
    <mergeCell ref="J86:M86"/>
    <mergeCell ref="N86:O86"/>
    <mergeCell ref="P86:R86"/>
    <mergeCell ref="A85:C85"/>
    <mergeCell ref="D85:F85"/>
    <mergeCell ref="H85:I85"/>
    <mergeCell ref="J85:M85"/>
    <mergeCell ref="N85:O85"/>
    <mergeCell ref="P85:R85"/>
    <mergeCell ref="A82:C82"/>
    <mergeCell ref="D82:F82"/>
    <mergeCell ref="H82:I82"/>
    <mergeCell ref="J82:M82"/>
    <mergeCell ref="N82:O82"/>
    <mergeCell ref="P82:R82"/>
    <mergeCell ref="A84:C84"/>
    <mergeCell ref="D84:F84"/>
    <mergeCell ref="H84:I84"/>
    <mergeCell ref="J84:M84"/>
    <mergeCell ref="N84:O84"/>
    <mergeCell ref="P84:R84"/>
    <mergeCell ref="A83:C83"/>
    <mergeCell ref="D83:F83"/>
    <mergeCell ref="H83:I83"/>
    <mergeCell ref="J83:M83"/>
    <mergeCell ref="N83:O83"/>
    <mergeCell ref="P83:R83"/>
    <mergeCell ref="J78:M78"/>
    <mergeCell ref="N78:O78"/>
    <mergeCell ref="B79:C79"/>
    <mergeCell ref="D79:M79"/>
    <mergeCell ref="A80:B80"/>
    <mergeCell ref="E80:I81"/>
    <mergeCell ref="J80:M80"/>
    <mergeCell ref="N80:O80"/>
    <mergeCell ref="P80:Q80"/>
    <mergeCell ref="A81:B81"/>
    <mergeCell ref="J81:M81"/>
    <mergeCell ref="N81:O81"/>
    <mergeCell ref="P81:Q81"/>
    <mergeCell ref="A76:C76"/>
    <mergeCell ref="D76:F76"/>
    <mergeCell ref="H76:I76"/>
    <mergeCell ref="J76:M76"/>
    <mergeCell ref="N76:O76"/>
    <mergeCell ref="P76:R76"/>
    <mergeCell ref="A75:C75"/>
    <mergeCell ref="D75:F75"/>
    <mergeCell ref="H75:I75"/>
    <mergeCell ref="J75:M75"/>
    <mergeCell ref="N75:O75"/>
    <mergeCell ref="P75:R75"/>
    <mergeCell ref="A74:C74"/>
    <mergeCell ref="D74:F74"/>
    <mergeCell ref="H74:I74"/>
    <mergeCell ref="J74:M74"/>
    <mergeCell ref="N74:O74"/>
    <mergeCell ref="P74:R74"/>
    <mergeCell ref="A73:C73"/>
    <mergeCell ref="D73:F73"/>
    <mergeCell ref="H73:I73"/>
    <mergeCell ref="J73:M73"/>
    <mergeCell ref="N73:O73"/>
    <mergeCell ref="P73:R73"/>
    <mergeCell ref="A72:C72"/>
    <mergeCell ref="D72:F72"/>
    <mergeCell ref="H72:I72"/>
    <mergeCell ref="J72:M72"/>
    <mergeCell ref="N72:O72"/>
    <mergeCell ref="P72:R72"/>
    <mergeCell ref="A71:C71"/>
    <mergeCell ref="D71:F71"/>
    <mergeCell ref="H71:I71"/>
    <mergeCell ref="J71:M71"/>
    <mergeCell ref="N71:O71"/>
    <mergeCell ref="P71:R71"/>
    <mergeCell ref="A70:C70"/>
    <mergeCell ref="D70:F70"/>
    <mergeCell ref="H70:I70"/>
    <mergeCell ref="J70:M70"/>
    <mergeCell ref="N70:O70"/>
    <mergeCell ref="P70:R70"/>
    <mergeCell ref="A69:C69"/>
    <mergeCell ref="D69:F69"/>
    <mergeCell ref="H69:I69"/>
    <mergeCell ref="J69:M69"/>
    <mergeCell ref="N69:O69"/>
    <mergeCell ref="P69:R69"/>
    <mergeCell ref="A68:C68"/>
    <mergeCell ref="D68:F68"/>
    <mergeCell ref="H68:I68"/>
    <mergeCell ref="J68:M68"/>
    <mergeCell ref="N68:O68"/>
    <mergeCell ref="P68:R68"/>
    <mergeCell ref="A67:C67"/>
    <mergeCell ref="D67:F67"/>
    <mergeCell ref="H67:I67"/>
    <mergeCell ref="J67:M67"/>
    <mergeCell ref="N67:O67"/>
    <mergeCell ref="P67:R67"/>
    <mergeCell ref="A66:C66"/>
    <mergeCell ref="D66:F66"/>
    <mergeCell ref="H66:I66"/>
    <mergeCell ref="J66:M66"/>
    <mergeCell ref="N66:O66"/>
    <mergeCell ref="P66:R66"/>
    <mergeCell ref="A65:C65"/>
    <mergeCell ref="D65:F65"/>
    <mergeCell ref="H65:I65"/>
    <mergeCell ref="J65:M65"/>
    <mergeCell ref="N65:O65"/>
    <mergeCell ref="P65:R65"/>
    <mergeCell ref="A64:C64"/>
    <mergeCell ref="D64:F64"/>
    <mergeCell ref="H64:I64"/>
    <mergeCell ref="J64:M64"/>
    <mergeCell ref="N64:O64"/>
    <mergeCell ref="P64:R64"/>
    <mergeCell ref="N62:O62"/>
    <mergeCell ref="P62:Q62"/>
    <mergeCell ref="A63:B63"/>
    <mergeCell ref="J63:M63"/>
    <mergeCell ref="N63:O63"/>
    <mergeCell ref="P63:Q63"/>
    <mergeCell ref="A59:B60"/>
    <mergeCell ref="C59:K59"/>
    <mergeCell ref="B61:C61"/>
    <mergeCell ref="D61:M61"/>
    <mergeCell ref="A62:B62"/>
    <mergeCell ref="E62:I63"/>
    <mergeCell ref="J62:M62"/>
    <mergeCell ref="J56:M56"/>
    <mergeCell ref="N56:O56"/>
    <mergeCell ref="A58:H58"/>
    <mergeCell ref="J58:M58"/>
    <mergeCell ref="N58:O58"/>
    <mergeCell ref="A54:C54"/>
    <mergeCell ref="D54:F54"/>
    <mergeCell ref="H54:I54"/>
    <mergeCell ref="J54:M54"/>
    <mergeCell ref="N54:O54"/>
    <mergeCell ref="P54:R54"/>
    <mergeCell ref="A53:C53"/>
    <mergeCell ref="D53:F53"/>
    <mergeCell ref="H53:I53"/>
    <mergeCell ref="J53:M53"/>
    <mergeCell ref="N53:O53"/>
    <mergeCell ref="P53:R53"/>
    <mergeCell ref="A50:C50"/>
    <mergeCell ref="D50:F50"/>
    <mergeCell ref="H50:I50"/>
    <mergeCell ref="J50:M50"/>
    <mergeCell ref="N50:O50"/>
    <mergeCell ref="P50:R50"/>
    <mergeCell ref="A52:C52"/>
    <mergeCell ref="D52:F52"/>
    <mergeCell ref="H52:I52"/>
    <mergeCell ref="J52:M52"/>
    <mergeCell ref="N52:O52"/>
    <mergeCell ref="P52:R52"/>
    <mergeCell ref="A51:C51"/>
    <mergeCell ref="D51:F51"/>
    <mergeCell ref="H51:I51"/>
    <mergeCell ref="J51:M51"/>
    <mergeCell ref="N51:O51"/>
    <mergeCell ref="P51:R51"/>
    <mergeCell ref="J46:M46"/>
    <mergeCell ref="N46:O46"/>
    <mergeCell ref="B47:C47"/>
    <mergeCell ref="D47:M47"/>
    <mergeCell ref="A48:B48"/>
    <mergeCell ref="E48:I49"/>
    <mergeCell ref="J48:M48"/>
    <mergeCell ref="N48:O48"/>
    <mergeCell ref="P48:Q48"/>
    <mergeCell ref="A49:B49"/>
    <mergeCell ref="J49:M49"/>
    <mergeCell ref="N49:O49"/>
    <mergeCell ref="P49:Q49"/>
    <mergeCell ref="A44:C44"/>
    <mergeCell ref="D44:F44"/>
    <mergeCell ref="H44:I44"/>
    <mergeCell ref="J44:M44"/>
    <mergeCell ref="N44:O44"/>
    <mergeCell ref="P44:R44"/>
    <mergeCell ref="A43:C43"/>
    <mergeCell ref="D43:F43"/>
    <mergeCell ref="H43:I43"/>
    <mergeCell ref="J43:M43"/>
    <mergeCell ref="N43:O43"/>
    <mergeCell ref="P43:R43"/>
    <mergeCell ref="P31:R31"/>
    <mergeCell ref="A42:C42"/>
    <mergeCell ref="D42:F42"/>
    <mergeCell ref="H42:I42"/>
    <mergeCell ref="J42:M42"/>
    <mergeCell ref="N42:O42"/>
    <mergeCell ref="P42:R42"/>
    <mergeCell ref="A41:C41"/>
    <mergeCell ref="D41:F41"/>
    <mergeCell ref="H41:I41"/>
    <mergeCell ref="J41:M41"/>
    <mergeCell ref="N41:O41"/>
    <mergeCell ref="P41:R41"/>
    <mergeCell ref="J33:M33"/>
    <mergeCell ref="N33:O33"/>
    <mergeCell ref="A35:H35"/>
    <mergeCell ref="J35:M35"/>
    <mergeCell ref="N35:O35"/>
    <mergeCell ref="A31:C31"/>
    <mergeCell ref="D31:F31"/>
    <mergeCell ref="H31:I31"/>
    <mergeCell ref="J31:M31"/>
    <mergeCell ref="N31:O31"/>
    <mergeCell ref="N39:O39"/>
    <mergeCell ref="P39:Q39"/>
    <mergeCell ref="A40:B40"/>
    <mergeCell ref="J40:M40"/>
    <mergeCell ref="N40:O40"/>
    <mergeCell ref="P40:Q40"/>
    <mergeCell ref="A36:B37"/>
    <mergeCell ref="C36:K36"/>
    <mergeCell ref="B38:C38"/>
    <mergeCell ref="D38:M38"/>
    <mergeCell ref="A39:B39"/>
    <mergeCell ref="E39:I40"/>
    <mergeCell ref="J39:M39"/>
    <mergeCell ref="A30:C30"/>
    <mergeCell ref="D30:F30"/>
    <mergeCell ref="H30:I30"/>
    <mergeCell ref="J30:M30"/>
    <mergeCell ref="N30:O30"/>
    <mergeCell ref="P30:R30"/>
    <mergeCell ref="A29:C29"/>
    <mergeCell ref="D29:F29"/>
    <mergeCell ref="H29:I29"/>
    <mergeCell ref="J29:M29"/>
    <mergeCell ref="N29:O29"/>
    <mergeCell ref="P29:R29"/>
    <mergeCell ref="A28:C28"/>
    <mergeCell ref="D28:F28"/>
    <mergeCell ref="H28:I28"/>
    <mergeCell ref="J28:M28"/>
    <mergeCell ref="N28:O28"/>
    <mergeCell ref="P28:R28"/>
    <mergeCell ref="A27:C27"/>
    <mergeCell ref="D27:F27"/>
    <mergeCell ref="H27:I27"/>
    <mergeCell ref="J27:M27"/>
    <mergeCell ref="N27:O27"/>
    <mergeCell ref="P27:R27"/>
    <mergeCell ref="A26:C26"/>
    <mergeCell ref="D26:F26"/>
    <mergeCell ref="H26:I26"/>
    <mergeCell ref="J26:M26"/>
    <mergeCell ref="N26:O26"/>
    <mergeCell ref="P26:R26"/>
    <mergeCell ref="A25:C25"/>
    <mergeCell ref="D25:F25"/>
    <mergeCell ref="H25:I25"/>
    <mergeCell ref="J25:M25"/>
    <mergeCell ref="N25:O25"/>
    <mergeCell ref="P25:R25"/>
    <mergeCell ref="A24:C24"/>
    <mergeCell ref="D24:F24"/>
    <mergeCell ref="H24:I24"/>
    <mergeCell ref="J24:M24"/>
    <mergeCell ref="N24:O24"/>
    <mergeCell ref="P24:R24"/>
    <mergeCell ref="A23:C23"/>
    <mergeCell ref="D23:F23"/>
    <mergeCell ref="H23:I23"/>
    <mergeCell ref="J23:M23"/>
    <mergeCell ref="N23:O23"/>
    <mergeCell ref="P23:R23"/>
    <mergeCell ref="A22:C22"/>
    <mergeCell ref="D22:F22"/>
    <mergeCell ref="H22:I22"/>
    <mergeCell ref="J22:M22"/>
    <mergeCell ref="N22:O22"/>
    <mergeCell ref="P22:R22"/>
    <mergeCell ref="A20:B20"/>
    <mergeCell ref="J20:M20"/>
    <mergeCell ref="N20:O20"/>
    <mergeCell ref="P20:Q20"/>
    <mergeCell ref="A21:C21"/>
    <mergeCell ref="D21:F21"/>
    <mergeCell ref="H21:I21"/>
    <mergeCell ref="J21:M21"/>
    <mergeCell ref="N21:O21"/>
    <mergeCell ref="P21:R21"/>
    <mergeCell ref="J17:M17"/>
    <mergeCell ref="N17:O17"/>
    <mergeCell ref="B18:C18"/>
    <mergeCell ref="D18:M18"/>
    <mergeCell ref="A19:B19"/>
    <mergeCell ref="E19:I20"/>
    <mergeCell ref="J19:M19"/>
    <mergeCell ref="N19:O19"/>
    <mergeCell ref="P19:Q19"/>
    <mergeCell ref="A15:C15"/>
    <mergeCell ref="D15:F15"/>
    <mergeCell ref="H15:I15"/>
    <mergeCell ref="J15:M15"/>
    <mergeCell ref="N15:O15"/>
    <mergeCell ref="P15:R15"/>
    <mergeCell ref="A14:C14"/>
    <mergeCell ref="D14:F14"/>
    <mergeCell ref="H14:I14"/>
    <mergeCell ref="J14:M14"/>
    <mergeCell ref="N14:O14"/>
    <mergeCell ref="P14:R14"/>
    <mergeCell ref="A13:C13"/>
    <mergeCell ref="D13:F13"/>
    <mergeCell ref="H13:I13"/>
    <mergeCell ref="J13:M13"/>
    <mergeCell ref="N13:O13"/>
    <mergeCell ref="P13:R13"/>
    <mergeCell ref="A12:C12"/>
    <mergeCell ref="D12:F12"/>
    <mergeCell ref="H12:I12"/>
    <mergeCell ref="J12:M12"/>
    <mergeCell ref="N12:O12"/>
    <mergeCell ref="P12:R12"/>
    <mergeCell ref="A11:C11"/>
    <mergeCell ref="D11:F11"/>
    <mergeCell ref="H11:I11"/>
    <mergeCell ref="J11:M11"/>
    <mergeCell ref="N11:O11"/>
    <mergeCell ref="P11:R11"/>
    <mergeCell ref="A10:C10"/>
    <mergeCell ref="D10:F10"/>
    <mergeCell ref="H10:I10"/>
    <mergeCell ref="J10:M10"/>
    <mergeCell ref="N10:O10"/>
    <mergeCell ref="P10:R10"/>
    <mergeCell ref="N7:O7"/>
    <mergeCell ref="P7:R7"/>
    <mergeCell ref="N5:O5"/>
    <mergeCell ref="P5:Q5"/>
    <mergeCell ref="A6:B6"/>
    <mergeCell ref="J6:M6"/>
    <mergeCell ref="N6:O6"/>
    <mergeCell ref="P6:Q6"/>
    <mergeCell ref="A9:C9"/>
    <mergeCell ref="D9:F9"/>
    <mergeCell ref="H9:I9"/>
    <mergeCell ref="J9:M9"/>
    <mergeCell ref="N9:O9"/>
    <mergeCell ref="P9:R9"/>
    <mergeCell ref="A8:C8"/>
    <mergeCell ref="D8:F8"/>
    <mergeCell ref="H8:I8"/>
    <mergeCell ref="J8:M8"/>
    <mergeCell ref="N8:O8"/>
    <mergeCell ref="P8:R8"/>
    <mergeCell ref="A2:B3"/>
    <mergeCell ref="C2:K2"/>
    <mergeCell ref="B4:C4"/>
    <mergeCell ref="D4:M4"/>
    <mergeCell ref="A5:B5"/>
    <mergeCell ref="E5:I6"/>
    <mergeCell ref="J5:M5"/>
    <mergeCell ref="A7:C7"/>
    <mergeCell ref="D7:F7"/>
    <mergeCell ref="H7:I7"/>
    <mergeCell ref="J7:M7"/>
  </mergeCells>
  <printOptions/>
  <pageMargins left="0.7" right="0.7" top="0.75" bottom="0.75" header="0.3" footer="0.3"/>
  <pageSetup horizontalDpi="600" verticalDpi="600" orientation="portrait" r:id="rId1"/>
  <ignoredErrors>
    <ignoredError sqref="T109:U110 T11:U12 U24 T45:U49 U67 U85 T119:U120 U7 U8 T16:U17 U13 U21 U22 U23 U30 U29 T32:U33 U31 U41 U42:U44 T55:U56 U50 U51 U52 U53 U54 U64 U65 U66 U69 U68 T77:U78 U70 U71 U72 U73 U74 U75 U76 U82 U83 U84 T95:U96 U88 U89 U90 U91 U92 U93 U94 U104 U105 U106 U107 U108 U114 U115 U116 U117 U118 T174:U175 U14 U87 U86 U9 T26:U26 U25 U15 U139 U128:U138 U140:U149 U28 U27 U155:U156 U151:U154 U157:U159 T160:U168 U150 T156 T151:T152 U10 U169:U173 W171 W173 P182" unlockedFormula="1"/>
  </ignoredErrors>
</worksheet>
</file>

<file path=xl/worksheets/sheet6.xml><?xml version="1.0" encoding="utf-8"?>
<worksheet xmlns="http://schemas.openxmlformats.org/spreadsheetml/2006/main" xmlns:r="http://schemas.openxmlformats.org/officeDocument/2006/relationships">
  <sheetPr>
    <tabColor rgb="FFFF0000"/>
  </sheetPr>
  <dimension ref="A1:AA196"/>
  <sheetViews>
    <sheetView zoomScalePageLayoutView="0" workbookViewId="0" topLeftCell="A151">
      <selection activeCell="A6" sqref="A6"/>
    </sheetView>
  </sheetViews>
  <sheetFormatPr defaultColWidth="9.33203125" defaultRowHeight="10.5"/>
  <cols>
    <col min="1" max="1" width="11.83203125" style="85" customWidth="1"/>
    <col min="2" max="2" width="4.16015625" style="87" customWidth="1"/>
    <col min="3" max="3" width="5.16015625" style="87" customWidth="1"/>
    <col min="4" max="4" width="9.83203125" style="87" customWidth="1"/>
    <col min="5" max="5" width="7" style="47" customWidth="1"/>
    <col min="6" max="6" width="3.83203125" style="48" customWidth="1"/>
    <col min="7" max="7" width="4.83203125" style="48" customWidth="1"/>
    <col min="8" max="8" width="9.33203125" style="48" customWidth="1"/>
    <col min="9" max="9" width="4.33203125" style="48" customWidth="1"/>
    <col min="10" max="10" width="2.83203125" style="48" customWidth="1"/>
    <col min="11" max="11" width="3.33203125" style="48" customWidth="1"/>
    <col min="12" max="12" width="1.83203125" style="48" customWidth="1"/>
    <col min="13" max="13" width="9.33203125" style="48" customWidth="1"/>
    <col min="14" max="14" width="2.5" style="48" customWidth="1"/>
    <col min="15" max="15" width="9.83203125" style="48" customWidth="1"/>
    <col min="16" max="16" width="12" style="48" customWidth="1"/>
    <col min="17" max="17" width="3.33203125" style="48" customWidth="1"/>
    <col min="18" max="18" width="2.83203125" style="48" customWidth="1"/>
    <col min="19" max="19" width="3.16015625" style="48" customWidth="1"/>
    <col min="20" max="20" width="9.33203125" style="48" customWidth="1"/>
    <col min="21" max="21" width="3.16015625" style="48" customWidth="1"/>
    <col min="22" max="22" width="9.33203125" style="48" customWidth="1"/>
    <col min="23" max="23" width="11" style="48" customWidth="1"/>
    <col min="24" max="24" width="13.33203125" style="48" bestFit="1" customWidth="1"/>
    <col min="25" max="25" width="10.66015625" style="48" bestFit="1" customWidth="1"/>
    <col min="26" max="26" width="9.33203125" style="48" customWidth="1"/>
    <col min="27" max="27" width="10.66015625" style="48" bestFit="1" customWidth="1"/>
    <col min="28" max="16384" width="9.33203125" style="48" customWidth="1"/>
  </cols>
  <sheetData>
    <row r="1" spans="1:5" ht="10.5">
      <c r="A1" s="48"/>
      <c r="B1" s="48"/>
      <c r="C1" s="48"/>
      <c r="D1" s="48"/>
      <c r="E1" s="48"/>
    </row>
    <row r="2" spans="1:5" ht="10.5">
      <c r="A2" s="48"/>
      <c r="B2" s="48"/>
      <c r="C2" s="48"/>
      <c r="D2" s="48"/>
      <c r="E2" s="48"/>
    </row>
    <row r="3" spans="1:5" ht="10.5">
      <c r="A3" s="48"/>
      <c r="B3" s="48"/>
      <c r="C3" s="48"/>
      <c r="D3" s="48"/>
      <c r="E3" s="48"/>
    </row>
    <row r="4" s="94" customFormat="1" ht="10.5">
      <c r="A4" s="203" t="s">
        <v>120</v>
      </c>
    </row>
    <row r="5" spans="1:5" ht="11.25" customHeight="1">
      <c r="A5" s="229" t="s">
        <v>506</v>
      </c>
      <c r="B5" s="48"/>
      <c r="C5" s="48"/>
      <c r="D5" s="48"/>
      <c r="E5" s="48"/>
    </row>
    <row r="6" s="88" customFormat="1" ht="10.5" customHeight="1">
      <c r="A6" s="236" t="s">
        <v>194</v>
      </c>
    </row>
    <row r="7" spans="1:23" ht="10.5" customHeight="1">
      <c r="A7" s="558" t="s">
        <v>211</v>
      </c>
      <c r="B7" s="558"/>
      <c r="C7" s="559" t="s">
        <v>346</v>
      </c>
      <c r="D7" s="559"/>
      <c r="E7" s="559"/>
      <c r="F7" s="559"/>
      <c r="G7" s="559"/>
      <c r="H7" s="559"/>
      <c r="I7" s="559"/>
      <c r="J7" s="559"/>
      <c r="K7" s="559"/>
      <c r="L7" s="240"/>
      <c r="M7" s="240"/>
      <c r="N7" s="240"/>
      <c r="O7" s="240"/>
      <c r="P7" s="240"/>
      <c r="Q7" s="240"/>
      <c r="R7" s="240"/>
      <c r="S7" s="240"/>
      <c r="T7" s="240"/>
      <c r="U7" s="240"/>
      <c r="V7" s="240"/>
      <c r="W7" s="240"/>
    </row>
    <row r="8" spans="1:23" ht="10.5" customHeight="1">
      <c r="A8" s="558"/>
      <c r="B8" s="558"/>
      <c r="C8" s="240"/>
      <c r="D8" s="240"/>
      <c r="E8" s="240"/>
      <c r="F8" s="240"/>
      <c r="G8" s="240"/>
      <c r="H8" s="240"/>
      <c r="I8" s="240"/>
      <c r="J8" s="240"/>
      <c r="K8" s="240"/>
      <c r="L8" s="240"/>
      <c r="M8" s="240"/>
      <c r="N8" s="240"/>
      <c r="O8" s="240"/>
      <c r="P8" s="240"/>
      <c r="Q8" s="240"/>
      <c r="R8" s="240"/>
      <c r="S8" s="240"/>
      <c r="T8" s="240"/>
      <c r="U8" s="240"/>
      <c r="V8" s="240"/>
      <c r="W8" s="240"/>
    </row>
    <row r="9" spans="1:23" ht="12">
      <c r="A9" s="240"/>
      <c r="B9" s="558" t="s">
        <v>213</v>
      </c>
      <c r="C9" s="558"/>
      <c r="D9" s="559" t="s">
        <v>214</v>
      </c>
      <c r="E9" s="559"/>
      <c r="F9" s="559"/>
      <c r="G9" s="559"/>
      <c r="H9" s="559"/>
      <c r="I9" s="559"/>
      <c r="J9" s="559"/>
      <c r="K9" s="559"/>
      <c r="L9" s="559"/>
      <c r="M9" s="559"/>
      <c r="N9" s="240"/>
      <c r="O9" s="240"/>
      <c r="P9" s="240"/>
      <c r="Q9" s="240"/>
      <c r="R9" s="240"/>
      <c r="S9" s="240"/>
      <c r="T9" s="240"/>
      <c r="U9" s="240"/>
      <c r="V9" s="240"/>
      <c r="W9" s="240"/>
    </row>
    <row r="10" spans="1:23" ht="12">
      <c r="A10" s="558" t="s">
        <v>215</v>
      </c>
      <c r="B10" s="558"/>
      <c r="C10" s="240"/>
      <c r="D10" s="240"/>
      <c r="E10" s="562" t="s">
        <v>216</v>
      </c>
      <c r="F10" s="562"/>
      <c r="G10" s="562"/>
      <c r="H10" s="562"/>
      <c r="I10" s="562"/>
      <c r="J10" s="560" t="s">
        <v>5</v>
      </c>
      <c r="K10" s="560"/>
      <c r="L10" s="560"/>
      <c r="M10" s="560"/>
      <c r="N10" s="560" t="s">
        <v>217</v>
      </c>
      <c r="O10" s="560"/>
      <c r="P10" s="561" t="s">
        <v>218</v>
      </c>
      <c r="Q10" s="561"/>
      <c r="R10" s="240"/>
      <c r="S10" s="560"/>
      <c r="T10" s="560"/>
      <c r="U10" s="240"/>
      <c r="V10" s="477"/>
      <c r="W10" s="477"/>
    </row>
    <row r="11" spans="1:25" s="94" customFormat="1" ht="12">
      <c r="A11" s="558"/>
      <c r="B11" s="558"/>
      <c r="C11" s="240"/>
      <c r="D11" s="240"/>
      <c r="E11" s="562"/>
      <c r="F11" s="562"/>
      <c r="G11" s="562"/>
      <c r="H11" s="562"/>
      <c r="I11" s="562"/>
      <c r="J11" s="561" t="s">
        <v>223</v>
      </c>
      <c r="K11" s="561"/>
      <c r="L11" s="561"/>
      <c r="M11" s="561"/>
      <c r="N11" s="561" t="s">
        <v>224</v>
      </c>
      <c r="O11" s="561"/>
      <c r="P11" s="561"/>
      <c r="Q11" s="561"/>
      <c r="R11" s="240"/>
      <c r="S11" s="561"/>
      <c r="T11" s="561"/>
      <c r="U11" s="240"/>
      <c r="V11" s="468"/>
      <c r="W11" s="468"/>
      <c r="X11" s="201" t="s">
        <v>419</v>
      </c>
      <c r="Y11" s="201" t="s">
        <v>420</v>
      </c>
    </row>
    <row r="12" spans="1:25" ht="12" customHeight="1">
      <c r="A12" s="555" t="s">
        <v>25</v>
      </c>
      <c r="B12" s="555"/>
      <c r="C12" s="555"/>
      <c r="D12" s="555" t="s">
        <v>347</v>
      </c>
      <c r="E12" s="555"/>
      <c r="F12" s="555"/>
      <c r="G12" s="502" t="s">
        <v>226</v>
      </c>
      <c r="H12" s="555" t="s">
        <v>348</v>
      </c>
      <c r="I12" s="555"/>
      <c r="J12" s="556">
        <v>17512</v>
      </c>
      <c r="K12" s="556"/>
      <c r="L12" s="556"/>
      <c r="M12" s="556"/>
      <c r="N12" s="556">
        <v>17512</v>
      </c>
      <c r="O12" s="556"/>
      <c r="P12" s="557">
        <v>0</v>
      </c>
      <c r="Q12" s="557"/>
      <c r="R12" s="557"/>
      <c r="S12" s="556"/>
      <c r="T12" s="556"/>
      <c r="U12" s="557"/>
      <c r="V12" s="557"/>
      <c r="W12" s="478"/>
      <c r="X12" s="198">
        <v>17512</v>
      </c>
      <c r="Y12" s="198">
        <f>N12-X12</f>
        <v>0</v>
      </c>
    </row>
    <row r="13" spans="1:25" s="88" customFormat="1" ht="12">
      <c r="A13" s="555" t="s">
        <v>26</v>
      </c>
      <c r="B13" s="555"/>
      <c r="C13" s="555"/>
      <c r="D13" s="555" t="s">
        <v>347</v>
      </c>
      <c r="E13" s="555"/>
      <c r="F13" s="555"/>
      <c r="G13" s="502" t="s">
        <v>226</v>
      </c>
      <c r="H13" s="555" t="s">
        <v>348</v>
      </c>
      <c r="I13" s="555"/>
      <c r="J13" s="556">
        <v>672.46</v>
      </c>
      <c r="K13" s="556"/>
      <c r="L13" s="556"/>
      <c r="M13" s="556"/>
      <c r="N13" s="556">
        <v>672.46</v>
      </c>
      <c r="O13" s="556"/>
      <c r="P13" s="557">
        <v>0</v>
      </c>
      <c r="Q13" s="557"/>
      <c r="R13" s="557"/>
      <c r="S13" s="556"/>
      <c r="T13" s="556"/>
      <c r="U13" s="557"/>
      <c r="V13" s="557"/>
      <c r="W13" s="478"/>
      <c r="X13" s="198">
        <v>672.46</v>
      </c>
      <c r="Y13" s="198">
        <f aca="true" t="shared" si="0" ref="Y13:Y23">N13-X13</f>
        <v>0</v>
      </c>
    </row>
    <row r="14" spans="1:25" ht="12">
      <c r="A14" s="555" t="s">
        <v>27</v>
      </c>
      <c r="B14" s="555"/>
      <c r="C14" s="555"/>
      <c r="D14" s="555" t="s">
        <v>347</v>
      </c>
      <c r="E14" s="555"/>
      <c r="F14" s="555"/>
      <c r="G14" s="502" t="s">
        <v>226</v>
      </c>
      <c r="H14" s="555" t="s">
        <v>348</v>
      </c>
      <c r="I14" s="555"/>
      <c r="J14" s="556">
        <v>9638</v>
      </c>
      <c r="K14" s="556"/>
      <c r="L14" s="556"/>
      <c r="M14" s="556"/>
      <c r="N14" s="556">
        <v>9638</v>
      </c>
      <c r="O14" s="556"/>
      <c r="P14" s="557">
        <v>0</v>
      </c>
      <c r="Q14" s="557"/>
      <c r="R14" s="557"/>
      <c r="S14" s="556"/>
      <c r="T14" s="556"/>
      <c r="U14" s="557"/>
      <c r="V14" s="557"/>
      <c r="W14" s="478"/>
      <c r="X14" s="198">
        <v>9638</v>
      </c>
      <c r="Y14" s="198">
        <f t="shared" si="0"/>
        <v>0</v>
      </c>
    </row>
    <row r="15" spans="1:25" ht="12">
      <c r="A15" s="555" t="s">
        <v>349</v>
      </c>
      <c r="B15" s="555"/>
      <c r="C15" s="555"/>
      <c r="D15" s="555" t="s">
        <v>347</v>
      </c>
      <c r="E15" s="555"/>
      <c r="F15" s="555"/>
      <c r="G15" s="502" t="s">
        <v>226</v>
      </c>
      <c r="H15" s="555" t="s">
        <v>348</v>
      </c>
      <c r="I15" s="555"/>
      <c r="J15" s="556">
        <v>1629</v>
      </c>
      <c r="K15" s="556"/>
      <c r="L15" s="556"/>
      <c r="M15" s="556"/>
      <c r="N15" s="556">
        <v>1629</v>
      </c>
      <c r="O15" s="556"/>
      <c r="P15" s="557">
        <v>0</v>
      </c>
      <c r="Q15" s="557"/>
      <c r="R15" s="557"/>
      <c r="S15" s="556"/>
      <c r="T15" s="556"/>
      <c r="U15" s="557"/>
      <c r="V15" s="557"/>
      <c r="W15" s="478"/>
      <c r="X15" s="198">
        <v>1629</v>
      </c>
      <c r="Y15" s="198">
        <f t="shared" si="0"/>
        <v>0</v>
      </c>
    </row>
    <row r="16" spans="1:25" ht="12">
      <c r="A16" s="555" t="s">
        <v>29</v>
      </c>
      <c r="B16" s="555"/>
      <c r="C16" s="555"/>
      <c r="D16" s="555" t="s">
        <v>347</v>
      </c>
      <c r="E16" s="555"/>
      <c r="F16" s="555"/>
      <c r="G16" s="502" t="s">
        <v>226</v>
      </c>
      <c r="H16" s="555" t="s">
        <v>348</v>
      </c>
      <c r="I16" s="555"/>
      <c r="J16" s="556">
        <v>8818</v>
      </c>
      <c r="K16" s="556"/>
      <c r="L16" s="556"/>
      <c r="M16" s="556"/>
      <c r="N16" s="556">
        <v>8818</v>
      </c>
      <c r="O16" s="556"/>
      <c r="P16" s="557">
        <v>0</v>
      </c>
      <c r="Q16" s="557"/>
      <c r="R16" s="557"/>
      <c r="S16" s="556"/>
      <c r="T16" s="556"/>
      <c r="U16" s="557"/>
      <c r="V16" s="557"/>
      <c r="W16" s="478"/>
      <c r="X16" s="198">
        <v>8818</v>
      </c>
      <c r="Y16" s="198">
        <f t="shared" si="0"/>
        <v>0</v>
      </c>
    </row>
    <row r="17" spans="1:25" ht="12">
      <c r="A17" s="555" t="s">
        <v>350</v>
      </c>
      <c r="B17" s="555"/>
      <c r="C17" s="555"/>
      <c r="D17" s="555" t="s">
        <v>347</v>
      </c>
      <c r="E17" s="555"/>
      <c r="F17" s="555"/>
      <c r="G17" s="502" t="s">
        <v>226</v>
      </c>
      <c r="H17" s="555" t="s">
        <v>348</v>
      </c>
      <c r="I17" s="555"/>
      <c r="J17" s="556">
        <v>183</v>
      </c>
      <c r="K17" s="556"/>
      <c r="L17" s="556"/>
      <c r="M17" s="556"/>
      <c r="N17" s="556">
        <v>183</v>
      </c>
      <c r="O17" s="556"/>
      <c r="P17" s="557">
        <v>0</v>
      </c>
      <c r="Q17" s="557"/>
      <c r="R17" s="557"/>
      <c r="S17" s="556"/>
      <c r="T17" s="556"/>
      <c r="U17" s="557"/>
      <c r="V17" s="557"/>
      <c r="W17" s="478"/>
      <c r="X17" s="198">
        <v>183</v>
      </c>
      <c r="Y17" s="198">
        <f t="shared" si="0"/>
        <v>0</v>
      </c>
    </row>
    <row r="18" spans="1:25" ht="12">
      <c r="A18" s="555" t="s">
        <v>30</v>
      </c>
      <c r="B18" s="555"/>
      <c r="C18" s="555"/>
      <c r="D18" s="555" t="s">
        <v>347</v>
      </c>
      <c r="E18" s="555"/>
      <c r="F18" s="555"/>
      <c r="G18" s="502" t="s">
        <v>226</v>
      </c>
      <c r="H18" s="555" t="s">
        <v>348</v>
      </c>
      <c r="I18" s="555"/>
      <c r="J18" s="556">
        <v>114</v>
      </c>
      <c r="K18" s="556"/>
      <c r="L18" s="556"/>
      <c r="M18" s="556"/>
      <c r="N18" s="556">
        <v>114</v>
      </c>
      <c r="O18" s="556"/>
      <c r="P18" s="557">
        <v>0</v>
      </c>
      <c r="Q18" s="557"/>
      <c r="R18" s="557"/>
      <c r="S18" s="556"/>
      <c r="T18" s="556"/>
      <c r="U18" s="557"/>
      <c r="V18" s="557"/>
      <c r="W18" s="478"/>
      <c r="X18" s="198">
        <v>114</v>
      </c>
      <c r="Y18" s="198">
        <f t="shared" si="0"/>
        <v>0</v>
      </c>
    </row>
    <row r="19" spans="1:25" ht="12">
      <c r="A19" s="555" t="s">
        <v>31</v>
      </c>
      <c r="B19" s="555"/>
      <c r="C19" s="555"/>
      <c r="D19" s="555" t="s">
        <v>347</v>
      </c>
      <c r="E19" s="555"/>
      <c r="F19" s="555"/>
      <c r="G19" s="502" t="s">
        <v>226</v>
      </c>
      <c r="H19" s="555" t="s">
        <v>348</v>
      </c>
      <c r="I19" s="555"/>
      <c r="J19" s="556">
        <v>1944</v>
      </c>
      <c r="K19" s="556"/>
      <c r="L19" s="556"/>
      <c r="M19" s="556"/>
      <c r="N19" s="556">
        <v>1944</v>
      </c>
      <c r="O19" s="556"/>
      <c r="P19" s="557">
        <v>0</v>
      </c>
      <c r="Q19" s="557"/>
      <c r="R19" s="557"/>
      <c r="S19" s="556"/>
      <c r="T19" s="556"/>
      <c r="U19" s="557"/>
      <c r="V19" s="557"/>
      <c r="W19" s="478"/>
      <c r="X19" s="198">
        <v>1944</v>
      </c>
      <c r="Y19" s="198">
        <f t="shared" si="0"/>
        <v>0</v>
      </c>
    </row>
    <row r="20" spans="1:25" ht="12">
      <c r="A20" s="555" t="s">
        <v>32</v>
      </c>
      <c r="B20" s="555"/>
      <c r="C20" s="555"/>
      <c r="D20" s="555" t="s">
        <v>347</v>
      </c>
      <c r="E20" s="555"/>
      <c r="F20" s="555"/>
      <c r="G20" s="502" t="s">
        <v>226</v>
      </c>
      <c r="H20" s="555" t="s">
        <v>348</v>
      </c>
      <c r="I20" s="555"/>
      <c r="J20" s="556">
        <v>1882.95</v>
      </c>
      <c r="K20" s="556"/>
      <c r="L20" s="556"/>
      <c r="M20" s="556"/>
      <c r="N20" s="556">
        <v>1882.95</v>
      </c>
      <c r="O20" s="556"/>
      <c r="P20" s="557">
        <v>0</v>
      </c>
      <c r="Q20" s="557"/>
      <c r="R20" s="557"/>
      <c r="S20" s="556"/>
      <c r="T20" s="556"/>
      <c r="U20" s="557"/>
      <c r="V20" s="557"/>
      <c r="W20" s="478"/>
      <c r="X20" s="198">
        <v>1882.95</v>
      </c>
      <c r="Y20" s="198">
        <f t="shared" si="0"/>
        <v>0</v>
      </c>
    </row>
    <row r="21" spans="1:25" ht="12">
      <c r="A21" s="555" t="s">
        <v>33</v>
      </c>
      <c r="B21" s="555"/>
      <c r="C21" s="555"/>
      <c r="D21" s="555" t="s">
        <v>347</v>
      </c>
      <c r="E21" s="555"/>
      <c r="F21" s="555"/>
      <c r="G21" s="502" t="s">
        <v>226</v>
      </c>
      <c r="H21" s="555" t="s">
        <v>348</v>
      </c>
      <c r="I21" s="555"/>
      <c r="J21" s="556">
        <v>3362</v>
      </c>
      <c r="K21" s="556"/>
      <c r="L21" s="556"/>
      <c r="M21" s="556"/>
      <c r="N21" s="556">
        <v>3362</v>
      </c>
      <c r="O21" s="556"/>
      <c r="P21" s="557">
        <v>0</v>
      </c>
      <c r="Q21" s="557"/>
      <c r="R21" s="557"/>
      <c r="S21" s="556"/>
      <c r="T21" s="556"/>
      <c r="U21" s="557"/>
      <c r="V21" s="557"/>
      <c r="W21" s="478"/>
      <c r="X21" s="198">
        <v>3362</v>
      </c>
      <c r="Y21" s="198">
        <f t="shared" si="0"/>
        <v>0</v>
      </c>
    </row>
    <row r="22" spans="1:25" ht="12">
      <c r="A22" s="555" t="s">
        <v>34</v>
      </c>
      <c r="B22" s="555"/>
      <c r="C22" s="555"/>
      <c r="D22" s="555" t="s">
        <v>347</v>
      </c>
      <c r="E22" s="555"/>
      <c r="F22" s="555"/>
      <c r="G22" s="502" t="s">
        <v>226</v>
      </c>
      <c r="H22" s="555" t="s">
        <v>348</v>
      </c>
      <c r="I22" s="555"/>
      <c r="J22" s="556">
        <v>5783</v>
      </c>
      <c r="K22" s="556"/>
      <c r="L22" s="556"/>
      <c r="M22" s="556"/>
      <c r="N22" s="556">
        <v>5783</v>
      </c>
      <c r="O22" s="556"/>
      <c r="P22" s="557">
        <v>0</v>
      </c>
      <c r="Q22" s="557"/>
      <c r="R22" s="557"/>
      <c r="S22" s="556"/>
      <c r="T22" s="556"/>
      <c r="U22" s="557"/>
      <c r="V22" s="557"/>
      <c r="W22" s="478"/>
      <c r="X22" s="198">
        <v>5783</v>
      </c>
      <c r="Y22" s="198">
        <f t="shared" si="0"/>
        <v>0</v>
      </c>
    </row>
    <row r="23" spans="1:25" ht="12">
      <c r="A23" s="555" t="s">
        <v>35</v>
      </c>
      <c r="B23" s="555"/>
      <c r="C23" s="555"/>
      <c r="D23" s="555" t="s">
        <v>347</v>
      </c>
      <c r="E23" s="555"/>
      <c r="F23" s="555"/>
      <c r="G23" s="502" t="s">
        <v>226</v>
      </c>
      <c r="H23" s="555" t="s">
        <v>348</v>
      </c>
      <c r="I23" s="555"/>
      <c r="J23" s="556">
        <v>3450</v>
      </c>
      <c r="K23" s="556"/>
      <c r="L23" s="556"/>
      <c r="M23" s="556"/>
      <c r="N23" s="556">
        <v>3450</v>
      </c>
      <c r="O23" s="556"/>
      <c r="P23" s="557">
        <v>0</v>
      </c>
      <c r="Q23" s="557"/>
      <c r="R23" s="557"/>
      <c r="S23" s="556"/>
      <c r="T23" s="556"/>
      <c r="U23" s="557"/>
      <c r="V23" s="557"/>
      <c r="W23" s="478"/>
      <c r="X23" s="205">
        <v>3450</v>
      </c>
      <c r="Y23" s="205">
        <f t="shared" si="0"/>
        <v>0</v>
      </c>
    </row>
    <row r="24" spans="1:25" ht="10.5">
      <c r="A24" s="245"/>
      <c r="B24" s="245"/>
      <c r="C24" s="245"/>
      <c r="D24" s="245"/>
      <c r="E24" s="245"/>
      <c r="F24" s="245"/>
      <c r="G24" s="245"/>
      <c r="H24" s="245"/>
      <c r="I24" s="245"/>
      <c r="J24" s="245"/>
      <c r="K24" s="245"/>
      <c r="L24" s="245"/>
      <c r="M24" s="245"/>
      <c r="N24" s="245"/>
      <c r="O24" s="245"/>
      <c r="P24" s="245"/>
      <c r="Q24" s="245"/>
      <c r="R24" s="245"/>
      <c r="S24" s="245"/>
      <c r="T24" s="245"/>
      <c r="U24" s="245"/>
      <c r="V24" s="245"/>
      <c r="W24" s="245"/>
      <c r="X24" s="198"/>
      <c r="Y24" s="198"/>
    </row>
    <row r="25" spans="1:25" ht="11.25">
      <c r="A25" s="240"/>
      <c r="B25" s="240"/>
      <c r="C25" s="240"/>
      <c r="D25" s="240"/>
      <c r="E25" s="240"/>
      <c r="F25" s="240"/>
      <c r="G25" s="240"/>
      <c r="H25" s="240"/>
      <c r="I25" s="240"/>
      <c r="J25" s="563">
        <v>54988.41</v>
      </c>
      <c r="K25" s="563"/>
      <c r="L25" s="563"/>
      <c r="M25" s="563"/>
      <c r="N25" s="563">
        <v>54988.41</v>
      </c>
      <c r="O25" s="563"/>
      <c r="P25" s="563">
        <v>0</v>
      </c>
      <c r="Q25" s="563"/>
      <c r="R25" s="563"/>
      <c r="S25" s="563"/>
      <c r="T25" s="563"/>
      <c r="U25" s="563"/>
      <c r="V25" s="563"/>
      <c r="W25" s="240"/>
      <c r="X25" s="198">
        <f>SUM(X12:X23)</f>
        <v>54988.409999999996</v>
      </c>
      <c r="Y25" s="198">
        <f>SUM(Y12:Y23)</f>
        <v>0</v>
      </c>
    </row>
    <row r="26" spans="1:25" ht="12">
      <c r="A26" s="240"/>
      <c r="B26" s="558" t="s">
        <v>213</v>
      </c>
      <c r="C26" s="558"/>
      <c r="D26" s="559" t="s">
        <v>228</v>
      </c>
      <c r="E26" s="559"/>
      <c r="F26" s="559"/>
      <c r="G26" s="559"/>
      <c r="H26" s="559"/>
      <c r="I26" s="559"/>
      <c r="J26" s="559"/>
      <c r="K26" s="559"/>
      <c r="L26" s="559"/>
      <c r="M26" s="559"/>
      <c r="N26" s="240"/>
      <c r="O26" s="240"/>
      <c r="P26" s="240"/>
      <c r="Q26" s="240"/>
      <c r="R26" s="240"/>
      <c r="S26" s="240"/>
      <c r="T26" s="240"/>
      <c r="U26" s="240"/>
      <c r="V26" s="240"/>
      <c r="W26" s="240"/>
      <c r="X26" s="198"/>
      <c r="Y26" s="198"/>
    </row>
    <row r="27" spans="1:25" ht="12">
      <c r="A27" s="558" t="s">
        <v>215</v>
      </c>
      <c r="B27" s="558"/>
      <c r="C27" s="240"/>
      <c r="D27" s="240"/>
      <c r="E27" s="562" t="s">
        <v>216</v>
      </c>
      <c r="F27" s="562"/>
      <c r="G27" s="562"/>
      <c r="H27" s="562"/>
      <c r="I27" s="562"/>
      <c r="J27" s="560" t="s">
        <v>5</v>
      </c>
      <c r="K27" s="560"/>
      <c r="L27" s="560"/>
      <c r="M27" s="560"/>
      <c r="N27" s="560" t="s">
        <v>217</v>
      </c>
      <c r="O27" s="560"/>
      <c r="P27" s="561" t="s">
        <v>218</v>
      </c>
      <c r="Q27" s="561"/>
      <c r="R27" s="240"/>
      <c r="S27" s="560"/>
      <c r="T27" s="560"/>
      <c r="U27" s="240"/>
      <c r="V27" s="477"/>
      <c r="W27" s="477"/>
      <c r="X27" s="198"/>
      <c r="Y27" s="198"/>
    </row>
    <row r="28" spans="1:25" ht="12">
      <c r="A28" s="558"/>
      <c r="B28" s="558"/>
      <c r="C28" s="240"/>
      <c r="D28" s="240"/>
      <c r="E28" s="562"/>
      <c r="F28" s="562"/>
      <c r="G28" s="562"/>
      <c r="H28" s="562"/>
      <c r="I28" s="562"/>
      <c r="J28" s="561" t="s">
        <v>223</v>
      </c>
      <c r="K28" s="561"/>
      <c r="L28" s="561"/>
      <c r="M28" s="561"/>
      <c r="N28" s="561" t="s">
        <v>224</v>
      </c>
      <c r="O28" s="561"/>
      <c r="P28" s="561"/>
      <c r="Q28" s="561"/>
      <c r="R28" s="240"/>
      <c r="S28" s="561"/>
      <c r="T28" s="561"/>
      <c r="U28" s="240"/>
      <c r="V28" s="468"/>
      <c r="W28" s="468"/>
      <c r="X28" s="198"/>
      <c r="Y28" s="198"/>
    </row>
    <row r="29" spans="1:25" ht="12">
      <c r="A29" s="555" t="s">
        <v>25</v>
      </c>
      <c r="B29" s="555"/>
      <c r="C29" s="555"/>
      <c r="D29" s="555" t="s">
        <v>347</v>
      </c>
      <c r="E29" s="555"/>
      <c r="F29" s="555"/>
      <c r="G29" s="502" t="s">
        <v>226</v>
      </c>
      <c r="H29" s="555" t="s">
        <v>348</v>
      </c>
      <c r="I29" s="555"/>
      <c r="J29" s="556">
        <v>152280</v>
      </c>
      <c r="K29" s="556"/>
      <c r="L29" s="556"/>
      <c r="M29" s="556"/>
      <c r="N29" s="556">
        <v>152280</v>
      </c>
      <c r="O29" s="556"/>
      <c r="P29" s="557">
        <v>0</v>
      </c>
      <c r="Q29" s="557"/>
      <c r="R29" s="557"/>
      <c r="S29" s="556"/>
      <c r="T29" s="556"/>
      <c r="U29" s="557"/>
      <c r="V29" s="557"/>
      <c r="W29" s="478"/>
      <c r="X29" s="198">
        <v>152280</v>
      </c>
      <c r="Y29" s="198">
        <f aca="true" t="shared" si="1" ref="Y29:Y40">N29-X29</f>
        <v>0</v>
      </c>
    </row>
    <row r="30" spans="1:25" ht="12">
      <c r="A30" s="555" t="s">
        <v>26</v>
      </c>
      <c r="B30" s="555"/>
      <c r="C30" s="555"/>
      <c r="D30" s="555" t="s">
        <v>347</v>
      </c>
      <c r="E30" s="555"/>
      <c r="F30" s="555"/>
      <c r="G30" s="502" t="s">
        <v>226</v>
      </c>
      <c r="H30" s="555" t="s">
        <v>348</v>
      </c>
      <c r="I30" s="555"/>
      <c r="J30" s="556">
        <v>9292.09</v>
      </c>
      <c r="K30" s="556"/>
      <c r="L30" s="556"/>
      <c r="M30" s="556"/>
      <c r="N30" s="556">
        <v>9292.09</v>
      </c>
      <c r="O30" s="556"/>
      <c r="P30" s="557">
        <v>0</v>
      </c>
      <c r="Q30" s="557"/>
      <c r="R30" s="557"/>
      <c r="S30" s="556"/>
      <c r="T30" s="556"/>
      <c r="U30" s="557"/>
      <c r="V30" s="557"/>
      <c r="W30" s="478"/>
      <c r="X30" s="198">
        <v>9292.09</v>
      </c>
      <c r="Y30" s="198">
        <f t="shared" si="1"/>
        <v>0</v>
      </c>
    </row>
    <row r="31" spans="1:25" ht="12">
      <c r="A31" s="555" t="s">
        <v>27</v>
      </c>
      <c r="B31" s="555"/>
      <c r="C31" s="555"/>
      <c r="D31" s="555" t="s">
        <v>347</v>
      </c>
      <c r="E31" s="555"/>
      <c r="F31" s="555"/>
      <c r="G31" s="502" t="s">
        <v>226</v>
      </c>
      <c r="H31" s="555" t="s">
        <v>348</v>
      </c>
      <c r="I31" s="555"/>
      <c r="J31" s="556">
        <v>82326</v>
      </c>
      <c r="K31" s="556"/>
      <c r="L31" s="556"/>
      <c r="M31" s="556"/>
      <c r="N31" s="556">
        <v>82326</v>
      </c>
      <c r="O31" s="556"/>
      <c r="P31" s="557">
        <v>0</v>
      </c>
      <c r="Q31" s="557"/>
      <c r="R31" s="557"/>
      <c r="S31" s="556"/>
      <c r="T31" s="556"/>
      <c r="U31" s="557"/>
      <c r="V31" s="557"/>
      <c r="W31" s="478"/>
      <c r="X31" s="198">
        <v>82326</v>
      </c>
      <c r="Y31" s="198">
        <f t="shared" si="1"/>
        <v>0</v>
      </c>
    </row>
    <row r="32" spans="1:25" ht="12">
      <c r="A32" s="555" t="s">
        <v>349</v>
      </c>
      <c r="B32" s="555"/>
      <c r="C32" s="555"/>
      <c r="D32" s="555" t="s">
        <v>347</v>
      </c>
      <c r="E32" s="555"/>
      <c r="F32" s="555"/>
      <c r="G32" s="502" t="s">
        <v>226</v>
      </c>
      <c r="H32" s="555" t="s">
        <v>348</v>
      </c>
      <c r="I32" s="555"/>
      <c r="J32" s="556">
        <v>17694</v>
      </c>
      <c r="K32" s="556"/>
      <c r="L32" s="556"/>
      <c r="M32" s="556"/>
      <c r="N32" s="556">
        <v>17694</v>
      </c>
      <c r="O32" s="556"/>
      <c r="P32" s="557">
        <v>0</v>
      </c>
      <c r="Q32" s="557"/>
      <c r="R32" s="557"/>
      <c r="S32" s="556"/>
      <c r="T32" s="556"/>
      <c r="U32" s="557"/>
      <c r="V32" s="557"/>
      <c r="W32" s="478"/>
      <c r="X32" s="198">
        <v>17694</v>
      </c>
      <c r="Y32" s="198">
        <f t="shared" si="1"/>
        <v>0</v>
      </c>
    </row>
    <row r="33" spans="1:25" ht="12">
      <c r="A33" s="555" t="s">
        <v>29</v>
      </c>
      <c r="B33" s="555"/>
      <c r="C33" s="555"/>
      <c r="D33" s="555" t="s">
        <v>347</v>
      </c>
      <c r="E33" s="555"/>
      <c r="F33" s="555"/>
      <c r="G33" s="502" t="s">
        <v>226</v>
      </c>
      <c r="H33" s="555" t="s">
        <v>348</v>
      </c>
      <c r="I33" s="555"/>
      <c r="J33" s="556">
        <v>78004</v>
      </c>
      <c r="K33" s="556"/>
      <c r="L33" s="556"/>
      <c r="M33" s="556"/>
      <c r="N33" s="556">
        <v>78004</v>
      </c>
      <c r="O33" s="556"/>
      <c r="P33" s="557">
        <v>0</v>
      </c>
      <c r="Q33" s="557"/>
      <c r="R33" s="557"/>
      <c r="S33" s="556"/>
      <c r="T33" s="556"/>
      <c r="U33" s="557"/>
      <c r="V33" s="557"/>
      <c r="W33" s="478"/>
      <c r="X33" s="198">
        <v>78004</v>
      </c>
      <c r="Y33" s="198">
        <f t="shared" si="1"/>
        <v>0</v>
      </c>
    </row>
    <row r="34" spans="1:25" ht="12">
      <c r="A34" s="555" t="s">
        <v>350</v>
      </c>
      <c r="B34" s="555"/>
      <c r="C34" s="555"/>
      <c r="D34" s="555" t="s">
        <v>347</v>
      </c>
      <c r="E34" s="555"/>
      <c r="F34" s="555"/>
      <c r="G34" s="502" t="s">
        <v>226</v>
      </c>
      <c r="H34" s="555" t="s">
        <v>348</v>
      </c>
      <c r="I34" s="555"/>
      <c r="J34" s="556">
        <v>1486.31</v>
      </c>
      <c r="K34" s="556"/>
      <c r="L34" s="556"/>
      <c r="M34" s="556"/>
      <c r="N34" s="556">
        <v>1486.31</v>
      </c>
      <c r="O34" s="556"/>
      <c r="P34" s="557">
        <v>0</v>
      </c>
      <c r="Q34" s="557"/>
      <c r="R34" s="557"/>
      <c r="S34" s="556"/>
      <c r="T34" s="556"/>
      <c r="U34" s="557"/>
      <c r="V34" s="557"/>
      <c r="W34" s="478"/>
      <c r="X34" s="198">
        <v>1486.31</v>
      </c>
      <c r="Y34" s="198">
        <f t="shared" si="1"/>
        <v>0</v>
      </c>
    </row>
    <row r="35" spans="1:25" ht="12">
      <c r="A35" s="555" t="s">
        <v>30</v>
      </c>
      <c r="B35" s="555"/>
      <c r="C35" s="555"/>
      <c r="D35" s="555" t="s">
        <v>347</v>
      </c>
      <c r="E35" s="555"/>
      <c r="F35" s="555"/>
      <c r="G35" s="502" t="s">
        <v>226</v>
      </c>
      <c r="H35" s="555" t="s">
        <v>348</v>
      </c>
      <c r="I35" s="555"/>
      <c r="J35" s="556">
        <v>305</v>
      </c>
      <c r="K35" s="556"/>
      <c r="L35" s="556"/>
      <c r="M35" s="556"/>
      <c r="N35" s="556">
        <v>305</v>
      </c>
      <c r="O35" s="556"/>
      <c r="P35" s="557">
        <v>0</v>
      </c>
      <c r="Q35" s="557"/>
      <c r="R35" s="557"/>
      <c r="S35" s="556"/>
      <c r="T35" s="556"/>
      <c r="U35" s="557"/>
      <c r="V35" s="557"/>
      <c r="W35" s="478"/>
      <c r="X35" s="198">
        <v>305</v>
      </c>
      <c r="Y35" s="198">
        <f t="shared" si="1"/>
        <v>0</v>
      </c>
    </row>
    <row r="36" spans="1:25" ht="12">
      <c r="A36" s="555" t="s">
        <v>31</v>
      </c>
      <c r="B36" s="555"/>
      <c r="C36" s="555"/>
      <c r="D36" s="555" t="s">
        <v>347</v>
      </c>
      <c r="E36" s="555"/>
      <c r="F36" s="555"/>
      <c r="G36" s="502" t="s">
        <v>226</v>
      </c>
      <c r="H36" s="555" t="s">
        <v>348</v>
      </c>
      <c r="I36" s="555"/>
      <c r="J36" s="556">
        <v>40240.44</v>
      </c>
      <c r="K36" s="556"/>
      <c r="L36" s="556"/>
      <c r="M36" s="556"/>
      <c r="N36" s="556">
        <v>40240.44</v>
      </c>
      <c r="O36" s="556"/>
      <c r="P36" s="557">
        <v>0</v>
      </c>
      <c r="Q36" s="557"/>
      <c r="R36" s="557"/>
      <c r="S36" s="556"/>
      <c r="T36" s="556"/>
      <c r="U36" s="557"/>
      <c r="V36" s="557"/>
      <c r="W36" s="478"/>
      <c r="X36" s="198">
        <v>40240.44</v>
      </c>
      <c r="Y36" s="198">
        <f t="shared" si="1"/>
        <v>0</v>
      </c>
    </row>
    <row r="37" spans="1:25" ht="12">
      <c r="A37" s="555" t="s">
        <v>32</v>
      </c>
      <c r="B37" s="555"/>
      <c r="C37" s="555"/>
      <c r="D37" s="555" t="s">
        <v>347</v>
      </c>
      <c r="E37" s="555"/>
      <c r="F37" s="555"/>
      <c r="G37" s="502" t="s">
        <v>226</v>
      </c>
      <c r="H37" s="555" t="s">
        <v>348</v>
      </c>
      <c r="I37" s="555"/>
      <c r="J37" s="556">
        <v>17121.75</v>
      </c>
      <c r="K37" s="556"/>
      <c r="L37" s="556"/>
      <c r="M37" s="556"/>
      <c r="N37" s="556">
        <v>17121.75</v>
      </c>
      <c r="O37" s="556"/>
      <c r="P37" s="557">
        <v>0</v>
      </c>
      <c r="Q37" s="557"/>
      <c r="R37" s="557"/>
      <c r="S37" s="556"/>
      <c r="T37" s="556"/>
      <c r="U37" s="557"/>
      <c r="V37" s="557"/>
      <c r="W37" s="478"/>
      <c r="X37" s="198">
        <v>17121.75</v>
      </c>
      <c r="Y37" s="198">
        <f t="shared" si="1"/>
        <v>0</v>
      </c>
    </row>
    <row r="38" spans="1:25" ht="12">
      <c r="A38" s="555" t="s">
        <v>33</v>
      </c>
      <c r="B38" s="555"/>
      <c r="C38" s="555"/>
      <c r="D38" s="555" t="s">
        <v>347</v>
      </c>
      <c r="E38" s="555"/>
      <c r="F38" s="555"/>
      <c r="G38" s="502" t="s">
        <v>226</v>
      </c>
      <c r="H38" s="555" t="s">
        <v>348</v>
      </c>
      <c r="I38" s="555"/>
      <c r="J38" s="556">
        <v>32018</v>
      </c>
      <c r="K38" s="556"/>
      <c r="L38" s="556"/>
      <c r="M38" s="556"/>
      <c r="N38" s="556">
        <v>32018</v>
      </c>
      <c r="O38" s="556"/>
      <c r="P38" s="557">
        <v>0</v>
      </c>
      <c r="Q38" s="557"/>
      <c r="R38" s="557"/>
      <c r="S38" s="556"/>
      <c r="T38" s="556"/>
      <c r="U38" s="557"/>
      <c r="V38" s="557"/>
      <c r="W38" s="478"/>
      <c r="X38" s="198">
        <v>32018</v>
      </c>
      <c r="Y38" s="198">
        <f t="shared" si="1"/>
        <v>0</v>
      </c>
    </row>
    <row r="39" spans="1:25" ht="12">
      <c r="A39" s="555" t="s">
        <v>34</v>
      </c>
      <c r="B39" s="555"/>
      <c r="C39" s="555"/>
      <c r="D39" s="555" t="s">
        <v>347</v>
      </c>
      <c r="E39" s="555"/>
      <c r="F39" s="555"/>
      <c r="G39" s="502" t="s">
        <v>226</v>
      </c>
      <c r="H39" s="555" t="s">
        <v>348</v>
      </c>
      <c r="I39" s="555"/>
      <c r="J39" s="556">
        <v>52389</v>
      </c>
      <c r="K39" s="556"/>
      <c r="L39" s="556"/>
      <c r="M39" s="556"/>
      <c r="N39" s="556">
        <v>52389</v>
      </c>
      <c r="O39" s="556"/>
      <c r="P39" s="557">
        <v>0</v>
      </c>
      <c r="Q39" s="557"/>
      <c r="R39" s="557"/>
      <c r="S39" s="556"/>
      <c r="T39" s="556"/>
      <c r="U39" s="557"/>
      <c r="V39" s="557"/>
      <c r="W39" s="478"/>
      <c r="X39" s="198">
        <v>52389</v>
      </c>
      <c r="Y39" s="198">
        <f t="shared" si="1"/>
        <v>0</v>
      </c>
    </row>
    <row r="40" spans="1:25" ht="12">
      <c r="A40" s="555" t="s">
        <v>35</v>
      </c>
      <c r="B40" s="555"/>
      <c r="C40" s="555"/>
      <c r="D40" s="555" t="s">
        <v>347</v>
      </c>
      <c r="E40" s="555"/>
      <c r="F40" s="555"/>
      <c r="G40" s="502" t="s">
        <v>226</v>
      </c>
      <c r="H40" s="555" t="s">
        <v>348</v>
      </c>
      <c r="I40" s="555"/>
      <c r="J40" s="556">
        <v>30000</v>
      </c>
      <c r="K40" s="556"/>
      <c r="L40" s="556"/>
      <c r="M40" s="556"/>
      <c r="N40" s="556">
        <v>30000</v>
      </c>
      <c r="O40" s="556"/>
      <c r="P40" s="557">
        <v>0</v>
      </c>
      <c r="Q40" s="557"/>
      <c r="R40" s="557"/>
      <c r="S40" s="556"/>
      <c r="T40" s="556"/>
      <c r="U40" s="557"/>
      <c r="V40" s="557"/>
      <c r="W40" s="478"/>
      <c r="X40" s="205">
        <v>30000</v>
      </c>
      <c r="Y40" s="205">
        <f t="shared" si="1"/>
        <v>0</v>
      </c>
    </row>
    <row r="41" spans="1:25" ht="10.5">
      <c r="A41" s="245"/>
      <c r="B41" s="245"/>
      <c r="C41" s="245"/>
      <c r="D41" s="245"/>
      <c r="E41" s="245"/>
      <c r="F41" s="245"/>
      <c r="G41" s="245"/>
      <c r="H41" s="245"/>
      <c r="I41" s="245"/>
      <c r="J41" s="245"/>
      <c r="K41" s="245"/>
      <c r="L41" s="245"/>
      <c r="M41" s="245"/>
      <c r="N41" s="245"/>
      <c r="O41" s="245"/>
      <c r="P41" s="245"/>
      <c r="Q41" s="245"/>
      <c r="R41" s="245"/>
      <c r="S41" s="245"/>
      <c r="T41" s="245"/>
      <c r="U41" s="245"/>
      <c r="V41" s="245"/>
      <c r="W41" s="245"/>
      <c r="X41" s="198"/>
      <c r="Y41" s="198"/>
    </row>
    <row r="42" spans="1:25" ht="12" thickBot="1">
      <c r="A42" s="240"/>
      <c r="B42" s="240"/>
      <c r="C42" s="240"/>
      <c r="D42" s="240"/>
      <c r="E42" s="240"/>
      <c r="F42" s="240"/>
      <c r="G42" s="240"/>
      <c r="H42" s="240"/>
      <c r="I42" s="240"/>
      <c r="J42" s="563">
        <v>513156.59</v>
      </c>
      <c r="K42" s="563"/>
      <c r="L42" s="563"/>
      <c r="M42" s="563"/>
      <c r="N42" s="563">
        <v>513156.59</v>
      </c>
      <c r="O42" s="563"/>
      <c r="P42" s="563">
        <v>0</v>
      </c>
      <c r="Q42" s="563"/>
      <c r="R42" s="563"/>
      <c r="S42" s="563"/>
      <c r="T42" s="563"/>
      <c r="U42" s="563"/>
      <c r="V42" s="563"/>
      <c r="W42" s="240"/>
      <c r="X42" s="198">
        <f>SUM(X29:X40)</f>
        <v>513156.58999999997</v>
      </c>
      <c r="Y42" s="198">
        <f>SUM(Y29:Y40)</f>
        <v>0</v>
      </c>
    </row>
    <row r="43" spans="1:25" ht="11.25" thickTop="1">
      <c r="A43" s="246"/>
      <c r="B43" s="246"/>
      <c r="C43" s="246"/>
      <c r="D43" s="246"/>
      <c r="E43" s="246"/>
      <c r="F43" s="246"/>
      <c r="G43" s="246"/>
      <c r="H43" s="246"/>
      <c r="I43" s="246"/>
      <c r="J43" s="246"/>
      <c r="K43" s="246"/>
      <c r="L43" s="246"/>
      <c r="M43" s="246"/>
      <c r="N43" s="246"/>
      <c r="O43" s="246"/>
      <c r="P43" s="246"/>
      <c r="Q43" s="246"/>
      <c r="R43" s="246"/>
      <c r="S43" s="246"/>
      <c r="T43" s="246"/>
      <c r="U43" s="246"/>
      <c r="V43" s="246"/>
      <c r="W43" s="246"/>
      <c r="X43" s="198"/>
      <c r="Y43" s="198"/>
    </row>
    <row r="44" spans="1:25" ht="10.5" customHeight="1">
      <c r="A44" s="560" t="s">
        <v>351</v>
      </c>
      <c r="B44" s="560"/>
      <c r="C44" s="560"/>
      <c r="D44" s="560"/>
      <c r="E44" s="560"/>
      <c r="F44" s="560"/>
      <c r="G44" s="560"/>
      <c r="H44" s="560"/>
      <c r="I44" s="240"/>
      <c r="J44" s="564">
        <v>568145</v>
      </c>
      <c r="K44" s="564"/>
      <c r="L44" s="564"/>
      <c r="M44" s="564"/>
      <c r="N44" s="564">
        <v>568145</v>
      </c>
      <c r="O44" s="564"/>
      <c r="P44" s="563">
        <v>0</v>
      </c>
      <c r="Q44" s="563"/>
      <c r="R44" s="563"/>
      <c r="S44" s="564"/>
      <c r="T44" s="564"/>
      <c r="U44" s="564"/>
      <c r="V44" s="564"/>
      <c r="W44" s="240"/>
      <c r="X44" s="198"/>
      <c r="Y44" s="198"/>
    </row>
    <row r="45" spans="1:25" ht="10.5" customHeight="1">
      <c r="A45" s="558" t="s">
        <v>211</v>
      </c>
      <c r="B45" s="558"/>
      <c r="C45" s="559" t="s">
        <v>352</v>
      </c>
      <c r="D45" s="559"/>
      <c r="E45" s="559"/>
      <c r="F45" s="559"/>
      <c r="G45" s="559"/>
      <c r="H45" s="559"/>
      <c r="I45" s="559"/>
      <c r="J45" s="559"/>
      <c r="K45" s="559"/>
      <c r="L45" s="240"/>
      <c r="M45" s="240"/>
      <c r="N45" s="240"/>
      <c r="O45" s="240"/>
      <c r="P45" s="240"/>
      <c r="Q45" s="240"/>
      <c r="R45" s="240"/>
      <c r="S45" s="240"/>
      <c r="T45" s="240"/>
      <c r="U45" s="240"/>
      <c r="V45" s="240"/>
      <c r="W45" s="240"/>
      <c r="X45" s="198"/>
      <c r="Y45" s="198"/>
    </row>
    <row r="46" spans="1:25" ht="10.5" customHeight="1">
      <c r="A46" s="558"/>
      <c r="B46" s="558"/>
      <c r="C46" s="240"/>
      <c r="D46" s="240"/>
      <c r="E46" s="240"/>
      <c r="F46" s="240"/>
      <c r="G46" s="240"/>
      <c r="H46" s="240"/>
      <c r="I46" s="240"/>
      <c r="J46" s="240"/>
      <c r="K46" s="240"/>
      <c r="L46" s="240"/>
      <c r="M46" s="240"/>
      <c r="N46" s="240"/>
      <c r="O46" s="240"/>
      <c r="P46" s="240"/>
      <c r="Q46" s="240"/>
      <c r="R46" s="240"/>
      <c r="S46" s="240"/>
      <c r="T46" s="240"/>
      <c r="U46" s="240"/>
      <c r="V46" s="240"/>
      <c r="W46" s="240"/>
      <c r="X46" s="198"/>
      <c r="Y46" s="198"/>
    </row>
    <row r="47" spans="1:25" ht="12">
      <c r="A47" s="240"/>
      <c r="B47" s="558" t="s">
        <v>213</v>
      </c>
      <c r="C47" s="558"/>
      <c r="D47" s="559" t="s">
        <v>214</v>
      </c>
      <c r="E47" s="559"/>
      <c r="F47" s="559"/>
      <c r="G47" s="559"/>
      <c r="H47" s="559"/>
      <c r="I47" s="559"/>
      <c r="J47" s="559"/>
      <c r="K47" s="559"/>
      <c r="L47" s="559"/>
      <c r="M47" s="559"/>
      <c r="N47" s="240"/>
      <c r="O47" s="240"/>
      <c r="P47" s="240"/>
      <c r="Q47" s="240"/>
      <c r="R47" s="240"/>
      <c r="S47" s="240"/>
      <c r="T47" s="240"/>
      <c r="U47" s="240"/>
      <c r="V47" s="240"/>
      <c r="W47" s="240"/>
      <c r="X47" s="198"/>
      <c r="Y47" s="198"/>
    </row>
    <row r="48" spans="1:25" ht="12">
      <c r="A48" s="558" t="s">
        <v>215</v>
      </c>
      <c r="B48" s="558"/>
      <c r="C48" s="240"/>
      <c r="D48" s="240"/>
      <c r="E48" s="562" t="s">
        <v>216</v>
      </c>
      <c r="F48" s="562"/>
      <c r="G48" s="562"/>
      <c r="H48" s="562"/>
      <c r="I48" s="562"/>
      <c r="J48" s="560" t="s">
        <v>5</v>
      </c>
      <c r="K48" s="560"/>
      <c r="L48" s="560"/>
      <c r="M48" s="560"/>
      <c r="N48" s="560" t="s">
        <v>217</v>
      </c>
      <c r="O48" s="560"/>
      <c r="P48" s="561" t="s">
        <v>218</v>
      </c>
      <c r="Q48" s="561"/>
      <c r="R48" s="240"/>
      <c r="S48" s="560"/>
      <c r="T48" s="560"/>
      <c r="U48" s="240"/>
      <c r="V48" s="477"/>
      <c r="W48" s="477"/>
      <c r="X48" s="198"/>
      <c r="Y48" s="198"/>
    </row>
    <row r="49" spans="1:25" ht="12">
      <c r="A49" s="558"/>
      <c r="B49" s="558"/>
      <c r="C49" s="240"/>
      <c r="D49" s="240"/>
      <c r="E49" s="562"/>
      <c r="F49" s="562"/>
      <c r="G49" s="562"/>
      <c r="H49" s="562"/>
      <c r="I49" s="562"/>
      <c r="J49" s="561" t="s">
        <v>223</v>
      </c>
      <c r="K49" s="561"/>
      <c r="L49" s="561"/>
      <c r="M49" s="561"/>
      <c r="N49" s="561" t="s">
        <v>224</v>
      </c>
      <c r="O49" s="561"/>
      <c r="P49" s="561"/>
      <c r="Q49" s="561"/>
      <c r="R49" s="240"/>
      <c r="S49" s="561"/>
      <c r="T49" s="561"/>
      <c r="U49" s="240"/>
      <c r="V49" s="468"/>
      <c r="W49" s="468"/>
      <c r="X49" s="198"/>
      <c r="Y49" s="198"/>
    </row>
    <row r="50" spans="1:25" ht="12">
      <c r="A50" s="555" t="s">
        <v>36</v>
      </c>
      <c r="B50" s="555"/>
      <c r="C50" s="555"/>
      <c r="D50" s="555" t="s">
        <v>347</v>
      </c>
      <c r="E50" s="555"/>
      <c r="F50" s="555"/>
      <c r="G50" s="502" t="s">
        <v>226</v>
      </c>
      <c r="H50" s="555" t="s">
        <v>348</v>
      </c>
      <c r="I50" s="555"/>
      <c r="J50" s="556">
        <v>30662</v>
      </c>
      <c r="K50" s="556"/>
      <c r="L50" s="556"/>
      <c r="M50" s="556"/>
      <c r="N50" s="556">
        <v>30662</v>
      </c>
      <c r="O50" s="556"/>
      <c r="P50" s="557">
        <v>0</v>
      </c>
      <c r="Q50" s="557"/>
      <c r="R50" s="557"/>
      <c r="S50" s="556"/>
      <c r="T50" s="556"/>
      <c r="U50" s="557"/>
      <c r="V50" s="557"/>
      <c r="W50" s="478"/>
      <c r="X50" s="198">
        <v>30662</v>
      </c>
      <c r="Y50" s="198">
        <f>N50-X50</f>
        <v>0</v>
      </c>
    </row>
    <row r="51" spans="1:25" ht="12">
      <c r="A51" s="555" t="s">
        <v>37</v>
      </c>
      <c r="B51" s="555"/>
      <c r="C51" s="555"/>
      <c r="D51" s="555" t="s">
        <v>347</v>
      </c>
      <c r="E51" s="555"/>
      <c r="F51" s="555"/>
      <c r="G51" s="502" t="s">
        <v>226</v>
      </c>
      <c r="H51" s="555" t="s">
        <v>348</v>
      </c>
      <c r="I51" s="555"/>
      <c r="J51" s="556">
        <v>22256.52</v>
      </c>
      <c r="K51" s="556"/>
      <c r="L51" s="556"/>
      <c r="M51" s="556"/>
      <c r="N51" s="556">
        <v>22256.52</v>
      </c>
      <c r="O51" s="556"/>
      <c r="P51" s="557">
        <v>0</v>
      </c>
      <c r="Q51" s="557"/>
      <c r="R51" s="557"/>
      <c r="S51" s="556"/>
      <c r="T51" s="556"/>
      <c r="U51" s="557"/>
      <c r="V51" s="557"/>
      <c r="W51" s="478"/>
      <c r="X51" s="198">
        <v>22256.52</v>
      </c>
      <c r="Y51" s="198">
        <f>N51-X51</f>
        <v>0</v>
      </c>
    </row>
    <row r="52" spans="1:25" ht="12">
      <c r="A52" s="555" t="s">
        <v>31</v>
      </c>
      <c r="B52" s="555"/>
      <c r="C52" s="555"/>
      <c r="D52" s="555" t="s">
        <v>347</v>
      </c>
      <c r="E52" s="555"/>
      <c r="F52" s="555"/>
      <c r="G52" s="502" t="s">
        <v>226</v>
      </c>
      <c r="H52" s="555" t="s">
        <v>348</v>
      </c>
      <c r="I52" s="555"/>
      <c r="J52" s="556">
        <v>3007</v>
      </c>
      <c r="K52" s="556"/>
      <c r="L52" s="556"/>
      <c r="M52" s="556"/>
      <c r="N52" s="556">
        <v>3007</v>
      </c>
      <c r="O52" s="556"/>
      <c r="P52" s="557">
        <v>0</v>
      </c>
      <c r="Q52" s="557"/>
      <c r="R52" s="557"/>
      <c r="S52" s="556"/>
      <c r="T52" s="556"/>
      <c r="U52" s="557"/>
      <c r="V52" s="557"/>
      <c r="W52" s="478"/>
      <c r="X52" s="198">
        <v>3007</v>
      </c>
      <c r="Y52" s="198">
        <f>N52-X52</f>
        <v>0</v>
      </c>
    </row>
    <row r="53" spans="1:25" ht="12">
      <c r="A53" s="555" t="s">
        <v>32</v>
      </c>
      <c r="B53" s="555"/>
      <c r="C53" s="555"/>
      <c r="D53" s="555" t="s">
        <v>347</v>
      </c>
      <c r="E53" s="555"/>
      <c r="F53" s="555"/>
      <c r="G53" s="502" t="s">
        <v>226</v>
      </c>
      <c r="H53" s="555" t="s">
        <v>348</v>
      </c>
      <c r="I53" s="555"/>
      <c r="J53" s="556">
        <v>3089.14</v>
      </c>
      <c r="K53" s="556"/>
      <c r="L53" s="556"/>
      <c r="M53" s="556"/>
      <c r="N53" s="556">
        <v>3089.14</v>
      </c>
      <c r="O53" s="556"/>
      <c r="P53" s="557">
        <v>0</v>
      </c>
      <c r="Q53" s="557"/>
      <c r="R53" s="557"/>
      <c r="S53" s="556"/>
      <c r="T53" s="556"/>
      <c r="U53" s="557"/>
      <c r="V53" s="557"/>
      <c r="W53" s="478"/>
      <c r="X53" s="198">
        <v>3089.14</v>
      </c>
      <c r="Y53" s="198">
        <f>N53-X53</f>
        <v>0</v>
      </c>
    </row>
    <row r="54" spans="1:25" ht="12">
      <c r="A54" s="555" t="s">
        <v>38</v>
      </c>
      <c r="B54" s="555"/>
      <c r="C54" s="555"/>
      <c r="D54" s="555" t="s">
        <v>347</v>
      </c>
      <c r="E54" s="555"/>
      <c r="F54" s="555"/>
      <c r="G54" s="502" t="s">
        <v>226</v>
      </c>
      <c r="H54" s="555" t="s">
        <v>348</v>
      </c>
      <c r="I54" s="555"/>
      <c r="J54" s="556">
        <v>11639.99</v>
      </c>
      <c r="K54" s="556"/>
      <c r="L54" s="556"/>
      <c r="M54" s="556"/>
      <c r="N54" s="556">
        <v>11639.99</v>
      </c>
      <c r="O54" s="556"/>
      <c r="P54" s="557">
        <v>0</v>
      </c>
      <c r="Q54" s="557"/>
      <c r="R54" s="557"/>
      <c r="S54" s="556"/>
      <c r="T54" s="556"/>
      <c r="U54" s="557"/>
      <c r="V54" s="557"/>
      <c r="W54" s="478"/>
      <c r="X54" s="205">
        <v>11639.99</v>
      </c>
      <c r="Y54" s="205">
        <f>N54-X54</f>
        <v>0</v>
      </c>
    </row>
    <row r="55" spans="1:25" ht="10.5">
      <c r="A55" s="245"/>
      <c r="B55" s="245"/>
      <c r="C55" s="245"/>
      <c r="D55" s="245"/>
      <c r="E55" s="245"/>
      <c r="F55" s="245"/>
      <c r="G55" s="245"/>
      <c r="H55" s="245"/>
      <c r="I55" s="245"/>
      <c r="J55" s="245"/>
      <c r="K55" s="245"/>
      <c r="L55" s="245"/>
      <c r="M55" s="245"/>
      <c r="N55" s="245"/>
      <c r="O55" s="245"/>
      <c r="P55" s="245"/>
      <c r="Q55" s="245"/>
      <c r="R55" s="245"/>
      <c r="S55" s="245"/>
      <c r="T55" s="245"/>
      <c r="U55" s="245"/>
      <c r="V55" s="245"/>
      <c r="W55" s="245"/>
      <c r="X55" s="198"/>
      <c r="Y55" s="198"/>
    </row>
    <row r="56" spans="1:25" ht="11.25">
      <c r="A56" s="240"/>
      <c r="B56" s="240"/>
      <c r="C56" s="240"/>
      <c r="D56" s="240"/>
      <c r="E56" s="240"/>
      <c r="F56" s="240"/>
      <c r="G56" s="240"/>
      <c r="H56" s="240"/>
      <c r="I56" s="240"/>
      <c r="J56" s="563">
        <v>70654.65</v>
      </c>
      <c r="K56" s="563"/>
      <c r="L56" s="563"/>
      <c r="M56" s="563"/>
      <c r="N56" s="563">
        <v>70654.65</v>
      </c>
      <c r="O56" s="563"/>
      <c r="P56" s="563">
        <v>0</v>
      </c>
      <c r="Q56" s="563"/>
      <c r="R56" s="563"/>
      <c r="S56" s="563"/>
      <c r="T56" s="563"/>
      <c r="U56" s="563"/>
      <c r="V56" s="563"/>
      <c r="W56" s="240"/>
      <c r="X56" s="198">
        <f>SUM(X50:X54)</f>
        <v>70654.65000000001</v>
      </c>
      <c r="Y56" s="198">
        <f>SUM(Y50:Y54)</f>
        <v>0</v>
      </c>
    </row>
    <row r="57" spans="1:25" ht="12">
      <c r="A57" s="240"/>
      <c r="B57" s="558" t="s">
        <v>213</v>
      </c>
      <c r="C57" s="558"/>
      <c r="D57" s="559" t="s">
        <v>228</v>
      </c>
      <c r="E57" s="559"/>
      <c r="F57" s="559"/>
      <c r="G57" s="559"/>
      <c r="H57" s="559"/>
      <c r="I57" s="559"/>
      <c r="J57" s="559"/>
      <c r="K57" s="559"/>
      <c r="L57" s="559"/>
      <c r="M57" s="559"/>
      <c r="N57" s="240"/>
      <c r="O57" s="240"/>
      <c r="P57" s="240"/>
      <c r="Q57" s="240"/>
      <c r="R57" s="240"/>
      <c r="S57" s="240"/>
      <c r="T57" s="240"/>
      <c r="U57" s="240"/>
      <c r="V57" s="240"/>
      <c r="W57" s="240"/>
      <c r="X57" s="198"/>
      <c r="Y57" s="198"/>
    </row>
    <row r="58" spans="1:25" ht="12">
      <c r="A58" s="558" t="s">
        <v>215</v>
      </c>
      <c r="B58" s="558"/>
      <c r="C58" s="240"/>
      <c r="D58" s="240"/>
      <c r="E58" s="562" t="s">
        <v>216</v>
      </c>
      <c r="F58" s="562"/>
      <c r="G58" s="562"/>
      <c r="H58" s="562"/>
      <c r="I58" s="562"/>
      <c r="J58" s="560" t="s">
        <v>5</v>
      </c>
      <c r="K58" s="560"/>
      <c r="L58" s="560"/>
      <c r="M58" s="560"/>
      <c r="N58" s="560" t="s">
        <v>217</v>
      </c>
      <c r="O58" s="560"/>
      <c r="P58" s="561" t="s">
        <v>218</v>
      </c>
      <c r="Q58" s="561"/>
      <c r="R58" s="240"/>
      <c r="S58" s="560"/>
      <c r="T58" s="560"/>
      <c r="U58" s="240"/>
      <c r="V58" s="477"/>
      <c r="W58" s="477"/>
      <c r="X58" s="198"/>
      <c r="Y58" s="198"/>
    </row>
    <row r="59" spans="1:25" ht="12">
      <c r="A59" s="558"/>
      <c r="B59" s="558"/>
      <c r="C59" s="240"/>
      <c r="D59" s="240"/>
      <c r="E59" s="562"/>
      <c r="F59" s="562"/>
      <c r="G59" s="562"/>
      <c r="H59" s="562"/>
      <c r="I59" s="562"/>
      <c r="J59" s="561" t="s">
        <v>223</v>
      </c>
      <c r="K59" s="561"/>
      <c r="L59" s="561"/>
      <c r="M59" s="561"/>
      <c r="N59" s="561" t="s">
        <v>224</v>
      </c>
      <c r="O59" s="561"/>
      <c r="P59" s="561"/>
      <c r="Q59" s="561"/>
      <c r="R59" s="240"/>
      <c r="S59" s="561"/>
      <c r="T59" s="561"/>
      <c r="U59" s="240"/>
      <c r="V59" s="468"/>
      <c r="W59" s="468"/>
      <c r="X59" s="198"/>
      <c r="Y59" s="198"/>
    </row>
    <row r="60" spans="1:25" ht="12">
      <c r="A60" s="555" t="s">
        <v>36</v>
      </c>
      <c r="B60" s="555"/>
      <c r="C60" s="555"/>
      <c r="D60" s="555" t="s">
        <v>347</v>
      </c>
      <c r="E60" s="555"/>
      <c r="F60" s="555"/>
      <c r="G60" s="502" t="s">
        <v>226</v>
      </c>
      <c r="H60" s="555" t="s">
        <v>348</v>
      </c>
      <c r="I60" s="555"/>
      <c r="J60" s="556">
        <v>489147</v>
      </c>
      <c r="K60" s="556"/>
      <c r="L60" s="556"/>
      <c r="M60" s="556"/>
      <c r="N60" s="556">
        <v>489147</v>
      </c>
      <c r="O60" s="556"/>
      <c r="P60" s="557">
        <v>0</v>
      </c>
      <c r="Q60" s="557"/>
      <c r="R60" s="557"/>
      <c r="S60" s="556"/>
      <c r="T60" s="556"/>
      <c r="U60" s="557"/>
      <c r="V60" s="557"/>
      <c r="W60" s="478"/>
      <c r="X60" s="198">
        <v>489147</v>
      </c>
      <c r="Y60" s="198">
        <f>N60-X60</f>
        <v>0</v>
      </c>
    </row>
    <row r="61" spans="1:25" ht="12">
      <c r="A61" s="555" t="s">
        <v>37</v>
      </c>
      <c r="B61" s="555"/>
      <c r="C61" s="555"/>
      <c r="D61" s="555" t="s">
        <v>347</v>
      </c>
      <c r="E61" s="555"/>
      <c r="F61" s="555"/>
      <c r="G61" s="502" t="s">
        <v>226</v>
      </c>
      <c r="H61" s="555" t="s">
        <v>348</v>
      </c>
      <c r="I61" s="555"/>
      <c r="J61" s="556">
        <v>170080.22</v>
      </c>
      <c r="K61" s="556"/>
      <c r="L61" s="556"/>
      <c r="M61" s="556"/>
      <c r="N61" s="556">
        <v>170080.22</v>
      </c>
      <c r="O61" s="556"/>
      <c r="P61" s="557">
        <v>0</v>
      </c>
      <c r="Q61" s="557"/>
      <c r="R61" s="557"/>
      <c r="S61" s="556"/>
      <c r="T61" s="556"/>
      <c r="U61" s="557"/>
      <c r="V61" s="557"/>
      <c r="W61" s="478"/>
      <c r="X61" s="198">
        <v>170080.22</v>
      </c>
      <c r="Y61" s="198">
        <f>N61-X61</f>
        <v>0</v>
      </c>
    </row>
    <row r="62" spans="1:25" ht="12">
      <c r="A62" s="555" t="s">
        <v>31</v>
      </c>
      <c r="B62" s="555"/>
      <c r="C62" s="555"/>
      <c r="D62" s="555" t="s">
        <v>347</v>
      </c>
      <c r="E62" s="555"/>
      <c r="F62" s="555"/>
      <c r="G62" s="502" t="s">
        <v>226</v>
      </c>
      <c r="H62" s="555" t="s">
        <v>348</v>
      </c>
      <c r="I62" s="555"/>
      <c r="J62" s="556">
        <v>78882.82</v>
      </c>
      <c r="K62" s="556"/>
      <c r="L62" s="556"/>
      <c r="M62" s="556"/>
      <c r="N62" s="556">
        <v>78882.82</v>
      </c>
      <c r="O62" s="556"/>
      <c r="P62" s="557">
        <v>0</v>
      </c>
      <c r="Q62" s="557"/>
      <c r="R62" s="557"/>
      <c r="S62" s="556"/>
      <c r="T62" s="556"/>
      <c r="U62" s="557"/>
      <c r="V62" s="557"/>
      <c r="W62" s="478"/>
      <c r="X62" s="198">
        <v>78882.82</v>
      </c>
      <c r="Y62" s="198">
        <f>N62-X62</f>
        <v>0</v>
      </c>
    </row>
    <row r="63" spans="1:25" ht="12">
      <c r="A63" s="555" t="s">
        <v>32</v>
      </c>
      <c r="B63" s="555"/>
      <c r="C63" s="555"/>
      <c r="D63" s="555" t="s">
        <v>347</v>
      </c>
      <c r="E63" s="555"/>
      <c r="F63" s="555"/>
      <c r="G63" s="502" t="s">
        <v>226</v>
      </c>
      <c r="H63" s="555" t="s">
        <v>348</v>
      </c>
      <c r="I63" s="555"/>
      <c r="J63" s="556">
        <v>27762</v>
      </c>
      <c r="K63" s="556"/>
      <c r="L63" s="556"/>
      <c r="M63" s="556"/>
      <c r="N63" s="556">
        <v>27762</v>
      </c>
      <c r="O63" s="556"/>
      <c r="P63" s="557">
        <v>0</v>
      </c>
      <c r="Q63" s="557"/>
      <c r="R63" s="557"/>
      <c r="S63" s="556"/>
      <c r="T63" s="556"/>
      <c r="U63" s="557"/>
      <c r="V63" s="557"/>
      <c r="W63" s="478"/>
      <c r="X63" s="198">
        <v>27762</v>
      </c>
      <c r="Y63" s="198">
        <f>N63-X63</f>
        <v>0</v>
      </c>
    </row>
    <row r="64" spans="1:25" ht="12">
      <c r="A64" s="555" t="s">
        <v>38</v>
      </c>
      <c r="B64" s="555"/>
      <c r="C64" s="555"/>
      <c r="D64" s="555" t="s">
        <v>347</v>
      </c>
      <c r="E64" s="555"/>
      <c r="F64" s="555"/>
      <c r="G64" s="502" t="s">
        <v>226</v>
      </c>
      <c r="H64" s="555" t="s">
        <v>348</v>
      </c>
      <c r="I64" s="555"/>
      <c r="J64" s="556">
        <v>97631.47</v>
      </c>
      <c r="K64" s="556"/>
      <c r="L64" s="556"/>
      <c r="M64" s="556"/>
      <c r="N64" s="556">
        <v>97631.47</v>
      </c>
      <c r="O64" s="556"/>
      <c r="P64" s="557">
        <v>0</v>
      </c>
      <c r="Q64" s="557"/>
      <c r="R64" s="557"/>
      <c r="S64" s="556"/>
      <c r="T64" s="556"/>
      <c r="U64" s="557"/>
      <c r="V64" s="557"/>
      <c r="W64" s="478"/>
      <c r="X64" s="205">
        <v>97631.47</v>
      </c>
      <c r="Y64" s="205">
        <f>N64-X64</f>
        <v>0</v>
      </c>
    </row>
    <row r="65" spans="1:25" ht="10.5">
      <c r="A65" s="245"/>
      <c r="B65" s="245"/>
      <c r="C65" s="245"/>
      <c r="D65" s="245"/>
      <c r="E65" s="245"/>
      <c r="F65" s="245"/>
      <c r="G65" s="245"/>
      <c r="H65" s="245"/>
      <c r="I65" s="245"/>
      <c r="J65" s="245"/>
      <c r="K65" s="245"/>
      <c r="L65" s="245"/>
      <c r="M65" s="245"/>
      <c r="N65" s="245"/>
      <c r="O65" s="245"/>
      <c r="P65" s="245"/>
      <c r="Q65" s="245"/>
      <c r="R65" s="245"/>
      <c r="S65" s="245"/>
      <c r="T65" s="245"/>
      <c r="U65" s="245"/>
      <c r="V65" s="245"/>
      <c r="W65" s="245"/>
      <c r="X65" s="198"/>
      <c r="Y65" s="198"/>
    </row>
    <row r="66" spans="1:25" s="94" customFormat="1" ht="12" thickBot="1">
      <c r="A66" s="240"/>
      <c r="B66" s="240"/>
      <c r="C66" s="240"/>
      <c r="D66" s="240"/>
      <c r="E66" s="240"/>
      <c r="F66" s="240"/>
      <c r="G66" s="240"/>
      <c r="H66" s="240"/>
      <c r="I66" s="240"/>
      <c r="J66" s="563">
        <v>863503.51</v>
      </c>
      <c r="K66" s="563"/>
      <c r="L66" s="563"/>
      <c r="M66" s="563"/>
      <c r="N66" s="563">
        <v>863503.51</v>
      </c>
      <c r="O66" s="563"/>
      <c r="P66" s="563">
        <v>0</v>
      </c>
      <c r="Q66" s="563"/>
      <c r="R66" s="563"/>
      <c r="S66" s="563"/>
      <c r="T66" s="563"/>
      <c r="U66" s="563"/>
      <c r="V66" s="563"/>
      <c r="W66" s="240"/>
      <c r="X66" s="408">
        <f>SUM(X60:X64)</f>
        <v>863503.51</v>
      </c>
      <c r="Y66" s="408">
        <f>SUM(Y60:Y64)</f>
        <v>0</v>
      </c>
    </row>
    <row r="67" spans="1:25" ht="9" customHeight="1" thickTop="1">
      <c r="A67" s="246"/>
      <c r="B67" s="246"/>
      <c r="C67" s="246"/>
      <c r="D67" s="246"/>
      <c r="E67" s="246"/>
      <c r="F67" s="246"/>
      <c r="G67" s="246"/>
      <c r="H67" s="246"/>
      <c r="I67" s="246"/>
      <c r="J67" s="246"/>
      <c r="K67" s="246"/>
      <c r="L67" s="246"/>
      <c r="M67" s="246"/>
      <c r="N67" s="246"/>
      <c r="O67" s="246"/>
      <c r="P67" s="246"/>
      <c r="Q67" s="246"/>
      <c r="R67" s="246"/>
      <c r="S67" s="246"/>
      <c r="T67" s="246"/>
      <c r="U67" s="246"/>
      <c r="V67" s="246"/>
      <c r="W67" s="246"/>
      <c r="X67" s="198"/>
      <c r="Y67" s="198"/>
    </row>
    <row r="68" spans="1:25" s="88" customFormat="1" ht="10.5" customHeight="1">
      <c r="A68" s="560" t="s">
        <v>353</v>
      </c>
      <c r="B68" s="560"/>
      <c r="C68" s="560"/>
      <c r="D68" s="560"/>
      <c r="E68" s="560"/>
      <c r="F68" s="560"/>
      <c r="G68" s="560"/>
      <c r="H68" s="560"/>
      <c r="I68" s="240"/>
      <c r="J68" s="564">
        <v>934158.16</v>
      </c>
      <c r="K68" s="564"/>
      <c r="L68" s="564"/>
      <c r="M68" s="564"/>
      <c r="N68" s="564">
        <v>934158.16</v>
      </c>
      <c r="O68" s="564"/>
      <c r="P68" s="563">
        <v>0</v>
      </c>
      <c r="Q68" s="563"/>
      <c r="R68" s="563"/>
      <c r="S68" s="564"/>
      <c r="T68" s="564"/>
      <c r="U68" s="564"/>
      <c r="V68" s="564"/>
      <c r="W68" s="240"/>
      <c r="X68" s="198"/>
      <c r="Y68" s="198"/>
    </row>
    <row r="69" spans="1:25" ht="10.5" customHeight="1">
      <c r="A69" s="558" t="s">
        <v>211</v>
      </c>
      <c r="B69" s="558"/>
      <c r="C69" s="559" t="s">
        <v>354</v>
      </c>
      <c r="D69" s="559"/>
      <c r="E69" s="559"/>
      <c r="F69" s="559"/>
      <c r="G69" s="559"/>
      <c r="H69" s="559"/>
      <c r="I69" s="559"/>
      <c r="J69" s="559"/>
      <c r="K69" s="559"/>
      <c r="L69" s="240"/>
      <c r="M69" s="240"/>
      <c r="N69" s="240"/>
      <c r="O69" s="240"/>
      <c r="P69" s="240"/>
      <c r="Q69" s="240"/>
      <c r="R69" s="240"/>
      <c r="S69" s="240"/>
      <c r="T69" s="240"/>
      <c r="U69" s="240"/>
      <c r="V69" s="240"/>
      <c r="W69" s="240"/>
      <c r="X69" s="198"/>
      <c r="Y69" s="198"/>
    </row>
    <row r="70" spans="1:25" ht="10.5" customHeight="1">
      <c r="A70" s="558"/>
      <c r="B70" s="558"/>
      <c r="C70" s="240"/>
      <c r="D70" s="240"/>
      <c r="E70" s="240"/>
      <c r="F70" s="240"/>
      <c r="G70" s="240"/>
      <c r="H70" s="240"/>
      <c r="I70" s="240"/>
      <c r="J70" s="240"/>
      <c r="K70" s="240"/>
      <c r="L70" s="240"/>
      <c r="M70" s="240"/>
      <c r="N70" s="240"/>
      <c r="O70" s="240"/>
      <c r="P70" s="240"/>
      <c r="Q70" s="240"/>
      <c r="R70" s="240"/>
      <c r="S70" s="240"/>
      <c r="T70" s="240"/>
      <c r="U70" s="240"/>
      <c r="V70" s="240"/>
      <c r="W70" s="240"/>
      <c r="X70" s="198"/>
      <c r="Y70" s="198"/>
    </row>
    <row r="71" spans="1:25" ht="12">
      <c r="A71" s="240"/>
      <c r="B71" s="558" t="s">
        <v>213</v>
      </c>
      <c r="C71" s="558"/>
      <c r="D71" s="559" t="s">
        <v>75</v>
      </c>
      <c r="E71" s="559"/>
      <c r="F71" s="559"/>
      <c r="G71" s="559"/>
      <c r="H71" s="559"/>
      <c r="I71" s="559"/>
      <c r="J71" s="559"/>
      <c r="K71" s="559"/>
      <c r="L71" s="559"/>
      <c r="M71" s="559"/>
      <c r="N71" s="240"/>
      <c r="O71" s="240"/>
      <c r="P71" s="240"/>
      <c r="Q71" s="240"/>
      <c r="R71" s="240"/>
      <c r="S71" s="240"/>
      <c r="T71" s="240"/>
      <c r="U71" s="240"/>
      <c r="V71" s="240"/>
      <c r="W71" s="240"/>
      <c r="X71" s="198"/>
      <c r="Y71" s="198"/>
    </row>
    <row r="72" spans="1:25" ht="12">
      <c r="A72" s="558" t="s">
        <v>215</v>
      </c>
      <c r="B72" s="558"/>
      <c r="C72" s="240"/>
      <c r="D72" s="240"/>
      <c r="E72" s="562" t="s">
        <v>216</v>
      </c>
      <c r="F72" s="562"/>
      <c r="G72" s="562"/>
      <c r="H72" s="562"/>
      <c r="I72" s="562"/>
      <c r="J72" s="560" t="s">
        <v>5</v>
      </c>
      <c r="K72" s="560"/>
      <c r="L72" s="560"/>
      <c r="M72" s="560"/>
      <c r="N72" s="560" t="s">
        <v>217</v>
      </c>
      <c r="O72" s="560"/>
      <c r="P72" s="561" t="s">
        <v>218</v>
      </c>
      <c r="Q72" s="561"/>
      <c r="R72" s="240"/>
      <c r="S72" s="560"/>
      <c r="T72" s="560"/>
      <c r="U72" s="240"/>
      <c r="V72" s="477"/>
      <c r="W72" s="477"/>
      <c r="X72" s="198"/>
      <c r="Y72" s="198"/>
    </row>
    <row r="73" spans="1:25" ht="12">
      <c r="A73" s="558"/>
      <c r="B73" s="558"/>
      <c r="C73" s="240"/>
      <c r="D73" s="240"/>
      <c r="E73" s="562"/>
      <c r="F73" s="562"/>
      <c r="G73" s="562"/>
      <c r="H73" s="562"/>
      <c r="I73" s="562"/>
      <c r="J73" s="561" t="s">
        <v>223</v>
      </c>
      <c r="K73" s="561"/>
      <c r="L73" s="561"/>
      <c r="M73" s="561"/>
      <c r="N73" s="561" t="s">
        <v>224</v>
      </c>
      <c r="O73" s="561"/>
      <c r="P73" s="561"/>
      <c r="Q73" s="561"/>
      <c r="R73" s="240"/>
      <c r="S73" s="561"/>
      <c r="T73" s="561"/>
      <c r="U73" s="240"/>
      <c r="V73" s="468"/>
      <c r="W73" s="468"/>
      <c r="X73" s="198"/>
      <c r="Y73" s="198"/>
    </row>
    <row r="74" spans="1:25" ht="12">
      <c r="A74" s="555" t="s">
        <v>39</v>
      </c>
      <c r="B74" s="555"/>
      <c r="C74" s="555"/>
      <c r="D74" s="555" t="s">
        <v>347</v>
      </c>
      <c r="E74" s="555"/>
      <c r="F74" s="555"/>
      <c r="G74" s="502" t="s">
        <v>226</v>
      </c>
      <c r="H74" s="555" t="s">
        <v>348</v>
      </c>
      <c r="I74" s="555"/>
      <c r="J74" s="556">
        <v>69255</v>
      </c>
      <c r="K74" s="556"/>
      <c r="L74" s="556"/>
      <c r="M74" s="556"/>
      <c r="N74" s="556">
        <v>69255</v>
      </c>
      <c r="O74" s="556"/>
      <c r="P74" s="557">
        <v>0</v>
      </c>
      <c r="Q74" s="557"/>
      <c r="R74" s="557"/>
      <c r="S74" s="556"/>
      <c r="T74" s="556"/>
      <c r="U74" s="557"/>
      <c r="V74" s="557"/>
      <c r="W74" s="478"/>
      <c r="X74" s="198">
        <v>69255</v>
      </c>
      <c r="Y74" s="198">
        <f>N74-X74</f>
        <v>0</v>
      </c>
    </row>
    <row r="75" spans="1:25" ht="10.5">
      <c r="A75" s="245"/>
      <c r="B75" s="245"/>
      <c r="C75" s="245"/>
      <c r="D75" s="245"/>
      <c r="E75" s="245"/>
      <c r="F75" s="245"/>
      <c r="G75" s="245"/>
      <c r="H75" s="245"/>
      <c r="I75" s="245"/>
      <c r="J75" s="245"/>
      <c r="K75" s="245"/>
      <c r="L75" s="245"/>
      <c r="M75" s="245"/>
      <c r="N75" s="245"/>
      <c r="O75" s="245"/>
      <c r="P75" s="245"/>
      <c r="Q75" s="245"/>
      <c r="R75" s="245"/>
      <c r="S75" s="245"/>
      <c r="T75" s="245"/>
      <c r="U75" s="245"/>
      <c r="V75" s="245"/>
      <c r="W75" s="245"/>
      <c r="X75" s="198"/>
      <c r="Y75" s="198"/>
    </row>
    <row r="76" spans="1:25" ht="12" thickBot="1">
      <c r="A76" s="240"/>
      <c r="B76" s="240"/>
      <c r="C76" s="240"/>
      <c r="D76" s="240"/>
      <c r="E76" s="240"/>
      <c r="F76" s="240"/>
      <c r="G76" s="240"/>
      <c r="H76" s="240"/>
      <c r="I76" s="240"/>
      <c r="J76" s="563">
        <v>69255</v>
      </c>
      <c r="K76" s="563"/>
      <c r="L76" s="563"/>
      <c r="M76" s="563"/>
      <c r="N76" s="563">
        <v>69255</v>
      </c>
      <c r="O76" s="563"/>
      <c r="P76" s="563">
        <v>0</v>
      </c>
      <c r="Q76" s="563"/>
      <c r="R76" s="563"/>
      <c r="S76" s="563"/>
      <c r="T76" s="563"/>
      <c r="U76" s="563"/>
      <c r="V76" s="563"/>
      <c r="W76" s="240"/>
      <c r="X76" s="198"/>
      <c r="Y76" s="198"/>
    </row>
    <row r="77" spans="1:25" ht="11.25" thickTop="1">
      <c r="A77" s="246"/>
      <c r="B77" s="246"/>
      <c r="C77" s="246"/>
      <c r="D77" s="246"/>
      <c r="E77" s="246"/>
      <c r="F77" s="246"/>
      <c r="G77" s="246"/>
      <c r="H77" s="246"/>
      <c r="I77" s="246"/>
      <c r="J77" s="246"/>
      <c r="K77" s="246"/>
      <c r="L77" s="246"/>
      <c r="M77" s="246"/>
      <c r="N77" s="246"/>
      <c r="O77" s="246"/>
      <c r="P77" s="246"/>
      <c r="Q77" s="246"/>
      <c r="R77" s="246"/>
      <c r="S77" s="246"/>
      <c r="T77" s="246"/>
      <c r="U77" s="246"/>
      <c r="V77" s="246"/>
      <c r="W77" s="246"/>
      <c r="X77" s="198"/>
      <c r="Y77" s="198"/>
    </row>
    <row r="78" spans="1:25" ht="10.5" customHeight="1">
      <c r="A78" s="560" t="s">
        <v>355</v>
      </c>
      <c r="B78" s="560"/>
      <c r="C78" s="560"/>
      <c r="D78" s="560"/>
      <c r="E78" s="560"/>
      <c r="F78" s="560"/>
      <c r="G78" s="560"/>
      <c r="H78" s="560"/>
      <c r="I78" s="240"/>
      <c r="J78" s="564">
        <v>69255</v>
      </c>
      <c r="K78" s="564"/>
      <c r="L78" s="564"/>
      <c r="M78" s="564"/>
      <c r="N78" s="564">
        <v>69255</v>
      </c>
      <c r="O78" s="564"/>
      <c r="P78" s="563">
        <v>0</v>
      </c>
      <c r="Q78" s="563"/>
      <c r="R78" s="563"/>
      <c r="S78" s="564"/>
      <c r="T78" s="564"/>
      <c r="U78" s="564"/>
      <c r="V78" s="564"/>
      <c r="W78" s="240"/>
      <c r="X78" s="198"/>
      <c r="Y78" s="198"/>
    </row>
    <row r="79" spans="1:25" ht="10.5" customHeight="1">
      <c r="A79" s="558" t="s">
        <v>211</v>
      </c>
      <c r="B79" s="558"/>
      <c r="C79" s="559" t="s">
        <v>356</v>
      </c>
      <c r="D79" s="559"/>
      <c r="E79" s="559"/>
      <c r="F79" s="559"/>
      <c r="G79" s="559"/>
      <c r="H79" s="559"/>
      <c r="I79" s="559"/>
      <c r="J79" s="559"/>
      <c r="K79" s="559"/>
      <c r="L79" s="240"/>
      <c r="M79" s="240"/>
      <c r="N79" s="240"/>
      <c r="O79" s="240"/>
      <c r="P79" s="240"/>
      <c r="Q79" s="240"/>
      <c r="R79" s="240"/>
      <c r="S79" s="240"/>
      <c r="T79" s="240"/>
      <c r="U79" s="240"/>
      <c r="V79" s="240"/>
      <c r="W79" s="240"/>
      <c r="X79" s="198"/>
      <c r="Y79" s="198"/>
    </row>
    <row r="80" spans="1:25" ht="10.5" customHeight="1">
      <c r="A80" s="558"/>
      <c r="B80" s="558"/>
      <c r="C80" s="240"/>
      <c r="D80" s="240"/>
      <c r="E80" s="240"/>
      <c r="F80" s="240"/>
      <c r="G80" s="240"/>
      <c r="H80" s="240"/>
      <c r="I80" s="240"/>
      <c r="J80" s="240"/>
      <c r="K80" s="240"/>
      <c r="L80" s="240"/>
      <c r="M80" s="240"/>
      <c r="N80" s="240"/>
      <c r="O80" s="240"/>
      <c r="P80" s="240"/>
      <c r="Q80" s="240"/>
      <c r="R80" s="240"/>
      <c r="S80" s="240"/>
      <c r="T80" s="240"/>
      <c r="U80" s="240"/>
      <c r="V80" s="240"/>
      <c r="W80" s="240"/>
      <c r="X80" s="198"/>
      <c r="Y80" s="198"/>
    </row>
    <row r="81" spans="1:25" ht="12">
      <c r="A81" s="240"/>
      <c r="B81" s="558" t="s">
        <v>213</v>
      </c>
      <c r="C81" s="558"/>
      <c r="D81" s="559" t="s">
        <v>75</v>
      </c>
      <c r="E81" s="559"/>
      <c r="F81" s="559"/>
      <c r="G81" s="559"/>
      <c r="H81" s="559"/>
      <c r="I81" s="559"/>
      <c r="J81" s="559"/>
      <c r="K81" s="559"/>
      <c r="L81" s="559"/>
      <c r="M81" s="559"/>
      <c r="N81" s="240"/>
      <c r="O81" s="240"/>
      <c r="P81" s="240"/>
      <c r="Q81" s="240"/>
      <c r="R81" s="240"/>
      <c r="S81" s="240"/>
      <c r="T81" s="240"/>
      <c r="U81" s="240"/>
      <c r="V81" s="240"/>
      <c r="W81" s="240"/>
      <c r="X81" s="198"/>
      <c r="Y81" s="198"/>
    </row>
    <row r="82" spans="1:25" ht="12">
      <c r="A82" s="558" t="s">
        <v>215</v>
      </c>
      <c r="B82" s="558"/>
      <c r="C82" s="240"/>
      <c r="D82" s="240"/>
      <c r="E82" s="562" t="s">
        <v>216</v>
      </c>
      <c r="F82" s="562"/>
      <c r="G82" s="562"/>
      <c r="H82" s="562"/>
      <c r="I82" s="562"/>
      <c r="J82" s="560" t="s">
        <v>5</v>
      </c>
      <c r="K82" s="560"/>
      <c r="L82" s="560"/>
      <c r="M82" s="560"/>
      <c r="N82" s="560" t="s">
        <v>217</v>
      </c>
      <c r="O82" s="560"/>
      <c r="P82" s="561" t="s">
        <v>218</v>
      </c>
      <c r="Q82" s="561"/>
      <c r="R82" s="240"/>
      <c r="S82" s="560"/>
      <c r="T82" s="560"/>
      <c r="U82" s="240"/>
      <c r="V82" s="477"/>
      <c r="W82" s="477"/>
      <c r="X82" s="198"/>
      <c r="Y82" s="198"/>
    </row>
    <row r="83" spans="1:25" ht="12">
      <c r="A83" s="558"/>
      <c r="B83" s="558"/>
      <c r="C83" s="240"/>
      <c r="D83" s="240"/>
      <c r="E83" s="562"/>
      <c r="F83" s="562"/>
      <c r="G83" s="562"/>
      <c r="H83" s="562"/>
      <c r="I83" s="562"/>
      <c r="J83" s="561" t="s">
        <v>223</v>
      </c>
      <c r="K83" s="561"/>
      <c r="L83" s="561"/>
      <c r="M83" s="561"/>
      <c r="N83" s="561" t="s">
        <v>224</v>
      </c>
      <c r="O83" s="561"/>
      <c r="P83" s="561"/>
      <c r="Q83" s="561"/>
      <c r="R83" s="240"/>
      <c r="S83" s="561"/>
      <c r="T83" s="561"/>
      <c r="U83" s="240"/>
      <c r="V83" s="468"/>
      <c r="W83" s="468"/>
      <c r="X83" s="198"/>
      <c r="Y83" s="198"/>
    </row>
    <row r="84" spans="1:25" ht="12">
      <c r="A84" s="555" t="s">
        <v>25</v>
      </c>
      <c r="B84" s="555"/>
      <c r="C84" s="555"/>
      <c r="D84" s="555" t="s">
        <v>347</v>
      </c>
      <c r="E84" s="555"/>
      <c r="F84" s="555"/>
      <c r="G84" s="502" t="s">
        <v>226</v>
      </c>
      <c r="H84" s="555" t="s">
        <v>348</v>
      </c>
      <c r="I84" s="555"/>
      <c r="J84" s="556">
        <v>128660</v>
      </c>
      <c r="K84" s="556"/>
      <c r="L84" s="556"/>
      <c r="M84" s="556"/>
      <c r="N84" s="556">
        <v>128660</v>
      </c>
      <c r="O84" s="556"/>
      <c r="P84" s="557">
        <v>0</v>
      </c>
      <c r="Q84" s="557"/>
      <c r="R84" s="557"/>
      <c r="S84" s="556"/>
      <c r="T84" s="556"/>
      <c r="U84" s="557"/>
      <c r="V84" s="557"/>
      <c r="W84" s="478"/>
      <c r="X84" s="198">
        <v>128660</v>
      </c>
      <c r="Y84" s="198">
        <f aca="true" t="shared" si="2" ref="Y84:Y96">N84-X84</f>
        <v>0</v>
      </c>
    </row>
    <row r="85" spans="1:25" ht="12">
      <c r="A85" s="555" t="s">
        <v>26</v>
      </c>
      <c r="B85" s="555"/>
      <c r="C85" s="555"/>
      <c r="D85" s="555" t="s">
        <v>347</v>
      </c>
      <c r="E85" s="555"/>
      <c r="F85" s="555"/>
      <c r="G85" s="502" t="s">
        <v>226</v>
      </c>
      <c r="H85" s="555" t="s">
        <v>348</v>
      </c>
      <c r="I85" s="555"/>
      <c r="J85" s="556">
        <v>17274.84</v>
      </c>
      <c r="K85" s="556"/>
      <c r="L85" s="556"/>
      <c r="M85" s="556"/>
      <c r="N85" s="556">
        <v>17274.84</v>
      </c>
      <c r="O85" s="556"/>
      <c r="P85" s="557">
        <v>0</v>
      </c>
      <c r="Q85" s="557"/>
      <c r="R85" s="557"/>
      <c r="S85" s="556"/>
      <c r="T85" s="556"/>
      <c r="U85" s="557"/>
      <c r="V85" s="557"/>
      <c r="W85" s="478"/>
      <c r="X85" s="198">
        <v>17274.84</v>
      </c>
      <c r="Y85" s="198">
        <f t="shared" si="2"/>
        <v>0</v>
      </c>
    </row>
    <row r="86" spans="1:25" ht="12">
      <c r="A86" s="555" t="s">
        <v>27</v>
      </c>
      <c r="B86" s="555"/>
      <c r="C86" s="555"/>
      <c r="D86" s="555" t="s">
        <v>347</v>
      </c>
      <c r="E86" s="555"/>
      <c r="F86" s="555"/>
      <c r="G86" s="502" t="s">
        <v>226</v>
      </c>
      <c r="H86" s="555" t="s">
        <v>348</v>
      </c>
      <c r="I86" s="555"/>
      <c r="J86" s="556">
        <v>43841</v>
      </c>
      <c r="K86" s="556"/>
      <c r="L86" s="556"/>
      <c r="M86" s="556"/>
      <c r="N86" s="556">
        <v>43841</v>
      </c>
      <c r="O86" s="556"/>
      <c r="P86" s="557">
        <v>0</v>
      </c>
      <c r="Q86" s="557"/>
      <c r="R86" s="557"/>
      <c r="S86" s="556"/>
      <c r="T86" s="556"/>
      <c r="U86" s="557"/>
      <c r="V86" s="557"/>
      <c r="W86" s="478"/>
      <c r="X86" s="198">
        <v>43841</v>
      </c>
      <c r="Y86" s="198">
        <f t="shared" si="2"/>
        <v>0</v>
      </c>
    </row>
    <row r="87" spans="1:25" ht="12">
      <c r="A87" s="555" t="s">
        <v>349</v>
      </c>
      <c r="B87" s="555"/>
      <c r="C87" s="555"/>
      <c r="D87" s="555" t="s">
        <v>347</v>
      </c>
      <c r="E87" s="555"/>
      <c r="F87" s="555"/>
      <c r="G87" s="502" t="s">
        <v>226</v>
      </c>
      <c r="H87" s="555" t="s">
        <v>348</v>
      </c>
      <c r="I87" s="555"/>
      <c r="J87" s="556">
        <v>3941</v>
      </c>
      <c r="K87" s="556"/>
      <c r="L87" s="556"/>
      <c r="M87" s="556"/>
      <c r="N87" s="556">
        <v>3941</v>
      </c>
      <c r="O87" s="556"/>
      <c r="P87" s="557">
        <v>0</v>
      </c>
      <c r="Q87" s="557"/>
      <c r="R87" s="557"/>
      <c r="S87" s="556"/>
      <c r="T87" s="556"/>
      <c r="U87" s="557"/>
      <c r="V87" s="557"/>
      <c r="W87" s="478"/>
      <c r="X87" s="198">
        <v>3941</v>
      </c>
      <c r="Y87" s="198">
        <f t="shared" si="2"/>
        <v>0</v>
      </c>
    </row>
    <row r="88" spans="1:25" ht="12">
      <c r="A88" s="555" t="s">
        <v>29</v>
      </c>
      <c r="B88" s="555"/>
      <c r="C88" s="555"/>
      <c r="D88" s="555" t="s">
        <v>347</v>
      </c>
      <c r="E88" s="555"/>
      <c r="F88" s="555"/>
      <c r="G88" s="502" t="s">
        <v>226</v>
      </c>
      <c r="H88" s="555" t="s">
        <v>348</v>
      </c>
      <c r="I88" s="555"/>
      <c r="J88" s="556">
        <v>89534</v>
      </c>
      <c r="K88" s="556"/>
      <c r="L88" s="556"/>
      <c r="M88" s="556"/>
      <c r="N88" s="556">
        <v>89534</v>
      </c>
      <c r="O88" s="556"/>
      <c r="P88" s="557">
        <v>0</v>
      </c>
      <c r="Q88" s="557"/>
      <c r="R88" s="557"/>
      <c r="S88" s="556"/>
      <c r="T88" s="556"/>
      <c r="U88" s="557"/>
      <c r="V88" s="557"/>
      <c r="W88" s="478"/>
      <c r="X88" s="198">
        <v>89534</v>
      </c>
      <c r="Y88" s="198">
        <f t="shared" si="2"/>
        <v>0</v>
      </c>
    </row>
    <row r="89" spans="1:25" ht="12">
      <c r="A89" s="555" t="s">
        <v>350</v>
      </c>
      <c r="B89" s="555"/>
      <c r="C89" s="555"/>
      <c r="D89" s="555" t="s">
        <v>347</v>
      </c>
      <c r="E89" s="555"/>
      <c r="F89" s="555"/>
      <c r="G89" s="502" t="s">
        <v>226</v>
      </c>
      <c r="H89" s="555" t="s">
        <v>348</v>
      </c>
      <c r="I89" s="555"/>
      <c r="J89" s="556">
        <v>10668.17</v>
      </c>
      <c r="K89" s="556"/>
      <c r="L89" s="556"/>
      <c r="M89" s="556"/>
      <c r="N89" s="556">
        <v>10668.17</v>
      </c>
      <c r="O89" s="556"/>
      <c r="P89" s="557">
        <v>0</v>
      </c>
      <c r="Q89" s="557"/>
      <c r="R89" s="557"/>
      <c r="S89" s="556"/>
      <c r="T89" s="556"/>
      <c r="U89" s="557"/>
      <c r="V89" s="557"/>
      <c r="W89" s="478"/>
      <c r="X89" s="198">
        <v>10668.17</v>
      </c>
      <c r="Y89" s="198">
        <f t="shared" si="2"/>
        <v>0</v>
      </c>
    </row>
    <row r="90" spans="1:25" ht="12">
      <c r="A90" s="555" t="s">
        <v>30</v>
      </c>
      <c r="B90" s="555"/>
      <c r="C90" s="555"/>
      <c r="D90" s="555" t="s">
        <v>347</v>
      </c>
      <c r="E90" s="555"/>
      <c r="F90" s="555"/>
      <c r="G90" s="502" t="s">
        <v>226</v>
      </c>
      <c r="H90" s="555" t="s">
        <v>348</v>
      </c>
      <c r="I90" s="555"/>
      <c r="J90" s="556">
        <v>6237.04</v>
      </c>
      <c r="K90" s="556"/>
      <c r="L90" s="556"/>
      <c r="M90" s="556"/>
      <c r="N90" s="556">
        <v>6237.04</v>
      </c>
      <c r="O90" s="556"/>
      <c r="P90" s="557">
        <v>0</v>
      </c>
      <c r="Q90" s="557"/>
      <c r="R90" s="557"/>
      <c r="S90" s="556"/>
      <c r="T90" s="556"/>
      <c r="U90" s="557"/>
      <c r="V90" s="557"/>
      <c r="W90" s="478"/>
      <c r="X90" s="198">
        <v>6237.04</v>
      </c>
      <c r="Y90" s="198">
        <f t="shared" si="2"/>
        <v>0</v>
      </c>
    </row>
    <row r="91" spans="1:25" ht="12">
      <c r="A91" s="555" t="s">
        <v>31</v>
      </c>
      <c r="B91" s="555"/>
      <c r="C91" s="555"/>
      <c r="D91" s="555" t="s">
        <v>347</v>
      </c>
      <c r="E91" s="555"/>
      <c r="F91" s="555"/>
      <c r="G91" s="502" t="s">
        <v>226</v>
      </c>
      <c r="H91" s="555" t="s">
        <v>348</v>
      </c>
      <c r="I91" s="555"/>
      <c r="J91" s="556">
        <v>50091.53</v>
      </c>
      <c r="K91" s="556"/>
      <c r="L91" s="556"/>
      <c r="M91" s="556"/>
      <c r="N91" s="556">
        <v>50091.53</v>
      </c>
      <c r="O91" s="556"/>
      <c r="P91" s="557">
        <v>0</v>
      </c>
      <c r="Q91" s="557"/>
      <c r="R91" s="557"/>
      <c r="S91" s="556"/>
      <c r="T91" s="556"/>
      <c r="U91" s="557"/>
      <c r="V91" s="557"/>
      <c r="W91" s="478"/>
      <c r="X91" s="198">
        <v>50091.53</v>
      </c>
      <c r="Y91" s="198">
        <f t="shared" si="2"/>
        <v>0</v>
      </c>
    </row>
    <row r="92" spans="1:25" ht="12">
      <c r="A92" s="555" t="s">
        <v>32</v>
      </c>
      <c r="B92" s="555"/>
      <c r="C92" s="555"/>
      <c r="D92" s="555" t="s">
        <v>347</v>
      </c>
      <c r="E92" s="555"/>
      <c r="F92" s="555"/>
      <c r="G92" s="502" t="s">
        <v>226</v>
      </c>
      <c r="H92" s="555" t="s">
        <v>348</v>
      </c>
      <c r="I92" s="555"/>
      <c r="J92" s="556">
        <v>29054.46</v>
      </c>
      <c r="K92" s="556"/>
      <c r="L92" s="556"/>
      <c r="M92" s="556"/>
      <c r="N92" s="556">
        <v>29054.46</v>
      </c>
      <c r="O92" s="556"/>
      <c r="P92" s="557">
        <v>0</v>
      </c>
      <c r="Q92" s="557"/>
      <c r="R92" s="557"/>
      <c r="S92" s="556"/>
      <c r="T92" s="556"/>
      <c r="U92" s="557"/>
      <c r="V92" s="557"/>
      <c r="W92" s="478"/>
      <c r="X92" s="198">
        <v>29054.46</v>
      </c>
      <c r="Y92" s="198">
        <f t="shared" si="2"/>
        <v>0</v>
      </c>
    </row>
    <row r="93" spans="1:25" ht="12">
      <c r="A93" s="555" t="s">
        <v>33</v>
      </c>
      <c r="B93" s="555"/>
      <c r="C93" s="555"/>
      <c r="D93" s="555" t="s">
        <v>347</v>
      </c>
      <c r="E93" s="555"/>
      <c r="F93" s="555"/>
      <c r="G93" s="502" t="s">
        <v>226</v>
      </c>
      <c r="H93" s="555" t="s">
        <v>348</v>
      </c>
      <c r="I93" s="555"/>
      <c r="J93" s="556">
        <v>51280</v>
      </c>
      <c r="K93" s="556"/>
      <c r="L93" s="556"/>
      <c r="M93" s="556"/>
      <c r="N93" s="556">
        <v>51280</v>
      </c>
      <c r="O93" s="556"/>
      <c r="P93" s="557">
        <v>0</v>
      </c>
      <c r="Q93" s="557"/>
      <c r="R93" s="557"/>
      <c r="S93" s="556"/>
      <c r="T93" s="556"/>
      <c r="U93" s="557"/>
      <c r="V93" s="557"/>
      <c r="W93" s="478"/>
      <c r="X93" s="198">
        <v>51280</v>
      </c>
      <c r="Y93" s="198">
        <f t="shared" si="2"/>
        <v>0</v>
      </c>
    </row>
    <row r="94" spans="1:25" ht="12">
      <c r="A94" s="555" t="s">
        <v>41</v>
      </c>
      <c r="B94" s="555"/>
      <c r="C94" s="555"/>
      <c r="D94" s="555" t="s">
        <v>347</v>
      </c>
      <c r="E94" s="555"/>
      <c r="F94" s="555"/>
      <c r="G94" s="502" t="s">
        <v>226</v>
      </c>
      <c r="H94" s="555" t="s">
        <v>348</v>
      </c>
      <c r="I94" s="555"/>
      <c r="J94" s="556">
        <v>51675.79</v>
      </c>
      <c r="K94" s="556"/>
      <c r="L94" s="556"/>
      <c r="M94" s="556"/>
      <c r="N94" s="556">
        <v>51675.79</v>
      </c>
      <c r="O94" s="556"/>
      <c r="P94" s="557">
        <v>0</v>
      </c>
      <c r="Q94" s="557"/>
      <c r="R94" s="557"/>
      <c r="S94" s="556"/>
      <c r="T94" s="556"/>
      <c r="U94" s="557"/>
      <c r="V94" s="557"/>
      <c r="W94" s="478"/>
      <c r="X94" s="198">
        <v>51675.79</v>
      </c>
      <c r="Y94" s="198">
        <f t="shared" si="2"/>
        <v>0</v>
      </c>
    </row>
    <row r="95" spans="1:25" ht="12">
      <c r="A95" s="555" t="s">
        <v>34</v>
      </c>
      <c r="B95" s="555"/>
      <c r="C95" s="555"/>
      <c r="D95" s="555" t="s">
        <v>347</v>
      </c>
      <c r="E95" s="555"/>
      <c r="F95" s="555"/>
      <c r="G95" s="502" t="s">
        <v>226</v>
      </c>
      <c r="H95" s="555" t="s">
        <v>348</v>
      </c>
      <c r="I95" s="555"/>
      <c r="J95" s="556">
        <v>17349</v>
      </c>
      <c r="K95" s="556"/>
      <c r="L95" s="556"/>
      <c r="M95" s="556"/>
      <c r="N95" s="556">
        <v>17349</v>
      </c>
      <c r="O95" s="556"/>
      <c r="P95" s="557">
        <v>0</v>
      </c>
      <c r="Q95" s="557"/>
      <c r="R95" s="557"/>
      <c r="S95" s="556"/>
      <c r="T95" s="556"/>
      <c r="U95" s="557"/>
      <c r="V95" s="557"/>
      <c r="W95" s="478"/>
      <c r="X95" s="198">
        <v>17349</v>
      </c>
      <c r="Y95" s="198">
        <f t="shared" si="2"/>
        <v>0</v>
      </c>
    </row>
    <row r="96" spans="1:25" ht="12">
      <c r="A96" s="555" t="s">
        <v>35</v>
      </c>
      <c r="B96" s="555"/>
      <c r="C96" s="555"/>
      <c r="D96" s="555" t="s">
        <v>347</v>
      </c>
      <c r="E96" s="555"/>
      <c r="F96" s="555"/>
      <c r="G96" s="502" t="s">
        <v>226</v>
      </c>
      <c r="H96" s="555" t="s">
        <v>348</v>
      </c>
      <c r="I96" s="555"/>
      <c r="J96" s="556">
        <v>92844</v>
      </c>
      <c r="K96" s="556"/>
      <c r="L96" s="556"/>
      <c r="M96" s="556"/>
      <c r="N96" s="556">
        <v>92844</v>
      </c>
      <c r="O96" s="556"/>
      <c r="P96" s="557">
        <v>0</v>
      </c>
      <c r="Q96" s="557"/>
      <c r="R96" s="557"/>
      <c r="S96" s="556"/>
      <c r="T96" s="556"/>
      <c r="U96" s="557"/>
      <c r="V96" s="557"/>
      <c r="W96" s="478"/>
      <c r="X96" s="205">
        <v>92844</v>
      </c>
      <c r="Y96" s="205">
        <f t="shared" si="2"/>
        <v>0</v>
      </c>
    </row>
    <row r="97" spans="1:25" ht="10.5">
      <c r="A97" s="245"/>
      <c r="B97" s="245"/>
      <c r="C97" s="245"/>
      <c r="D97" s="245"/>
      <c r="E97" s="245"/>
      <c r="F97" s="245"/>
      <c r="G97" s="245"/>
      <c r="H97" s="245"/>
      <c r="I97" s="245"/>
      <c r="J97" s="245"/>
      <c r="K97" s="245"/>
      <c r="L97" s="245"/>
      <c r="M97" s="245"/>
      <c r="N97" s="245"/>
      <c r="O97" s="245"/>
      <c r="P97" s="245"/>
      <c r="Q97" s="245"/>
      <c r="R97" s="245"/>
      <c r="S97" s="245"/>
      <c r="T97" s="245"/>
      <c r="U97" s="245"/>
      <c r="V97" s="245"/>
      <c r="W97" s="245"/>
      <c r="X97" s="198"/>
      <c r="Y97" s="198"/>
    </row>
    <row r="98" spans="1:25" ht="11.25">
      <c r="A98" s="240"/>
      <c r="B98" s="240"/>
      <c r="C98" s="240"/>
      <c r="D98" s="240"/>
      <c r="E98" s="240"/>
      <c r="F98" s="240"/>
      <c r="G98" s="240"/>
      <c r="H98" s="240"/>
      <c r="I98" s="240"/>
      <c r="J98" s="563">
        <v>592450.83</v>
      </c>
      <c r="K98" s="563"/>
      <c r="L98" s="563"/>
      <c r="M98" s="563"/>
      <c r="N98" s="563">
        <v>592450.83</v>
      </c>
      <c r="O98" s="563"/>
      <c r="P98" s="563">
        <v>0</v>
      </c>
      <c r="Q98" s="563"/>
      <c r="R98" s="563"/>
      <c r="S98" s="563"/>
      <c r="T98" s="563"/>
      <c r="U98" s="563"/>
      <c r="V98" s="563"/>
      <c r="W98" s="240"/>
      <c r="X98" s="198">
        <f>SUM(X84:X96)</f>
        <v>592450.83</v>
      </c>
      <c r="Y98" s="198">
        <f>SUM(Y84:Y96)</f>
        <v>0</v>
      </c>
    </row>
    <row r="99" spans="1:25" ht="12">
      <c r="A99" s="240"/>
      <c r="B99" s="558" t="s">
        <v>213</v>
      </c>
      <c r="C99" s="558"/>
      <c r="D99" s="559" t="s">
        <v>238</v>
      </c>
      <c r="E99" s="559"/>
      <c r="F99" s="559"/>
      <c r="G99" s="559"/>
      <c r="H99" s="559"/>
      <c r="I99" s="559"/>
      <c r="J99" s="559"/>
      <c r="K99" s="559"/>
      <c r="L99" s="559"/>
      <c r="M99" s="559"/>
      <c r="N99" s="240"/>
      <c r="O99" s="240"/>
      <c r="P99" s="240"/>
      <c r="Q99" s="240"/>
      <c r="R99" s="240"/>
      <c r="S99" s="240"/>
      <c r="T99" s="240"/>
      <c r="U99" s="240"/>
      <c r="V99" s="240"/>
      <c r="W99" s="240"/>
      <c r="X99" s="198"/>
      <c r="Y99" s="198"/>
    </row>
    <row r="100" spans="1:25" ht="12">
      <c r="A100" s="558" t="s">
        <v>215</v>
      </c>
      <c r="B100" s="558"/>
      <c r="C100" s="240"/>
      <c r="D100" s="240"/>
      <c r="E100" s="562" t="s">
        <v>216</v>
      </c>
      <c r="F100" s="562"/>
      <c r="G100" s="562"/>
      <c r="H100" s="562"/>
      <c r="I100" s="562"/>
      <c r="J100" s="560" t="s">
        <v>5</v>
      </c>
      <c r="K100" s="560"/>
      <c r="L100" s="560"/>
      <c r="M100" s="560"/>
      <c r="N100" s="560" t="s">
        <v>217</v>
      </c>
      <c r="O100" s="560"/>
      <c r="P100" s="561" t="s">
        <v>218</v>
      </c>
      <c r="Q100" s="561"/>
      <c r="R100" s="240"/>
      <c r="S100" s="560"/>
      <c r="T100" s="560"/>
      <c r="U100" s="240"/>
      <c r="V100" s="477"/>
      <c r="W100" s="477"/>
      <c r="X100" s="198"/>
      <c r="Y100" s="198"/>
    </row>
    <row r="101" spans="1:25" ht="12">
      <c r="A101" s="558"/>
      <c r="B101" s="558"/>
      <c r="C101" s="240"/>
      <c r="D101" s="240"/>
      <c r="E101" s="562"/>
      <c r="F101" s="562"/>
      <c r="G101" s="562"/>
      <c r="H101" s="562"/>
      <c r="I101" s="562"/>
      <c r="J101" s="561" t="s">
        <v>223</v>
      </c>
      <c r="K101" s="561"/>
      <c r="L101" s="561"/>
      <c r="M101" s="561"/>
      <c r="N101" s="561" t="s">
        <v>224</v>
      </c>
      <c r="O101" s="561"/>
      <c r="P101" s="561"/>
      <c r="Q101" s="561"/>
      <c r="R101" s="240"/>
      <c r="S101" s="561"/>
      <c r="T101" s="561"/>
      <c r="U101" s="240"/>
      <c r="V101" s="468"/>
      <c r="W101" s="468"/>
      <c r="X101" s="198"/>
      <c r="Y101" s="198"/>
    </row>
    <row r="102" spans="1:25" ht="12">
      <c r="A102" s="555" t="s">
        <v>25</v>
      </c>
      <c r="B102" s="555"/>
      <c r="C102" s="555"/>
      <c r="D102" s="555" t="s">
        <v>347</v>
      </c>
      <c r="E102" s="555"/>
      <c r="F102" s="555"/>
      <c r="G102" s="502" t="s">
        <v>226</v>
      </c>
      <c r="H102" s="555" t="s">
        <v>348</v>
      </c>
      <c r="I102" s="555"/>
      <c r="J102" s="556">
        <v>1179764</v>
      </c>
      <c r="K102" s="556"/>
      <c r="L102" s="556"/>
      <c r="M102" s="556"/>
      <c r="N102" s="556">
        <v>1179764</v>
      </c>
      <c r="O102" s="556"/>
      <c r="P102" s="557">
        <v>0</v>
      </c>
      <c r="Q102" s="557"/>
      <c r="R102" s="557"/>
      <c r="S102" s="556"/>
      <c r="T102" s="556"/>
      <c r="U102" s="557"/>
      <c r="V102" s="557"/>
      <c r="W102" s="478"/>
      <c r="X102" s="198">
        <v>1179764</v>
      </c>
      <c r="Y102" s="198">
        <f aca="true" t="shared" si="3" ref="Y102:Y114">N102-X102</f>
        <v>0</v>
      </c>
    </row>
    <row r="103" spans="1:25" ht="12">
      <c r="A103" s="555" t="s">
        <v>26</v>
      </c>
      <c r="B103" s="555"/>
      <c r="C103" s="555"/>
      <c r="D103" s="555" t="s">
        <v>347</v>
      </c>
      <c r="E103" s="555"/>
      <c r="F103" s="555"/>
      <c r="G103" s="502" t="s">
        <v>226</v>
      </c>
      <c r="H103" s="555" t="s">
        <v>348</v>
      </c>
      <c r="I103" s="555"/>
      <c r="J103" s="556">
        <v>139210.38</v>
      </c>
      <c r="K103" s="556"/>
      <c r="L103" s="556"/>
      <c r="M103" s="556"/>
      <c r="N103" s="556">
        <v>139210.38</v>
      </c>
      <c r="O103" s="556"/>
      <c r="P103" s="557">
        <v>0</v>
      </c>
      <c r="Q103" s="557"/>
      <c r="R103" s="557"/>
      <c r="S103" s="556"/>
      <c r="T103" s="556"/>
      <c r="U103" s="557"/>
      <c r="V103" s="557"/>
      <c r="W103" s="478"/>
      <c r="X103" s="198">
        <v>139210.38</v>
      </c>
      <c r="Y103" s="198">
        <f t="shared" si="3"/>
        <v>0</v>
      </c>
    </row>
    <row r="104" spans="1:25" ht="12">
      <c r="A104" s="555" t="s">
        <v>27</v>
      </c>
      <c r="B104" s="555"/>
      <c r="C104" s="555"/>
      <c r="D104" s="555" t="s">
        <v>347</v>
      </c>
      <c r="E104" s="555"/>
      <c r="F104" s="555"/>
      <c r="G104" s="502" t="s">
        <v>226</v>
      </c>
      <c r="H104" s="555" t="s">
        <v>348</v>
      </c>
      <c r="I104" s="555"/>
      <c r="J104" s="556">
        <v>287629.32</v>
      </c>
      <c r="K104" s="556"/>
      <c r="L104" s="556"/>
      <c r="M104" s="556"/>
      <c r="N104" s="556">
        <v>287629.32</v>
      </c>
      <c r="O104" s="556"/>
      <c r="P104" s="557">
        <v>0</v>
      </c>
      <c r="Q104" s="557"/>
      <c r="R104" s="557"/>
      <c r="S104" s="556"/>
      <c r="T104" s="556"/>
      <c r="U104" s="557"/>
      <c r="V104" s="557"/>
      <c r="W104" s="478"/>
      <c r="X104" s="198">
        <v>287629.32</v>
      </c>
      <c r="Y104" s="198">
        <f t="shared" si="3"/>
        <v>0</v>
      </c>
    </row>
    <row r="105" spans="1:25" ht="12">
      <c r="A105" s="555" t="s">
        <v>349</v>
      </c>
      <c r="B105" s="555"/>
      <c r="C105" s="555"/>
      <c r="D105" s="555" t="s">
        <v>347</v>
      </c>
      <c r="E105" s="555"/>
      <c r="F105" s="555"/>
      <c r="G105" s="502" t="s">
        <v>226</v>
      </c>
      <c r="H105" s="555" t="s">
        <v>348</v>
      </c>
      <c r="I105" s="555"/>
      <c r="J105" s="556">
        <v>52618</v>
      </c>
      <c r="K105" s="556"/>
      <c r="L105" s="556"/>
      <c r="M105" s="556"/>
      <c r="N105" s="556">
        <v>52618</v>
      </c>
      <c r="O105" s="556"/>
      <c r="P105" s="557">
        <v>0</v>
      </c>
      <c r="Q105" s="557"/>
      <c r="R105" s="557"/>
      <c r="S105" s="556"/>
      <c r="T105" s="556"/>
      <c r="U105" s="557"/>
      <c r="V105" s="557"/>
      <c r="W105" s="478"/>
      <c r="X105" s="198">
        <v>52618</v>
      </c>
      <c r="Y105" s="198">
        <f t="shared" si="3"/>
        <v>0</v>
      </c>
    </row>
    <row r="106" spans="1:25" ht="12">
      <c r="A106" s="555" t="s">
        <v>29</v>
      </c>
      <c r="B106" s="555"/>
      <c r="C106" s="555"/>
      <c r="D106" s="555" t="s">
        <v>347</v>
      </c>
      <c r="E106" s="555"/>
      <c r="F106" s="555"/>
      <c r="G106" s="502" t="s">
        <v>226</v>
      </c>
      <c r="H106" s="555" t="s">
        <v>348</v>
      </c>
      <c r="I106" s="555"/>
      <c r="J106" s="556">
        <v>892467</v>
      </c>
      <c r="K106" s="556"/>
      <c r="L106" s="556"/>
      <c r="M106" s="556"/>
      <c r="N106" s="556">
        <v>892467</v>
      </c>
      <c r="O106" s="556"/>
      <c r="P106" s="557">
        <v>0</v>
      </c>
      <c r="Q106" s="557"/>
      <c r="R106" s="557"/>
      <c r="S106" s="556"/>
      <c r="T106" s="556"/>
      <c r="U106" s="557"/>
      <c r="V106" s="557"/>
      <c r="W106" s="478"/>
      <c r="X106" s="198">
        <v>892467</v>
      </c>
      <c r="Y106" s="198">
        <f t="shared" si="3"/>
        <v>0</v>
      </c>
    </row>
    <row r="107" spans="1:25" ht="12">
      <c r="A107" s="555" t="s">
        <v>350</v>
      </c>
      <c r="B107" s="555"/>
      <c r="C107" s="555"/>
      <c r="D107" s="555" t="s">
        <v>347</v>
      </c>
      <c r="E107" s="555"/>
      <c r="F107" s="555"/>
      <c r="G107" s="502" t="s">
        <v>226</v>
      </c>
      <c r="H107" s="555" t="s">
        <v>348</v>
      </c>
      <c r="I107" s="555"/>
      <c r="J107" s="556">
        <v>94375.36</v>
      </c>
      <c r="K107" s="556"/>
      <c r="L107" s="556"/>
      <c r="M107" s="556"/>
      <c r="N107" s="556">
        <v>94375.36</v>
      </c>
      <c r="O107" s="556"/>
      <c r="P107" s="557">
        <v>0</v>
      </c>
      <c r="Q107" s="557"/>
      <c r="R107" s="557"/>
      <c r="S107" s="556"/>
      <c r="T107" s="556"/>
      <c r="U107" s="557"/>
      <c r="V107" s="557"/>
      <c r="W107" s="478"/>
      <c r="X107" s="198">
        <v>94375.36</v>
      </c>
      <c r="Y107" s="198">
        <f t="shared" si="3"/>
        <v>0</v>
      </c>
    </row>
    <row r="108" spans="1:25" ht="12">
      <c r="A108" s="555" t="s">
        <v>30</v>
      </c>
      <c r="B108" s="555"/>
      <c r="C108" s="555"/>
      <c r="D108" s="555" t="s">
        <v>347</v>
      </c>
      <c r="E108" s="555"/>
      <c r="F108" s="555"/>
      <c r="G108" s="502" t="s">
        <v>226</v>
      </c>
      <c r="H108" s="555" t="s">
        <v>348</v>
      </c>
      <c r="I108" s="555"/>
      <c r="J108" s="556">
        <v>66216.61</v>
      </c>
      <c r="K108" s="556"/>
      <c r="L108" s="556"/>
      <c r="M108" s="556"/>
      <c r="N108" s="556">
        <v>66216.61</v>
      </c>
      <c r="O108" s="556"/>
      <c r="P108" s="557">
        <v>0</v>
      </c>
      <c r="Q108" s="557"/>
      <c r="R108" s="557"/>
      <c r="S108" s="556"/>
      <c r="T108" s="556"/>
      <c r="U108" s="557"/>
      <c r="V108" s="557"/>
      <c r="W108" s="478"/>
      <c r="X108" s="198">
        <v>66216.61</v>
      </c>
      <c r="Y108" s="198">
        <f t="shared" si="3"/>
        <v>0</v>
      </c>
    </row>
    <row r="109" spans="1:25" ht="12">
      <c r="A109" s="555" t="s">
        <v>31</v>
      </c>
      <c r="B109" s="555"/>
      <c r="C109" s="555"/>
      <c r="D109" s="555" t="s">
        <v>347</v>
      </c>
      <c r="E109" s="555"/>
      <c r="F109" s="555"/>
      <c r="G109" s="502" t="s">
        <v>226</v>
      </c>
      <c r="H109" s="555" t="s">
        <v>348</v>
      </c>
      <c r="I109" s="555"/>
      <c r="J109" s="556">
        <v>723348.62</v>
      </c>
      <c r="K109" s="556"/>
      <c r="L109" s="556"/>
      <c r="M109" s="556"/>
      <c r="N109" s="556">
        <v>723348.62</v>
      </c>
      <c r="O109" s="556"/>
      <c r="P109" s="557">
        <v>0</v>
      </c>
      <c r="Q109" s="557"/>
      <c r="R109" s="557"/>
      <c r="S109" s="556"/>
      <c r="T109" s="556"/>
      <c r="U109" s="557"/>
      <c r="V109" s="557"/>
      <c r="W109" s="478"/>
      <c r="X109" s="198">
        <v>723348.62</v>
      </c>
      <c r="Y109" s="198">
        <f t="shared" si="3"/>
        <v>0</v>
      </c>
    </row>
    <row r="110" spans="1:25" ht="12">
      <c r="A110" s="555" t="s">
        <v>32</v>
      </c>
      <c r="B110" s="555"/>
      <c r="C110" s="555"/>
      <c r="D110" s="555" t="s">
        <v>347</v>
      </c>
      <c r="E110" s="555"/>
      <c r="F110" s="555"/>
      <c r="G110" s="502" t="s">
        <v>226</v>
      </c>
      <c r="H110" s="555" t="s">
        <v>348</v>
      </c>
      <c r="I110" s="555"/>
      <c r="J110" s="556">
        <v>300651.54</v>
      </c>
      <c r="K110" s="556"/>
      <c r="L110" s="556"/>
      <c r="M110" s="556"/>
      <c r="N110" s="556">
        <v>300651.54</v>
      </c>
      <c r="O110" s="556"/>
      <c r="P110" s="557">
        <v>0</v>
      </c>
      <c r="Q110" s="557"/>
      <c r="R110" s="557"/>
      <c r="S110" s="556"/>
      <c r="T110" s="556"/>
      <c r="U110" s="557"/>
      <c r="V110" s="557"/>
      <c r="W110" s="478"/>
      <c r="X110" s="198">
        <v>300651.54</v>
      </c>
      <c r="Y110" s="198">
        <f t="shared" si="3"/>
        <v>0</v>
      </c>
    </row>
    <row r="111" spans="1:25" ht="12">
      <c r="A111" s="555" t="s">
        <v>33</v>
      </c>
      <c r="B111" s="555"/>
      <c r="C111" s="555"/>
      <c r="D111" s="555" t="s">
        <v>347</v>
      </c>
      <c r="E111" s="555"/>
      <c r="F111" s="555"/>
      <c r="G111" s="502" t="s">
        <v>226</v>
      </c>
      <c r="H111" s="555" t="s">
        <v>348</v>
      </c>
      <c r="I111" s="555"/>
      <c r="J111" s="556">
        <v>901637</v>
      </c>
      <c r="K111" s="556"/>
      <c r="L111" s="556"/>
      <c r="M111" s="556"/>
      <c r="N111" s="556">
        <v>901637</v>
      </c>
      <c r="O111" s="556"/>
      <c r="P111" s="557">
        <v>0</v>
      </c>
      <c r="Q111" s="557"/>
      <c r="R111" s="557"/>
      <c r="S111" s="556"/>
      <c r="T111" s="556"/>
      <c r="U111" s="557"/>
      <c r="V111" s="557"/>
      <c r="W111" s="478"/>
      <c r="X111" s="198">
        <v>901637</v>
      </c>
      <c r="Y111" s="198">
        <f t="shared" si="3"/>
        <v>0</v>
      </c>
    </row>
    <row r="112" spans="1:25" ht="12">
      <c r="A112" s="555" t="s">
        <v>41</v>
      </c>
      <c r="B112" s="555"/>
      <c r="C112" s="555"/>
      <c r="D112" s="555" t="s">
        <v>347</v>
      </c>
      <c r="E112" s="555"/>
      <c r="F112" s="555"/>
      <c r="G112" s="502" t="s">
        <v>226</v>
      </c>
      <c r="H112" s="555" t="s">
        <v>348</v>
      </c>
      <c r="I112" s="555"/>
      <c r="J112" s="556">
        <v>574175.6</v>
      </c>
      <c r="K112" s="556"/>
      <c r="L112" s="556"/>
      <c r="M112" s="556"/>
      <c r="N112" s="556">
        <v>574175.6</v>
      </c>
      <c r="O112" s="556"/>
      <c r="P112" s="557">
        <v>0</v>
      </c>
      <c r="Q112" s="557"/>
      <c r="R112" s="557"/>
      <c r="S112" s="556"/>
      <c r="T112" s="556"/>
      <c r="U112" s="557"/>
      <c r="V112" s="557"/>
      <c r="W112" s="478"/>
      <c r="X112" s="198">
        <v>574175.6</v>
      </c>
      <c r="Y112" s="198">
        <f t="shared" si="3"/>
        <v>0</v>
      </c>
    </row>
    <row r="113" spans="1:25" ht="12">
      <c r="A113" s="555" t="s">
        <v>34</v>
      </c>
      <c r="B113" s="555"/>
      <c r="C113" s="555"/>
      <c r="D113" s="555" t="s">
        <v>347</v>
      </c>
      <c r="E113" s="555"/>
      <c r="F113" s="555"/>
      <c r="G113" s="502" t="s">
        <v>226</v>
      </c>
      <c r="H113" s="555" t="s">
        <v>348</v>
      </c>
      <c r="I113" s="555"/>
      <c r="J113" s="556">
        <v>214332</v>
      </c>
      <c r="K113" s="556"/>
      <c r="L113" s="556"/>
      <c r="M113" s="556"/>
      <c r="N113" s="556">
        <v>214332</v>
      </c>
      <c r="O113" s="556"/>
      <c r="P113" s="557">
        <v>0</v>
      </c>
      <c r="Q113" s="557"/>
      <c r="R113" s="557"/>
      <c r="S113" s="556"/>
      <c r="T113" s="556"/>
      <c r="U113" s="557"/>
      <c r="V113" s="557"/>
      <c r="W113" s="478"/>
      <c r="X113" s="198">
        <v>214332</v>
      </c>
      <c r="Y113" s="198">
        <f t="shared" si="3"/>
        <v>0</v>
      </c>
    </row>
    <row r="114" spans="1:25" ht="12">
      <c r="A114" s="555" t="s">
        <v>35</v>
      </c>
      <c r="B114" s="555"/>
      <c r="C114" s="555"/>
      <c r="D114" s="555" t="s">
        <v>347</v>
      </c>
      <c r="E114" s="555"/>
      <c r="F114" s="555"/>
      <c r="G114" s="502" t="s">
        <v>226</v>
      </c>
      <c r="H114" s="555" t="s">
        <v>348</v>
      </c>
      <c r="I114" s="555"/>
      <c r="J114" s="556">
        <v>730834</v>
      </c>
      <c r="K114" s="556"/>
      <c r="L114" s="556"/>
      <c r="M114" s="556"/>
      <c r="N114" s="556">
        <v>730834</v>
      </c>
      <c r="O114" s="556"/>
      <c r="P114" s="557">
        <v>0</v>
      </c>
      <c r="Q114" s="557"/>
      <c r="R114" s="557"/>
      <c r="S114" s="556"/>
      <c r="T114" s="556"/>
      <c r="U114" s="557"/>
      <c r="V114" s="557"/>
      <c r="W114" s="478"/>
      <c r="X114" s="205">
        <v>730834</v>
      </c>
      <c r="Y114" s="205">
        <f t="shared" si="3"/>
        <v>0</v>
      </c>
    </row>
    <row r="115" spans="1:25" s="94" customFormat="1" ht="10.5">
      <c r="A115" s="245"/>
      <c r="B115" s="245"/>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408"/>
      <c r="Y115" s="408"/>
    </row>
    <row r="116" spans="1:25" ht="10.5" customHeight="1" thickBot="1">
      <c r="A116" s="240"/>
      <c r="B116" s="240"/>
      <c r="C116" s="240"/>
      <c r="D116" s="240"/>
      <c r="E116" s="240"/>
      <c r="F116" s="240"/>
      <c r="G116" s="240"/>
      <c r="H116" s="240"/>
      <c r="I116" s="240"/>
      <c r="J116" s="563">
        <v>6157259.43</v>
      </c>
      <c r="K116" s="563"/>
      <c r="L116" s="563"/>
      <c r="M116" s="563"/>
      <c r="N116" s="563">
        <v>6157259.43</v>
      </c>
      <c r="O116" s="563"/>
      <c r="P116" s="563">
        <v>0</v>
      </c>
      <c r="Q116" s="563"/>
      <c r="R116" s="563"/>
      <c r="S116" s="563"/>
      <c r="T116" s="563"/>
      <c r="U116" s="563"/>
      <c r="V116" s="563"/>
      <c r="W116" s="240"/>
      <c r="X116" s="198">
        <f>SUM(X102:X114)</f>
        <v>6157259.43</v>
      </c>
      <c r="Y116" s="198">
        <f>SUM(Y102:Y114)</f>
        <v>0</v>
      </c>
    </row>
    <row r="117" spans="1:25" s="88" customFormat="1" ht="11.25" thickTop="1">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198"/>
      <c r="Y117" s="198"/>
    </row>
    <row r="118" spans="1:25" ht="10.5" customHeight="1">
      <c r="A118" s="560" t="s">
        <v>357</v>
      </c>
      <c r="B118" s="560"/>
      <c r="C118" s="560"/>
      <c r="D118" s="560"/>
      <c r="E118" s="560"/>
      <c r="F118" s="560"/>
      <c r="G118" s="560"/>
      <c r="H118" s="560"/>
      <c r="I118" s="240"/>
      <c r="J118" s="564">
        <v>6749710.26</v>
      </c>
      <c r="K118" s="564"/>
      <c r="L118" s="564"/>
      <c r="M118" s="564"/>
      <c r="N118" s="564">
        <v>6749710.26</v>
      </c>
      <c r="O118" s="564"/>
      <c r="P118" s="563">
        <v>0</v>
      </c>
      <c r="Q118" s="563"/>
      <c r="R118" s="563"/>
      <c r="S118" s="564"/>
      <c r="T118" s="564"/>
      <c r="U118" s="564"/>
      <c r="V118" s="564"/>
      <c r="W118" s="240"/>
      <c r="X118" s="198"/>
      <c r="Y118" s="198"/>
    </row>
    <row r="119" spans="1:25" ht="10.5" customHeight="1">
      <c r="A119" s="558" t="s">
        <v>211</v>
      </c>
      <c r="B119" s="558"/>
      <c r="C119" s="559" t="s">
        <v>358</v>
      </c>
      <c r="D119" s="559"/>
      <c r="E119" s="559"/>
      <c r="F119" s="559"/>
      <c r="G119" s="559"/>
      <c r="H119" s="559"/>
      <c r="I119" s="559"/>
      <c r="J119" s="559"/>
      <c r="K119" s="559"/>
      <c r="L119" s="240"/>
      <c r="M119" s="240"/>
      <c r="N119" s="240"/>
      <c r="O119" s="240"/>
      <c r="P119" s="240"/>
      <c r="Q119" s="240"/>
      <c r="R119" s="240"/>
      <c r="S119" s="240"/>
      <c r="T119" s="240"/>
      <c r="U119" s="240"/>
      <c r="V119" s="240"/>
      <c r="W119" s="240"/>
      <c r="X119" s="198"/>
      <c r="Y119" s="198"/>
    </row>
    <row r="120" spans="1:25" ht="10.5" customHeight="1">
      <c r="A120" s="558"/>
      <c r="B120" s="558"/>
      <c r="C120" s="240"/>
      <c r="D120" s="240"/>
      <c r="E120" s="240"/>
      <c r="F120" s="240"/>
      <c r="G120" s="240"/>
      <c r="H120" s="240"/>
      <c r="I120" s="240"/>
      <c r="J120" s="240"/>
      <c r="K120" s="240"/>
      <c r="L120" s="240"/>
      <c r="M120" s="240"/>
      <c r="N120" s="240"/>
      <c r="O120" s="240"/>
      <c r="P120" s="240"/>
      <c r="Q120" s="240"/>
      <c r="R120" s="240"/>
      <c r="S120" s="240"/>
      <c r="T120" s="240"/>
      <c r="U120" s="240"/>
      <c r="V120" s="240"/>
      <c r="W120" s="240"/>
      <c r="X120" s="198"/>
      <c r="Y120" s="198"/>
    </row>
    <row r="121" spans="1:25" ht="12">
      <c r="A121" s="240"/>
      <c r="B121" s="558" t="s">
        <v>213</v>
      </c>
      <c r="C121" s="558"/>
      <c r="D121" s="559" t="s">
        <v>235</v>
      </c>
      <c r="E121" s="559"/>
      <c r="F121" s="559"/>
      <c r="G121" s="559"/>
      <c r="H121" s="559"/>
      <c r="I121" s="559"/>
      <c r="J121" s="559"/>
      <c r="K121" s="559"/>
      <c r="L121" s="559"/>
      <c r="M121" s="559"/>
      <c r="N121" s="240"/>
      <c r="O121" s="240"/>
      <c r="P121" s="240"/>
      <c r="Q121" s="240"/>
      <c r="R121" s="240"/>
      <c r="S121" s="240"/>
      <c r="T121" s="240"/>
      <c r="U121" s="240"/>
      <c r="V121" s="240"/>
      <c r="W121" s="240"/>
      <c r="X121" s="198"/>
      <c r="Y121" s="198"/>
    </row>
    <row r="122" spans="1:25" ht="12">
      <c r="A122" s="558" t="s">
        <v>215</v>
      </c>
      <c r="B122" s="558"/>
      <c r="C122" s="240"/>
      <c r="D122" s="240"/>
      <c r="E122" s="562" t="s">
        <v>216</v>
      </c>
      <c r="F122" s="562"/>
      <c r="G122" s="562"/>
      <c r="H122" s="562"/>
      <c r="I122" s="562"/>
      <c r="J122" s="560" t="s">
        <v>5</v>
      </c>
      <c r="K122" s="560"/>
      <c r="L122" s="560"/>
      <c r="M122" s="560"/>
      <c r="N122" s="560" t="s">
        <v>217</v>
      </c>
      <c r="O122" s="560"/>
      <c r="P122" s="561" t="s">
        <v>218</v>
      </c>
      <c r="Q122" s="561"/>
      <c r="R122" s="240"/>
      <c r="S122" s="560"/>
      <c r="T122" s="560"/>
      <c r="U122" s="240"/>
      <c r="V122" s="477"/>
      <c r="W122" s="477"/>
      <c r="X122" s="198"/>
      <c r="Y122" s="198"/>
    </row>
    <row r="123" spans="1:25" ht="12">
      <c r="A123" s="558"/>
      <c r="B123" s="558"/>
      <c r="C123" s="240"/>
      <c r="D123" s="240"/>
      <c r="E123" s="562"/>
      <c r="F123" s="562"/>
      <c r="G123" s="562"/>
      <c r="H123" s="562"/>
      <c r="I123" s="562"/>
      <c r="J123" s="561" t="s">
        <v>223</v>
      </c>
      <c r="K123" s="561"/>
      <c r="L123" s="561"/>
      <c r="M123" s="561"/>
      <c r="N123" s="561" t="s">
        <v>224</v>
      </c>
      <c r="O123" s="561"/>
      <c r="P123" s="561"/>
      <c r="Q123" s="561"/>
      <c r="R123" s="240"/>
      <c r="S123" s="561"/>
      <c r="T123" s="561"/>
      <c r="U123" s="240"/>
      <c r="V123" s="468"/>
      <c r="W123" s="468"/>
      <c r="X123" s="198"/>
      <c r="Y123" s="198"/>
    </row>
    <row r="124" spans="1:25" ht="12">
      <c r="A124" s="555" t="s">
        <v>25</v>
      </c>
      <c r="B124" s="555"/>
      <c r="C124" s="555"/>
      <c r="D124" s="555" t="s">
        <v>347</v>
      </c>
      <c r="E124" s="555"/>
      <c r="F124" s="555"/>
      <c r="G124" s="502" t="s">
        <v>226</v>
      </c>
      <c r="H124" s="555" t="s">
        <v>348</v>
      </c>
      <c r="I124" s="555"/>
      <c r="J124" s="556">
        <v>7628</v>
      </c>
      <c r="K124" s="556"/>
      <c r="L124" s="556"/>
      <c r="M124" s="556"/>
      <c r="N124" s="556">
        <v>7628</v>
      </c>
      <c r="O124" s="556"/>
      <c r="P124" s="557">
        <v>0</v>
      </c>
      <c r="Q124" s="557"/>
      <c r="R124" s="557"/>
      <c r="S124" s="556"/>
      <c r="T124" s="556"/>
      <c r="U124" s="557"/>
      <c r="V124" s="557"/>
      <c r="W124" s="478"/>
      <c r="X124" s="198">
        <v>7628</v>
      </c>
      <c r="Y124" s="198">
        <f aca="true" t="shared" si="4" ref="Y124:Y136">N124-X124</f>
        <v>0</v>
      </c>
    </row>
    <row r="125" spans="1:25" ht="12">
      <c r="A125" s="555" t="s">
        <v>26</v>
      </c>
      <c r="B125" s="555"/>
      <c r="C125" s="555"/>
      <c r="D125" s="555" t="s">
        <v>347</v>
      </c>
      <c r="E125" s="555"/>
      <c r="F125" s="555"/>
      <c r="G125" s="502" t="s">
        <v>226</v>
      </c>
      <c r="H125" s="555" t="s">
        <v>348</v>
      </c>
      <c r="I125" s="555"/>
      <c r="J125" s="556">
        <v>3630</v>
      </c>
      <c r="K125" s="556"/>
      <c r="L125" s="556"/>
      <c r="M125" s="556"/>
      <c r="N125" s="556">
        <v>3630</v>
      </c>
      <c r="O125" s="556"/>
      <c r="P125" s="557">
        <v>0</v>
      </c>
      <c r="Q125" s="557"/>
      <c r="R125" s="557"/>
      <c r="S125" s="556"/>
      <c r="T125" s="556"/>
      <c r="U125" s="557"/>
      <c r="V125" s="557"/>
      <c r="W125" s="478"/>
      <c r="X125" s="198">
        <v>3630</v>
      </c>
      <c r="Y125" s="198">
        <f t="shared" si="4"/>
        <v>0</v>
      </c>
    </row>
    <row r="126" spans="1:25" ht="12">
      <c r="A126" s="555" t="s">
        <v>27</v>
      </c>
      <c r="B126" s="555"/>
      <c r="C126" s="555"/>
      <c r="D126" s="555" t="s">
        <v>347</v>
      </c>
      <c r="E126" s="555"/>
      <c r="F126" s="555"/>
      <c r="G126" s="502" t="s">
        <v>226</v>
      </c>
      <c r="H126" s="555" t="s">
        <v>348</v>
      </c>
      <c r="I126" s="555"/>
      <c r="J126" s="556">
        <v>5761.88</v>
      </c>
      <c r="K126" s="556"/>
      <c r="L126" s="556"/>
      <c r="M126" s="556"/>
      <c r="N126" s="556">
        <v>5761.88</v>
      </c>
      <c r="O126" s="556"/>
      <c r="P126" s="557">
        <v>0</v>
      </c>
      <c r="Q126" s="557"/>
      <c r="R126" s="557"/>
      <c r="S126" s="556"/>
      <c r="T126" s="556"/>
      <c r="U126" s="557"/>
      <c r="V126" s="557"/>
      <c r="W126" s="478"/>
      <c r="X126" s="198">
        <v>5761.88</v>
      </c>
      <c r="Y126" s="198">
        <f t="shared" si="4"/>
        <v>0</v>
      </c>
    </row>
    <row r="127" spans="1:25" ht="12">
      <c r="A127" s="555" t="s">
        <v>349</v>
      </c>
      <c r="B127" s="555"/>
      <c r="C127" s="555"/>
      <c r="D127" s="555" t="s">
        <v>347</v>
      </c>
      <c r="E127" s="555"/>
      <c r="F127" s="555"/>
      <c r="G127" s="502" t="s">
        <v>226</v>
      </c>
      <c r="H127" s="555" t="s">
        <v>348</v>
      </c>
      <c r="I127" s="555"/>
      <c r="J127" s="556">
        <v>214</v>
      </c>
      <c r="K127" s="556"/>
      <c r="L127" s="556"/>
      <c r="M127" s="556"/>
      <c r="N127" s="556">
        <v>214</v>
      </c>
      <c r="O127" s="556"/>
      <c r="P127" s="557">
        <v>0</v>
      </c>
      <c r="Q127" s="557"/>
      <c r="R127" s="557"/>
      <c r="S127" s="556"/>
      <c r="T127" s="556"/>
      <c r="U127" s="557"/>
      <c r="V127" s="557"/>
      <c r="W127" s="478"/>
      <c r="X127" s="198">
        <v>214</v>
      </c>
      <c r="Y127" s="198">
        <f t="shared" si="4"/>
        <v>0</v>
      </c>
    </row>
    <row r="128" spans="1:25" ht="12">
      <c r="A128" s="555" t="s">
        <v>29</v>
      </c>
      <c r="B128" s="555"/>
      <c r="C128" s="555"/>
      <c r="D128" s="555" t="s">
        <v>347</v>
      </c>
      <c r="E128" s="555"/>
      <c r="F128" s="555"/>
      <c r="G128" s="502" t="s">
        <v>226</v>
      </c>
      <c r="H128" s="555" t="s">
        <v>348</v>
      </c>
      <c r="I128" s="555"/>
      <c r="J128" s="556">
        <v>3924</v>
      </c>
      <c r="K128" s="556"/>
      <c r="L128" s="556"/>
      <c r="M128" s="556"/>
      <c r="N128" s="556">
        <v>3924</v>
      </c>
      <c r="O128" s="556"/>
      <c r="P128" s="557">
        <v>0</v>
      </c>
      <c r="Q128" s="557"/>
      <c r="R128" s="557"/>
      <c r="S128" s="556"/>
      <c r="T128" s="556"/>
      <c r="U128" s="557"/>
      <c r="V128" s="557"/>
      <c r="W128" s="478"/>
      <c r="X128" s="198">
        <v>3924</v>
      </c>
      <c r="Y128" s="198">
        <f t="shared" si="4"/>
        <v>0</v>
      </c>
    </row>
    <row r="129" spans="1:25" ht="12">
      <c r="A129" s="555" t="s">
        <v>350</v>
      </c>
      <c r="B129" s="555"/>
      <c r="C129" s="555"/>
      <c r="D129" s="555" t="s">
        <v>347</v>
      </c>
      <c r="E129" s="555"/>
      <c r="F129" s="555"/>
      <c r="G129" s="502" t="s">
        <v>226</v>
      </c>
      <c r="H129" s="555" t="s">
        <v>348</v>
      </c>
      <c r="I129" s="555"/>
      <c r="J129" s="556">
        <v>376</v>
      </c>
      <c r="K129" s="556"/>
      <c r="L129" s="556"/>
      <c r="M129" s="556"/>
      <c r="N129" s="556">
        <v>376</v>
      </c>
      <c r="O129" s="556"/>
      <c r="P129" s="557">
        <v>0</v>
      </c>
      <c r="Q129" s="557"/>
      <c r="R129" s="557"/>
      <c r="S129" s="556"/>
      <c r="T129" s="556"/>
      <c r="U129" s="557"/>
      <c r="V129" s="557"/>
      <c r="W129" s="478"/>
      <c r="X129" s="198">
        <v>376</v>
      </c>
      <c r="Y129" s="198">
        <f t="shared" si="4"/>
        <v>0</v>
      </c>
    </row>
    <row r="130" spans="1:25" ht="12">
      <c r="A130" s="555" t="s">
        <v>30</v>
      </c>
      <c r="B130" s="555"/>
      <c r="C130" s="555"/>
      <c r="D130" s="555" t="s">
        <v>347</v>
      </c>
      <c r="E130" s="555"/>
      <c r="F130" s="555"/>
      <c r="G130" s="502" t="s">
        <v>226</v>
      </c>
      <c r="H130" s="555" t="s">
        <v>348</v>
      </c>
      <c r="I130" s="555"/>
      <c r="J130" s="556">
        <v>340.12</v>
      </c>
      <c r="K130" s="556"/>
      <c r="L130" s="556"/>
      <c r="M130" s="556"/>
      <c r="N130" s="556">
        <v>340.12</v>
      </c>
      <c r="O130" s="556"/>
      <c r="P130" s="557">
        <v>0</v>
      </c>
      <c r="Q130" s="557"/>
      <c r="R130" s="557"/>
      <c r="S130" s="556"/>
      <c r="T130" s="556"/>
      <c r="U130" s="557"/>
      <c r="V130" s="557"/>
      <c r="W130" s="478"/>
      <c r="X130" s="198">
        <v>340.12</v>
      </c>
      <c r="Y130" s="198">
        <f t="shared" si="4"/>
        <v>0</v>
      </c>
    </row>
    <row r="131" spans="1:25" ht="12">
      <c r="A131" s="555" t="s">
        <v>31</v>
      </c>
      <c r="B131" s="555"/>
      <c r="C131" s="555"/>
      <c r="D131" s="555" t="s">
        <v>347</v>
      </c>
      <c r="E131" s="555"/>
      <c r="F131" s="555"/>
      <c r="G131" s="502" t="s">
        <v>226</v>
      </c>
      <c r="H131" s="555" t="s">
        <v>348</v>
      </c>
      <c r="I131" s="555"/>
      <c r="J131" s="556">
        <v>11352</v>
      </c>
      <c r="K131" s="556"/>
      <c r="L131" s="556"/>
      <c r="M131" s="556"/>
      <c r="N131" s="556">
        <v>11352</v>
      </c>
      <c r="O131" s="556"/>
      <c r="P131" s="557">
        <v>0</v>
      </c>
      <c r="Q131" s="557"/>
      <c r="R131" s="557"/>
      <c r="S131" s="556"/>
      <c r="T131" s="556"/>
      <c r="U131" s="557"/>
      <c r="V131" s="557"/>
      <c r="W131" s="478"/>
      <c r="X131" s="198">
        <f>5676+900+327+4449</f>
        <v>11352</v>
      </c>
      <c r="Y131" s="198">
        <f t="shared" si="4"/>
        <v>0</v>
      </c>
    </row>
    <row r="132" spans="1:25" ht="12">
      <c r="A132" s="555" t="s">
        <v>32</v>
      </c>
      <c r="B132" s="555"/>
      <c r="C132" s="555"/>
      <c r="D132" s="555" t="s">
        <v>347</v>
      </c>
      <c r="E132" s="555"/>
      <c r="F132" s="555"/>
      <c r="G132" s="502" t="s">
        <v>226</v>
      </c>
      <c r="H132" s="555" t="s">
        <v>348</v>
      </c>
      <c r="I132" s="555"/>
      <c r="J132" s="556">
        <v>3949</v>
      </c>
      <c r="K132" s="556"/>
      <c r="L132" s="556"/>
      <c r="M132" s="556"/>
      <c r="N132" s="556">
        <v>3949</v>
      </c>
      <c r="O132" s="556"/>
      <c r="P132" s="557">
        <v>0</v>
      </c>
      <c r="Q132" s="557"/>
      <c r="R132" s="557"/>
      <c r="S132" s="556"/>
      <c r="T132" s="556"/>
      <c r="U132" s="557"/>
      <c r="V132" s="557"/>
      <c r="W132" s="478"/>
      <c r="X132" s="198">
        <v>3949</v>
      </c>
      <c r="Y132" s="198">
        <f t="shared" si="4"/>
        <v>0</v>
      </c>
    </row>
    <row r="133" spans="1:25" ht="12">
      <c r="A133" s="555" t="s">
        <v>33</v>
      </c>
      <c r="B133" s="555"/>
      <c r="C133" s="555"/>
      <c r="D133" s="555" t="s">
        <v>347</v>
      </c>
      <c r="E133" s="555"/>
      <c r="F133" s="555"/>
      <c r="G133" s="502" t="s">
        <v>226</v>
      </c>
      <c r="H133" s="555" t="s">
        <v>348</v>
      </c>
      <c r="I133" s="555"/>
      <c r="J133" s="556">
        <v>2572</v>
      </c>
      <c r="K133" s="556"/>
      <c r="L133" s="556"/>
      <c r="M133" s="556"/>
      <c r="N133" s="556">
        <v>2572</v>
      </c>
      <c r="O133" s="556"/>
      <c r="P133" s="557">
        <v>0</v>
      </c>
      <c r="Q133" s="557"/>
      <c r="R133" s="557"/>
      <c r="S133" s="556"/>
      <c r="T133" s="556"/>
      <c r="U133" s="557"/>
      <c r="V133" s="557"/>
      <c r="W133" s="478"/>
      <c r="X133" s="198">
        <v>2572</v>
      </c>
      <c r="Y133" s="198">
        <f t="shared" si="4"/>
        <v>0</v>
      </c>
    </row>
    <row r="134" spans="1:25" s="94" customFormat="1" ht="12">
      <c r="A134" s="555" t="s">
        <v>41</v>
      </c>
      <c r="B134" s="555"/>
      <c r="C134" s="555"/>
      <c r="D134" s="555" t="s">
        <v>347</v>
      </c>
      <c r="E134" s="555"/>
      <c r="F134" s="555"/>
      <c r="G134" s="502" t="s">
        <v>226</v>
      </c>
      <c r="H134" s="555" t="s">
        <v>348</v>
      </c>
      <c r="I134" s="555"/>
      <c r="J134" s="556">
        <v>1790</v>
      </c>
      <c r="K134" s="556"/>
      <c r="L134" s="556"/>
      <c r="M134" s="556"/>
      <c r="N134" s="556">
        <v>1790</v>
      </c>
      <c r="O134" s="556"/>
      <c r="P134" s="557">
        <v>0</v>
      </c>
      <c r="Q134" s="557"/>
      <c r="R134" s="557"/>
      <c r="S134" s="556"/>
      <c r="T134" s="556"/>
      <c r="U134" s="557"/>
      <c r="V134" s="557"/>
      <c r="W134" s="478"/>
      <c r="X134" s="408">
        <v>1790</v>
      </c>
      <c r="Y134" s="198">
        <f t="shared" si="4"/>
        <v>0</v>
      </c>
    </row>
    <row r="135" spans="1:25" ht="11.25" customHeight="1">
      <c r="A135" s="555" t="s">
        <v>34</v>
      </c>
      <c r="B135" s="555"/>
      <c r="C135" s="555"/>
      <c r="D135" s="555" t="s">
        <v>347</v>
      </c>
      <c r="E135" s="555"/>
      <c r="F135" s="555"/>
      <c r="G135" s="502" t="s">
        <v>226</v>
      </c>
      <c r="H135" s="555" t="s">
        <v>348</v>
      </c>
      <c r="I135" s="555"/>
      <c r="J135" s="556">
        <v>5450</v>
      </c>
      <c r="K135" s="556"/>
      <c r="L135" s="556"/>
      <c r="M135" s="556"/>
      <c r="N135" s="556">
        <v>5450</v>
      </c>
      <c r="O135" s="556"/>
      <c r="P135" s="557">
        <v>0</v>
      </c>
      <c r="Q135" s="557"/>
      <c r="R135" s="557"/>
      <c r="S135" s="556"/>
      <c r="T135" s="556"/>
      <c r="U135" s="557"/>
      <c r="V135" s="557"/>
      <c r="W135" s="478"/>
      <c r="X135" s="198">
        <v>5450</v>
      </c>
      <c r="Y135" s="198">
        <f t="shared" si="4"/>
        <v>0</v>
      </c>
    </row>
    <row r="136" spans="1:25" s="88" customFormat="1" ht="12">
      <c r="A136" s="555" t="s">
        <v>35</v>
      </c>
      <c r="B136" s="555"/>
      <c r="C136" s="555"/>
      <c r="D136" s="555" t="s">
        <v>347</v>
      </c>
      <c r="E136" s="555"/>
      <c r="F136" s="555"/>
      <c r="G136" s="502" t="s">
        <v>226</v>
      </c>
      <c r="H136" s="555" t="s">
        <v>348</v>
      </c>
      <c r="I136" s="555"/>
      <c r="J136" s="556">
        <v>5128</v>
      </c>
      <c r="K136" s="556"/>
      <c r="L136" s="556"/>
      <c r="M136" s="556"/>
      <c r="N136" s="556">
        <v>5128</v>
      </c>
      <c r="O136" s="556"/>
      <c r="P136" s="557">
        <v>0</v>
      </c>
      <c r="Q136" s="557"/>
      <c r="R136" s="557"/>
      <c r="S136" s="556"/>
      <c r="T136" s="556"/>
      <c r="U136" s="557"/>
      <c r="V136" s="557"/>
      <c r="W136" s="478"/>
      <c r="X136" s="205">
        <v>5128</v>
      </c>
      <c r="Y136" s="205">
        <f t="shared" si="4"/>
        <v>0</v>
      </c>
    </row>
    <row r="137" spans="1:25" ht="10.5">
      <c r="A137" s="245"/>
      <c r="B137" s="245"/>
      <c r="C137" s="245"/>
      <c r="D137" s="245"/>
      <c r="E137" s="245"/>
      <c r="F137" s="245"/>
      <c r="G137" s="245"/>
      <c r="H137" s="245"/>
      <c r="I137" s="245"/>
      <c r="J137" s="245"/>
      <c r="K137" s="245"/>
      <c r="L137" s="245"/>
      <c r="M137" s="245"/>
      <c r="N137" s="245"/>
      <c r="O137" s="245"/>
      <c r="P137" s="245"/>
      <c r="Q137" s="245"/>
      <c r="R137" s="245"/>
      <c r="S137" s="245"/>
      <c r="T137" s="245"/>
      <c r="U137" s="245"/>
      <c r="V137" s="245"/>
      <c r="W137" s="245"/>
      <c r="X137" s="198"/>
      <c r="Y137" s="198"/>
    </row>
    <row r="138" spans="1:25" ht="12" thickBot="1">
      <c r="A138" s="240"/>
      <c r="B138" s="240"/>
      <c r="C138" s="240"/>
      <c r="D138" s="240"/>
      <c r="E138" s="240"/>
      <c r="F138" s="240"/>
      <c r="G138" s="240"/>
      <c r="H138" s="240"/>
      <c r="I138" s="240"/>
      <c r="J138" s="563">
        <v>52115</v>
      </c>
      <c r="K138" s="563"/>
      <c r="L138" s="563"/>
      <c r="M138" s="563"/>
      <c r="N138" s="563">
        <v>52115</v>
      </c>
      <c r="O138" s="563"/>
      <c r="P138" s="563">
        <v>0</v>
      </c>
      <c r="Q138" s="563"/>
      <c r="R138" s="563"/>
      <c r="S138" s="563"/>
      <c r="T138" s="563"/>
      <c r="U138" s="563"/>
      <c r="V138" s="563"/>
      <c r="W138" s="240"/>
      <c r="X138" s="198">
        <f>SUM(X124:X136)</f>
        <v>52115</v>
      </c>
      <c r="Y138" s="198">
        <f>SUM(Y124:Y136)</f>
        <v>0</v>
      </c>
    </row>
    <row r="139" spans="1:25" ht="11.25" thickTop="1">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198"/>
      <c r="Y139" s="198"/>
    </row>
    <row r="140" spans="1:25" ht="10.5" customHeight="1">
      <c r="A140" s="560" t="s">
        <v>359</v>
      </c>
      <c r="B140" s="560"/>
      <c r="C140" s="560"/>
      <c r="D140" s="560"/>
      <c r="E140" s="560"/>
      <c r="F140" s="560"/>
      <c r="G140" s="560"/>
      <c r="H140" s="560"/>
      <c r="I140" s="240"/>
      <c r="J140" s="564">
        <v>52115</v>
      </c>
      <c r="K140" s="564"/>
      <c r="L140" s="564"/>
      <c r="M140" s="564"/>
      <c r="N140" s="564">
        <v>52115</v>
      </c>
      <c r="O140" s="564"/>
      <c r="P140" s="563">
        <v>0</v>
      </c>
      <c r="Q140" s="563"/>
      <c r="R140" s="563"/>
      <c r="S140" s="564"/>
      <c r="T140" s="564"/>
      <c r="U140" s="564"/>
      <c r="V140" s="564"/>
      <c r="W140" s="240"/>
      <c r="X140" s="198"/>
      <c r="Y140" s="198"/>
    </row>
    <row r="141" spans="1:25" ht="10.5" customHeight="1">
      <c r="A141" s="558" t="s">
        <v>211</v>
      </c>
      <c r="B141" s="558"/>
      <c r="C141" s="559" t="s">
        <v>360</v>
      </c>
      <c r="D141" s="559"/>
      <c r="E141" s="559"/>
      <c r="F141" s="559"/>
      <c r="G141" s="559"/>
      <c r="H141" s="559"/>
      <c r="I141" s="559"/>
      <c r="J141" s="559"/>
      <c r="K141" s="559"/>
      <c r="L141" s="240"/>
      <c r="M141" s="240"/>
      <c r="N141" s="240"/>
      <c r="O141" s="240"/>
      <c r="P141" s="240"/>
      <c r="Q141" s="240"/>
      <c r="R141" s="240"/>
      <c r="S141" s="240"/>
      <c r="T141" s="240"/>
      <c r="U141" s="240"/>
      <c r="V141" s="240"/>
      <c r="W141" s="240"/>
      <c r="X141" s="198"/>
      <c r="Y141" s="198"/>
    </row>
    <row r="142" spans="1:25" ht="10.5" customHeight="1">
      <c r="A142" s="558"/>
      <c r="B142" s="558"/>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198"/>
      <c r="Y142" s="198"/>
    </row>
    <row r="143" spans="1:25" ht="12">
      <c r="A143" s="240"/>
      <c r="B143" s="558" t="s">
        <v>213</v>
      </c>
      <c r="C143" s="558"/>
      <c r="D143" s="559" t="s">
        <v>75</v>
      </c>
      <c r="E143" s="559"/>
      <c r="F143" s="559"/>
      <c r="G143" s="559"/>
      <c r="H143" s="559"/>
      <c r="I143" s="559"/>
      <c r="J143" s="559"/>
      <c r="K143" s="559"/>
      <c r="L143" s="559"/>
      <c r="M143" s="559"/>
      <c r="N143" s="240"/>
      <c r="O143" s="240"/>
      <c r="P143" s="240"/>
      <c r="Q143" s="240"/>
      <c r="R143" s="240"/>
      <c r="S143" s="240"/>
      <c r="T143" s="240"/>
      <c r="U143" s="240"/>
      <c r="V143" s="240"/>
      <c r="W143" s="240"/>
      <c r="X143" s="198"/>
      <c r="Y143" s="198"/>
    </row>
    <row r="144" spans="1:25" ht="12">
      <c r="A144" s="558" t="s">
        <v>215</v>
      </c>
      <c r="B144" s="558"/>
      <c r="C144" s="240"/>
      <c r="D144" s="240"/>
      <c r="E144" s="562" t="s">
        <v>216</v>
      </c>
      <c r="F144" s="562"/>
      <c r="G144" s="562"/>
      <c r="H144" s="562"/>
      <c r="I144" s="562"/>
      <c r="J144" s="560" t="s">
        <v>5</v>
      </c>
      <c r="K144" s="560"/>
      <c r="L144" s="560"/>
      <c r="M144" s="560"/>
      <c r="N144" s="560" t="s">
        <v>217</v>
      </c>
      <c r="O144" s="560"/>
      <c r="P144" s="561" t="s">
        <v>218</v>
      </c>
      <c r="Q144" s="561"/>
      <c r="R144" s="240"/>
      <c r="S144" s="560"/>
      <c r="T144" s="560"/>
      <c r="U144" s="240"/>
      <c r="V144" s="477"/>
      <c r="W144" s="477"/>
      <c r="X144" s="198"/>
      <c r="Y144" s="198"/>
    </row>
    <row r="145" spans="1:25" ht="12">
      <c r="A145" s="558"/>
      <c r="B145" s="558"/>
      <c r="C145" s="240"/>
      <c r="D145" s="240"/>
      <c r="E145" s="562"/>
      <c r="F145" s="562"/>
      <c r="G145" s="562"/>
      <c r="H145" s="562"/>
      <c r="I145" s="562"/>
      <c r="J145" s="561" t="s">
        <v>223</v>
      </c>
      <c r="K145" s="561"/>
      <c r="L145" s="561"/>
      <c r="M145" s="561"/>
      <c r="N145" s="561" t="s">
        <v>224</v>
      </c>
      <c r="O145" s="561"/>
      <c r="P145" s="561"/>
      <c r="Q145" s="561"/>
      <c r="R145" s="240"/>
      <c r="S145" s="561"/>
      <c r="T145" s="561"/>
      <c r="U145" s="240"/>
      <c r="V145" s="468"/>
      <c r="W145" s="468"/>
      <c r="X145" s="198"/>
      <c r="Y145" s="198"/>
    </row>
    <row r="146" spans="1:25" s="94" customFormat="1" ht="12">
      <c r="A146" s="555" t="s">
        <v>36</v>
      </c>
      <c r="B146" s="555"/>
      <c r="C146" s="555"/>
      <c r="D146" s="555" t="s">
        <v>347</v>
      </c>
      <c r="E146" s="555"/>
      <c r="F146" s="555"/>
      <c r="G146" s="502" t="s">
        <v>226</v>
      </c>
      <c r="H146" s="555" t="s">
        <v>348</v>
      </c>
      <c r="I146" s="555"/>
      <c r="J146" s="556">
        <v>213461</v>
      </c>
      <c r="K146" s="556"/>
      <c r="L146" s="556"/>
      <c r="M146" s="556"/>
      <c r="N146" s="556">
        <v>213461</v>
      </c>
      <c r="O146" s="556"/>
      <c r="P146" s="557">
        <v>0</v>
      </c>
      <c r="Q146" s="557"/>
      <c r="R146" s="557"/>
      <c r="S146" s="556"/>
      <c r="T146" s="556"/>
      <c r="U146" s="557"/>
      <c r="V146" s="557"/>
      <c r="W146" s="478"/>
      <c r="X146" s="408">
        <v>213461</v>
      </c>
      <c r="Y146" s="198">
        <f>N146-X146</f>
        <v>0</v>
      </c>
    </row>
    <row r="147" spans="1:25" ht="11.25" customHeight="1">
      <c r="A147" s="555" t="s">
        <v>37</v>
      </c>
      <c r="B147" s="555"/>
      <c r="C147" s="555"/>
      <c r="D147" s="555" t="s">
        <v>347</v>
      </c>
      <c r="E147" s="555"/>
      <c r="F147" s="555"/>
      <c r="G147" s="502" t="s">
        <v>226</v>
      </c>
      <c r="H147" s="555" t="s">
        <v>348</v>
      </c>
      <c r="I147" s="555"/>
      <c r="J147" s="556">
        <v>252279.74</v>
      </c>
      <c r="K147" s="556"/>
      <c r="L147" s="556"/>
      <c r="M147" s="556"/>
      <c r="N147" s="556">
        <v>252279.74</v>
      </c>
      <c r="O147" s="556"/>
      <c r="P147" s="557">
        <v>0</v>
      </c>
      <c r="Q147" s="557"/>
      <c r="R147" s="557"/>
      <c r="S147" s="556"/>
      <c r="T147" s="556"/>
      <c r="U147" s="557"/>
      <c r="V147" s="557"/>
      <c r="W147" s="478"/>
      <c r="X147" s="198">
        <v>252279.74</v>
      </c>
      <c r="Y147" s="198">
        <f>N147-X147</f>
        <v>0</v>
      </c>
    </row>
    <row r="148" spans="1:25" s="88" customFormat="1" ht="12">
      <c r="A148" s="555" t="s">
        <v>31</v>
      </c>
      <c r="B148" s="555"/>
      <c r="C148" s="555"/>
      <c r="D148" s="555" t="s">
        <v>347</v>
      </c>
      <c r="E148" s="555"/>
      <c r="F148" s="555"/>
      <c r="G148" s="502" t="s">
        <v>226</v>
      </c>
      <c r="H148" s="555" t="s">
        <v>348</v>
      </c>
      <c r="I148" s="555"/>
      <c r="J148" s="556">
        <v>221025.36</v>
      </c>
      <c r="K148" s="556"/>
      <c r="L148" s="556"/>
      <c r="M148" s="556"/>
      <c r="N148" s="556">
        <v>221025.36</v>
      </c>
      <c r="O148" s="556"/>
      <c r="P148" s="557">
        <v>0</v>
      </c>
      <c r="Q148" s="557"/>
      <c r="R148" s="557"/>
      <c r="S148" s="556"/>
      <c r="T148" s="556"/>
      <c r="U148" s="557"/>
      <c r="V148" s="557"/>
      <c r="W148" s="478"/>
      <c r="X148" s="198">
        <v>221025.36</v>
      </c>
      <c r="Y148" s="198">
        <f>N148-X148</f>
        <v>0</v>
      </c>
    </row>
    <row r="149" spans="1:25" ht="12">
      <c r="A149" s="555" t="s">
        <v>32</v>
      </c>
      <c r="B149" s="555"/>
      <c r="C149" s="555"/>
      <c r="D149" s="555" t="s">
        <v>347</v>
      </c>
      <c r="E149" s="555"/>
      <c r="F149" s="555"/>
      <c r="G149" s="502" t="s">
        <v>226</v>
      </c>
      <c r="H149" s="555" t="s">
        <v>348</v>
      </c>
      <c r="I149" s="555"/>
      <c r="J149" s="556">
        <v>156519.16</v>
      </c>
      <c r="K149" s="556"/>
      <c r="L149" s="556"/>
      <c r="M149" s="556"/>
      <c r="N149" s="556">
        <v>156519.16</v>
      </c>
      <c r="O149" s="556"/>
      <c r="P149" s="557">
        <v>0</v>
      </c>
      <c r="Q149" s="557"/>
      <c r="R149" s="557"/>
      <c r="S149" s="556"/>
      <c r="T149" s="556"/>
      <c r="U149" s="557"/>
      <c r="V149" s="557"/>
      <c r="W149" s="478"/>
      <c r="X149" s="198">
        <v>156519.16</v>
      </c>
      <c r="Y149" s="198">
        <f>N149-X149</f>
        <v>0</v>
      </c>
    </row>
    <row r="150" spans="1:25" ht="12">
      <c r="A150" s="555" t="s">
        <v>38</v>
      </c>
      <c r="B150" s="555"/>
      <c r="C150" s="555"/>
      <c r="D150" s="555" t="s">
        <v>347</v>
      </c>
      <c r="E150" s="555"/>
      <c r="F150" s="555"/>
      <c r="G150" s="502" t="s">
        <v>226</v>
      </c>
      <c r="H150" s="555" t="s">
        <v>348</v>
      </c>
      <c r="I150" s="555"/>
      <c r="J150" s="556">
        <v>42579.01</v>
      </c>
      <c r="K150" s="556"/>
      <c r="L150" s="556"/>
      <c r="M150" s="556"/>
      <c r="N150" s="556">
        <v>42579.01</v>
      </c>
      <c r="O150" s="556"/>
      <c r="P150" s="557">
        <v>0</v>
      </c>
      <c r="Q150" s="557"/>
      <c r="R150" s="557"/>
      <c r="S150" s="556"/>
      <c r="T150" s="556"/>
      <c r="U150" s="557"/>
      <c r="V150" s="557"/>
      <c r="W150" s="478"/>
      <c r="X150" s="205">
        <v>42579.01</v>
      </c>
      <c r="Y150" s="205">
        <f>N150-X150</f>
        <v>0</v>
      </c>
    </row>
    <row r="151" spans="1:25" ht="10.5">
      <c r="A151" s="245"/>
      <c r="B151" s="245"/>
      <c r="C151" s="245"/>
      <c r="D151" s="245"/>
      <c r="E151" s="245"/>
      <c r="F151" s="245"/>
      <c r="G151" s="245"/>
      <c r="H151" s="245"/>
      <c r="I151" s="245"/>
      <c r="J151" s="245"/>
      <c r="K151" s="245"/>
      <c r="L151" s="245"/>
      <c r="M151" s="245"/>
      <c r="N151" s="245"/>
      <c r="O151" s="245"/>
      <c r="P151" s="245"/>
      <c r="Q151" s="245"/>
      <c r="R151" s="245"/>
      <c r="S151" s="245"/>
      <c r="T151" s="245"/>
      <c r="U151" s="245"/>
      <c r="V151" s="245"/>
      <c r="W151" s="245"/>
      <c r="X151" s="198"/>
      <c r="Y151" s="198"/>
    </row>
    <row r="152" spans="1:25" ht="11.25">
      <c r="A152" s="240"/>
      <c r="B152" s="240"/>
      <c r="C152" s="240"/>
      <c r="D152" s="240"/>
      <c r="E152" s="240"/>
      <c r="F152" s="240"/>
      <c r="G152" s="240"/>
      <c r="H152" s="240"/>
      <c r="I152" s="240"/>
      <c r="J152" s="563">
        <v>885864.27</v>
      </c>
      <c r="K152" s="563"/>
      <c r="L152" s="563"/>
      <c r="M152" s="563"/>
      <c r="N152" s="563">
        <v>885864.27</v>
      </c>
      <c r="O152" s="563"/>
      <c r="P152" s="563">
        <v>0</v>
      </c>
      <c r="Q152" s="563"/>
      <c r="R152" s="563"/>
      <c r="S152" s="563"/>
      <c r="T152" s="563"/>
      <c r="U152" s="563"/>
      <c r="V152" s="563"/>
      <c r="W152" s="240"/>
      <c r="X152" s="198">
        <f>SUM(X146:X150)</f>
        <v>885864.27</v>
      </c>
      <c r="Y152" s="198">
        <f>SUM(Y146:Y150)</f>
        <v>0</v>
      </c>
    </row>
    <row r="153" spans="1:25" ht="12">
      <c r="A153" s="240"/>
      <c r="B153" s="558" t="s">
        <v>213</v>
      </c>
      <c r="C153" s="558"/>
      <c r="D153" s="559" t="s">
        <v>238</v>
      </c>
      <c r="E153" s="559"/>
      <c r="F153" s="559"/>
      <c r="G153" s="559"/>
      <c r="H153" s="559"/>
      <c r="I153" s="559"/>
      <c r="J153" s="559"/>
      <c r="K153" s="559"/>
      <c r="L153" s="559"/>
      <c r="M153" s="559"/>
      <c r="N153" s="240"/>
      <c r="O153" s="240"/>
      <c r="P153" s="240"/>
      <c r="Q153" s="240"/>
      <c r="R153" s="240"/>
      <c r="S153" s="240"/>
      <c r="T153" s="240"/>
      <c r="U153" s="240"/>
      <c r="V153" s="240"/>
      <c r="W153" s="240"/>
      <c r="X153" s="198"/>
      <c r="Y153" s="198"/>
    </row>
    <row r="154" spans="1:25" ht="12">
      <c r="A154" s="558" t="s">
        <v>215</v>
      </c>
      <c r="B154" s="558"/>
      <c r="C154" s="240"/>
      <c r="D154" s="240"/>
      <c r="E154" s="562" t="s">
        <v>216</v>
      </c>
      <c r="F154" s="562"/>
      <c r="G154" s="562"/>
      <c r="H154" s="562"/>
      <c r="I154" s="562"/>
      <c r="J154" s="560" t="s">
        <v>5</v>
      </c>
      <c r="K154" s="560"/>
      <c r="L154" s="560"/>
      <c r="M154" s="560"/>
      <c r="N154" s="560" t="s">
        <v>217</v>
      </c>
      <c r="O154" s="560"/>
      <c r="P154" s="561" t="s">
        <v>218</v>
      </c>
      <c r="Q154" s="561"/>
      <c r="R154" s="240"/>
      <c r="S154" s="560"/>
      <c r="T154" s="560"/>
      <c r="U154" s="240"/>
      <c r="V154" s="477"/>
      <c r="W154" s="477"/>
      <c r="X154" s="198"/>
      <c r="Y154" s="198"/>
    </row>
    <row r="155" spans="1:25" ht="12">
      <c r="A155" s="558"/>
      <c r="B155" s="558"/>
      <c r="C155" s="240"/>
      <c r="D155" s="240"/>
      <c r="E155" s="562"/>
      <c r="F155" s="562"/>
      <c r="G155" s="562"/>
      <c r="H155" s="562"/>
      <c r="I155" s="562"/>
      <c r="J155" s="561" t="s">
        <v>223</v>
      </c>
      <c r="K155" s="561"/>
      <c r="L155" s="561"/>
      <c r="M155" s="561"/>
      <c r="N155" s="561" t="s">
        <v>224</v>
      </c>
      <c r="O155" s="561"/>
      <c r="P155" s="561"/>
      <c r="Q155" s="561"/>
      <c r="R155" s="240"/>
      <c r="S155" s="561"/>
      <c r="T155" s="561"/>
      <c r="U155" s="240"/>
      <c r="V155" s="468"/>
      <c r="W155" s="468"/>
      <c r="X155" s="198"/>
      <c r="Y155" s="198"/>
    </row>
    <row r="156" spans="1:25" ht="12">
      <c r="A156" s="555" t="s">
        <v>36</v>
      </c>
      <c r="B156" s="555"/>
      <c r="C156" s="555"/>
      <c r="D156" s="555" t="s">
        <v>347</v>
      </c>
      <c r="E156" s="555"/>
      <c r="F156" s="555"/>
      <c r="G156" s="502" t="s">
        <v>226</v>
      </c>
      <c r="H156" s="555" t="s">
        <v>348</v>
      </c>
      <c r="I156" s="555"/>
      <c r="J156" s="556">
        <v>3247039</v>
      </c>
      <c r="K156" s="556"/>
      <c r="L156" s="556"/>
      <c r="M156" s="556"/>
      <c r="N156" s="556">
        <v>3247039</v>
      </c>
      <c r="O156" s="556"/>
      <c r="P156" s="557">
        <v>0</v>
      </c>
      <c r="Q156" s="557"/>
      <c r="R156" s="557"/>
      <c r="S156" s="556"/>
      <c r="T156" s="556"/>
      <c r="U156" s="557"/>
      <c r="V156" s="557"/>
      <c r="W156" s="478"/>
      <c r="X156" s="198">
        <v>3247039</v>
      </c>
      <c r="Y156" s="198">
        <f>N156-X156</f>
        <v>0</v>
      </c>
    </row>
    <row r="157" spans="1:25" s="94" customFormat="1" ht="12">
      <c r="A157" s="555" t="s">
        <v>37</v>
      </c>
      <c r="B157" s="555"/>
      <c r="C157" s="555"/>
      <c r="D157" s="555" t="s">
        <v>347</v>
      </c>
      <c r="E157" s="555"/>
      <c r="F157" s="555"/>
      <c r="G157" s="502" t="s">
        <v>226</v>
      </c>
      <c r="H157" s="555" t="s">
        <v>348</v>
      </c>
      <c r="I157" s="555"/>
      <c r="J157" s="556">
        <v>2289264.94</v>
      </c>
      <c r="K157" s="556"/>
      <c r="L157" s="556"/>
      <c r="M157" s="556"/>
      <c r="N157" s="556">
        <v>2289264.94</v>
      </c>
      <c r="O157" s="556"/>
      <c r="P157" s="557">
        <v>0</v>
      </c>
      <c r="Q157" s="557"/>
      <c r="R157" s="557"/>
      <c r="S157" s="556"/>
      <c r="T157" s="556"/>
      <c r="U157" s="557"/>
      <c r="V157" s="557"/>
      <c r="W157" s="478"/>
      <c r="X157" s="408">
        <v>2289264.94</v>
      </c>
      <c r="Y157" s="198">
        <f>N157-X157</f>
        <v>0</v>
      </c>
    </row>
    <row r="158" spans="1:25" ht="12" customHeight="1">
      <c r="A158" s="555" t="s">
        <v>31</v>
      </c>
      <c r="B158" s="555"/>
      <c r="C158" s="555"/>
      <c r="D158" s="555" t="s">
        <v>347</v>
      </c>
      <c r="E158" s="555"/>
      <c r="F158" s="555"/>
      <c r="G158" s="502" t="s">
        <v>226</v>
      </c>
      <c r="H158" s="555" t="s">
        <v>348</v>
      </c>
      <c r="I158" s="555"/>
      <c r="J158" s="556">
        <v>3728846.21</v>
      </c>
      <c r="K158" s="556"/>
      <c r="L158" s="556"/>
      <c r="M158" s="556"/>
      <c r="N158" s="556">
        <v>3728846.21</v>
      </c>
      <c r="O158" s="556"/>
      <c r="P158" s="557">
        <v>0</v>
      </c>
      <c r="Q158" s="557"/>
      <c r="R158" s="557"/>
      <c r="S158" s="556"/>
      <c r="T158" s="556"/>
      <c r="U158" s="557"/>
      <c r="V158" s="557"/>
      <c r="W158" s="478"/>
      <c r="X158" s="198">
        <v>3728846.21</v>
      </c>
      <c r="Y158" s="198">
        <f>N158-X158</f>
        <v>0</v>
      </c>
    </row>
    <row r="159" spans="1:25" s="88" customFormat="1" ht="12">
      <c r="A159" s="555" t="s">
        <v>32</v>
      </c>
      <c r="B159" s="555"/>
      <c r="C159" s="555"/>
      <c r="D159" s="555" t="s">
        <v>347</v>
      </c>
      <c r="E159" s="555"/>
      <c r="F159" s="555"/>
      <c r="G159" s="502" t="s">
        <v>226</v>
      </c>
      <c r="H159" s="555" t="s">
        <v>348</v>
      </c>
      <c r="I159" s="555"/>
      <c r="J159" s="556">
        <v>1577618.85</v>
      </c>
      <c r="K159" s="556"/>
      <c r="L159" s="556"/>
      <c r="M159" s="556"/>
      <c r="N159" s="556">
        <v>1577618.85</v>
      </c>
      <c r="O159" s="556"/>
      <c r="P159" s="557">
        <v>0</v>
      </c>
      <c r="Q159" s="557"/>
      <c r="R159" s="557"/>
      <c r="S159" s="556"/>
      <c r="T159" s="556"/>
      <c r="U159" s="557"/>
      <c r="V159" s="557"/>
      <c r="W159" s="478"/>
      <c r="X159" s="198">
        <v>1577618.85</v>
      </c>
      <c r="Y159" s="198">
        <f>N159-X159</f>
        <v>0</v>
      </c>
    </row>
    <row r="160" spans="1:25" ht="12">
      <c r="A160" s="555" t="s">
        <v>38</v>
      </c>
      <c r="B160" s="555"/>
      <c r="C160" s="555"/>
      <c r="D160" s="555" t="s">
        <v>347</v>
      </c>
      <c r="E160" s="555"/>
      <c r="F160" s="555"/>
      <c r="G160" s="502" t="s">
        <v>226</v>
      </c>
      <c r="H160" s="555" t="s">
        <v>348</v>
      </c>
      <c r="I160" s="555"/>
      <c r="J160" s="556">
        <v>334074.24</v>
      </c>
      <c r="K160" s="556"/>
      <c r="L160" s="556"/>
      <c r="M160" s="556"/>
      <c r="N160" s="556">
        <v>334074.24</v>
      </c>
      <c r="O160" s="556"/>
      <c r="P160" s="557">
        <v>0</v>
      </c>
      <c r="Q160" s="557"/>
      <c r="R160" s="557"/>
      <c r="S160" s="556"/>
      <c r="T160" s="556"/>
      <c r="U160" s="557"/>
      <c r="V160" s="557"/>
      <c r="W160" s="478"/>
      <c r="X160" s="205">
        <v>334074.24</v>
      </c>
      <c r="Y160" s="205">
        <f>N160-X160</f>
        <v>0</v>
      </c>
    </row>
    <row r="161" spans="1:25" ht="10.5">
      <c r="A161" s="245"/>
      <c r="B161" s="245"/>
      <c r="C161" s="245"/>
      <c r="D161" s="245"/>
      <c r="E161" s="245"/>
      <c r="F161" s="245"/>
      <c r="G161" s="245"/>
      <c r="H161" s="245"/>
      <c r="I161" s="245"/>
      <c r="J161" s="245"/>
      <c r="K161" s="245"/>
      <c r="L161" s="245"/>
      <c r="M161" s="245"/>
      <c r="N161" s="245"/>
      <c r="O161" s="245"/>
      <c r="P161" s="245"/>
      <c r="Q161" s="245"/>
      <c r="R161" s="245"/>
      <c r="S161" s="245"/>
      <c r="T161" s="245"/>
      <c r="U161" s="245"/>
      <c r="V161" s="245"/>
      <c r="W161" s="245"/>
      <c r="X161" s="198"/>
      <c r="Y161" s="198"/>
    </row>
    <row r="162" spans="1:25" ht="12" thickBot="1">
      <c r="A162" s="240"/>
      <c r="B162" s="240"/>
      <c r="C162" s="240"/>
      <c r="D162" s="240"/>
      <c r="E162" s="240"/>
      <c r="F162" s="240"/>
      <c r="G162" s="240"/>
      <c r="H162" s="240"/>
      <c r="I162" s="240"/>
      <c r="J162" s="563">
        <v>11176843.24</v>
      </c>
      <c r="K162" s="563"/>
      <c r="L162" s="563"/>
      <c r="M162" s="563"/>
      <c r="N162" s="563">
        <v>11176843.24</v>
      </c>
      <c r="O162" s="563"/>
      <c r="P162" s="563">
        <v>0</v>
      </c>
      <c r="Q162" s="563"/>
      <c r="R162" s="563"/>
      <c r="S162" s="563"/>
      <c r="T162" s="563"/>
      <c r="U162" s="563"/>
      <c r="V162" s="563"/>
      <c r="W162" s="240"/>
      <c r="X162" s="198">
        <f>SUM(X156:X160)</f>
        <v>11176843.239999998</v>
      </c>
      <c r="Y162" s="198">
        <f>SUM(Y156:Y160)</f>
        <v>0</v>
      </c>
    </row>
    <row r="163" spans="1:25" ht="11.25" thickTop="1">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198"/>
      <c r="Y163" s="198"/>
    </row>
    <row r="164" spans="1:25" ht="10.5" customHeight="1">
      <c r="A164" s="560" t="s">
        <v>361</v>
      </c>
      <c r="B164" s="560"/>
      <c r="C164" s="560"/>
      <c r="D164" s="560"/>
      <c r="E164" s="560"/>
      <c r="F164" s="560"/>
      <c r="G164" s="560"/>
      <c r="H164" s="560"/>
      <c r="I164" s="240"/>
      <c r="J164" s="564">
        <v>12062707.51</v>
      </c>
      <c r="K164" s="564"/>
      <c r="L164" s="564"/>
      <c r="M164" s="564"/>
      <c r="N164" s="564">
        <v>12062707.51</v>
      </c>
      <c r="O164" s="564"/>
      <c r="P164" s="563">
        <v>0</v>
      </c>
      <c r="Q164" s="563"/>
      <c r="R164" s="563"/>
      <c r="S164" s="564"/>
      <c r="T164" s="564"/>
      <c r="U164" s="564"/>
      <c r="V164" s="564"/>
      <c r="W164" s="240"/>
      <c r="X164" s="198"/>
      <c r="Y164" s="198"/>
    </row>
    <row r="165" spans="1:25" ht="10.5" customHeight="1">
      <c r="A165" s="558" t="s">
        <v>211</v>
      </c>
      <c r="B165" s="558"/>
      <c r="C165" s="559" t="s">
        <v>362</v>
      </c>
      <c r="D165" s="559"/>
      <c r="E165" s="559"/>
      <c r="F165" s="559"/>
      <c r="G165" s="559"/>
      <c r="H165" s="559"/>
      <c r="I165" s="559"/>
      <c r="J165" s="559"/>
      <c r="K165" s="559"/>
      <c r="L165" s="240"/>
      <c r="M165" s="240"/>
      <c r="N165" s="240"/>
      <c r="O165" s="240"/>
      <c r="P165" s="240"/>
      <c r="Q165" s="240"/>
      <c r="R165" s="240"/>
      <c r="S165" s="240"/>
      <c r="T165" s="240"/>
      <c r="U165" s="240"/>
      <c r="V165" s="240"/>
      <c r="W165" s="240"/>
      <c r="X165" s="198"/>
      <c r="Y165" s="198"/>
    </row>
    <row r="166" spans="1:25" ht="10.5" customHeight="1">
      <c r="A166" s="558"/>
      <c r="B166" s="558"/>
      <c r="C166" s="240"/>
      <c r="D166" s="240"/>
      <c r="E166" s="240"/>
      <c r="F166" s="240"/>
      <c r="G166" s="240"/>
      <c r="H166" s="240"/>
      <c r="I166" s="240"/>
      <c r="J166" s="240"/>
      <c r="K166" s="240"/>
      <c r="L166" s="240"/>
      <c r="M166" s="240"/>
      <c r="N166" s="240"/>
      <c r="O166" s="240"/>
      <c r="P166" s="240"/>
      <c r="Q166" s="240"/>
      <c r="R166" s="240"/>
      <c r="S166" s="240"/>
      <c r="T166" s="240"/>
      <c r="U166" s="240"/>
      <c r="V166" s="240"/>
      <c r="W166" s="240"/>
      <c r="X166" s="198"/>
      <c r="Y166" s="198"/>
    </row>
    <row r="167" spans="1:25" ht="12">
      <c r="A167" s="240"/>
      <c r="B167" s="558" t="s">
        <v>213</v>
      </c>
      <c r="C167" s="558"/>
      <c r="D167" s="559" t="s">
        <v>235</v>
      </c>
      <c r="E167" s="559"/>
      <c r="F167" s="559"/>
      <c r="G167" s="559"/>
      <c r="H167" s="559"/>
      <c r="I167" s="559"/>
      <c r="J167" s="559"/>
      <c r="K167" s="559"/>
      <c r="L167" s="559"/>
      <c r="M167" s="559"/>
      <c r="N167" s="240"/>
      <c r="O167" s="240"/>
      <c r="P167" s="240"/>
      <c r="Q167" s="240"/>
      <c r="R167" s="240"/>
      <c r="S167" s="240"/>
      <c r="T167" s="240"/>
      <c r="U167" s="240"/>
      <c r="V167" s="240"/>
      <c r="W167" s="240"/>
      <c r="X167" s="198"/>
      <c r="Y167" s="198"/>
    </row>
    <row r="168" spans="1:25" ht="12">
      <c r="A168" s="558" t="s">
        <v>215</v>
      </c>
      <c r="B168" s="558"/>
      <c r="C168" s="240"/>
      <c r="D168" s="240"/>
      <c r="E168" s="562" t="s">
        <v>216</v>
      </c>
      <c r="F168" s="562"/>
      <c r="G168" s="562"/>
      <c r="H168" s="562"/>
      <c r="I168" s="562"/>
      <c r="J168" s="560" t="s">
        <v>5</v>
      </c>
      <c r="K168" s="560"/>
      <c r="L168" s="560"/>
      <c r="M168" s="560"/>
      <c r="N168" s="560" t="s">
        <v>217</v>
      </c>
      <c r="O168" s="560"/>
      <c r="P168" s="561" t="s">
        <v>218</v>
      </c>
      <c r="Q168" s="561"/>
      <c r="R168" s="240"/>
      <c r="S168" s="560"/>
      <c r="T168" s="560"/>
      <c r="U168" s="240"/>
      <c r="V168" s="477"/>
      <c r="W168" s="477"/>
      <c r="X168" s="198"/>
      <c r="Y168" s="198"/>
    </row>
    <row r="169" spans="1:25" ht="10.5" customHeight="1">
      <c r="A169" s="558"/>
      <c r="B169" s="558"/>
      <c r="C169" s="240"/>
      <c r="D169" s="240"/>
      <c r="E169" s="562"/>
      <c r="F169" s="562"/>
      <c r="G169" s="562"/>
      <c r="H169" s="562"/>
      <c r="I169" s="562"/>
      <c r="J169" s="561" t="s">
        <v>223</v>
      </c>
      <c r="K169" s="561"/>
      <c r="L169" s="561"/>
      <c r="M169" s="561"/>
      <c r="N169" s="561" t="s">
        <v>224</v>
      </c>
      <c r="O169" s="561"/>
      <c r="P169" s="561"/>
      <c r="Q169" s="561"/>
      <c r="R169" s="240"/>
      <c r="S169" s="561"/>
      <c r="T169" s="561"/>
      <c r="U169" s="240"/>
      <c r="V169" s="468"/>
      <c r="W169" s="468"/>
      <c r="X169" s="198"/>
      <c r="Y169" s="198"/>
    </row>
    <row r="170" spans="1:25" s="88" customFormat="1" ht="12">
      <c r="A170" s="555" t="s">
        <v>36</v>
      </c>
      <c r="B170" s="555"/>
      <c r="C170" s="555"/>
      <c r="D170" s="555" t="s">
        <v>347</v>
      </c>
      <c r="E170" s="555"/>
      <c r="F170" s="555"/>
      <c r="G170" s="502" t="s">
        <v>226</v>
      </c>
      <c r="H170" s="555" t="s">
        <v>348</v>
      </c>
      <c r="I170" s="555"/>
      <c r="J170" s="556">
        <v>30941</v>
      </c>
      <c r="K170" s="556"/>
      <c r="L170" s="556"/>
      <c r="M170" s="556"/>
      <c r="N170" s="556">
        <v>30941</v>
      </c>
      <c r="O170" s="556"/>
      <c r="P170" s="557">
        <v>0</v>
      </c>
      <c r="Q170" s="557"/>
      <c r="R170" s="557"/>
      <c r="S170" s="556"/>
      <c r="T170" s="556"/>
      <c r="U170" s="557"/>
      <c r="V170" s="557"/>
      <c r="W170" s="478"/>
      <c r="X170" s="198">
        <v>30941</v>
      </c>
      <c r="Y170" s="198">
        <f>N170-X170</f>
        <v>0</v>
      </c>
    </row>
    <row r="171" spans="1:25" ht="12">
      <c r="A171" s="555" t="s">
        <v>37</v>
      </c>
      <c r="B171" s="555"/>
      <c r="C171" s="555"/>
      <c r="D171" s="555" t="s">
        <v>347</v>
      </c>
      <c r="E171" s="555"/>
      <c r="F171" s="555"/>
      <c r="G171" s="502" t="s">
        <v>226</v>
      </c>
      <c r="H171" s="555" t="s">
        <v>348</v>
      </c>
      <c r="I171" s="555"/>
      <c r="J171" s="556">
        <v>22437.72</v>
      </c>
      <c r="K171" s="556"/>
      <c r="L171" s="556"/>
      <c r="M171" s="556"/>
      <c r="N171" s="556">
        <v>22437.72</v>
      </c>
      <c r="O171" s="556"/>
      <c r="P171" s="557">
        <v>0</v>
      </c>
      <c r="Q171" s="557"/>
      <c r="R171" s="557"/>
      <c r="S171" s="556"/>
      <c r="T171" s="556"/>
      <c r="U171" s="557"/>
      <c r="V171" s="557"/>
      <c r="W171" s="478"/>
      <c r="X171" s="198">
        <v>22437.72</v>
      </c>
      <c r="Y171" s="198">
        <f>N171-X171</f>
        <v>0</v>
      </c>
    </row>
    <row r="172" spans="1:27" ht="12">
      <c r="A172" s="555" t="s">
        <v>31</v>
      </c>
      <c r="B172" s="555"/>
      <c r="C172" s="555"/>
      <c r="D172" s="555" t="s">
        <v>347</v>
      </c>
      <c r="E172" s="555"/>
      <c r="F172" s="555"/>
      <c r="G172" s="502" t="s">
        <v>226</v>
      </c>
      <c r="H172" s="555" t="s">
        <v>348</v>
      </c>
      <c r="I172" s="555"/>
      <c r="J172" s="556">
        <v>23720</v>
      </c>
      <c r="K172" s="556"/>
      <c r="L172" s="556"/>
      <c r="M172" s="556"/>
      <c r="N172" s="556">
        <v>23720</v>
      </c>
      <c r="O172" s="556"/>
      <c r="P172" s="557">
        <v>0</v>
      </c>
      <c r="Q172" s="557"/>
      <c r="R172" s="557"/>
      <c r="S172" s="556"/>
      <c r="T172" s="556"/>
      <c r="U172" s="557"/>
      <c r="V172" s="557"/>
      <c r="W172" s="478"/>
      <c r="X172" s="198">
        <f>11860+900+508.39+5525+4926.61</f>
        <v>23720</v>
      </c>
      <c r="Y172" s="198">
        <f>N172-X172</f>
        <v>0</v>
      </c>
      <c r="AA172" s="196">
        <f>X131+X172</f>
        <v>35072</v>
      </c>
    </row>
    <row r="173" spans="1:27" ht="12">
      <c r="A173" s="555" t="s">
        <v>32</v>
      </c>
      <c r="B173" s="555"/>
      <c r="C173" s="555"/>
      <c r="D173" s="555" t="s">
        <v>347</v>
      </c>
      <c r="E173" s="555"/>
      <c r="F173" s="555"/>
      <c r="G173" s="502" t="s">
        <v>226</v>
      </c>
      <c r="H173" s="555" t="s">
        <v>348</v>
      </c>
      <c r="I173" s="555"/>
      <c r="J173" s="556">
        <v>13234</v>
      </c>
      <c r="K173" s="556"/>
      <c r="L173" s="556"/>
      <c r="M173" s="556"/>
      <c r="N173" s="556">
        <v>13234</v>
      </c>
      <c r="O173" s="556"/>
      <c r="P173" s="557">
        <v>0</v>
      </c>
      <c r="Q173" s="557"/>
      <c r="R173" s="557"/>
      <c r="S173" s="556"/>
      <c r="T173" s="556"/>
      <c r="U173" s="557"/>
      <c r="V173" s="557"/>
      <c r="W173" s="478"/>
      <c r="X173" s="198">
        <v>13234</v>
      </c>
      <c r="Y173" s="198">
        <f>N173-X173</f>
        <v>0</v>
      </c>
      <c r="AA173" s="196">
        <f>X132+X173</f>
        <v>17183</v>
      </c>
    </row>
    <row r="174" spans="1:25" ht="12">
      <c r="A174" s="555" t="s">
        <v>38</v>
      </c>
      <c r="B174" s="555"/>
      <c r="C174" s="555"/>
      <c r="D174" s="555" t="s">
        <v>347</v>
      </c>
      <c r="E174" s="555"/>
      <c r="F174" s="555"/>
      <c r="G174" s="502" t="s">
        <v>226</v>
      </c>
      <c r="H174" s="555" t="s">
        <v>348</v>
      </c>
      <c r="I174" s="555"/>
      <c r="J174" s="556">
        <v>6517.55</v>
      </c>
      <c r="K174" s="556"/>
      <c r="L174" s="556"/>
      <c r="M174" s="556"/>
      <c r="N174" s="556">
        <v>6517.55</v>
      </c>
      <c r="O174" s="556"/>
      <c r="P174" s="557">
        <v>0</v>
      </c>
      <c r="Q174" s="557"/>
      <c r="R174" s="557"/>
      <c r="S174" s="556"/>
      <c r="T174" s="556"/>
      <c r="U174" s="557"/>
      <c r="V174" s="557"/>
      <c r="W174" s="478"/>
      <c r="X174" s="205">
        <v>6517.55</v>
      </c>
      <c r="Y174" s="205">
        <f>N174-X174</f>
        <v>0</v>
      </c>
    </row>
    <row r="175" spans="1:25" ht="10.5">
      <c r="A175" s="245"/>
      <c r="B175" s="245"/>
      <c r="C175" s="245"/>
      <c r="D175" s="245"/>
      <c r="E175" s="245"/>
      <c r="F175" s="245"/>
      <c r="G175" s="245"/>
      <c r="H175" s="245"/>
      <c r="I175" s="245"/>
      <c r="J175" s="245"/>
      <c r="K175" s="245"/>
      <c r="L175" s="245"/>
      <c r="M175" s="245"/>
      <c r="N175" s="245"/>
      <c r="O175" s="245"/>
      <c r="P175" s="245"/>
      <c r="Q175" s="245"/>
      <c r="R175" s="245"/>
      <c r="S175" s="245"/>
      <c r="T175" s="245"/>
      <c r="U175" s="245"/>
      <c r="V175" s="245"/>
      <c r="W175" s="245"/>
      <c r="X175" s="198"/>
      <c r="Y175" s="198"/>
    </row>
    <row r="176" spans="1:25" ht="12" thickBot="1">
      <c r="A176" s="240"/>
      <c r="B176" s="240"/>
      <c r="C176" s="240"/>
      <c r="D176" s="240"/>
      <c r="E176" s="240"/>
      <c r="F176" s="240"/>
      <c r="G176" s="240"/>
      <c r="H176" s="240"/>
      <c r="I176" s="240"/>
      <c r="J176" s="563">
        <v>96850.27</v>
      </c>
      <c r="K176" s="563"/>
      <c r="L176" s="563"/>
      <c r="M176" s="563"/>
      <c r="N176" s="563">
        <v>96850.27</v>
      </c>
      <c r="O176" s="563"/>
      <c r="P176" s="563">
        <v>0</v>
      </c>
      <c r="Q176" s="563"/>
      <c r="R176" s="563"/>
      <c r="S176" s="563"/>
      <c r="T176" s="563"/>
      <c r="U176" s="563"/>
      <c r="V176" s="563"/>
      <c r="W176" s="240"/>
      <c r="X176" s="198">
        <f>SUM(X170:X174)</f>
        <v>96850.27</v>
      </c>
      <c r="Y176" s="198">
        <f>SUM(Y170:Y174)</f>
        <v>0</v>
      </c>
    </row>
    <row r="177" spans="1:25" ht="11.25" thickTop="1">
      <c r="A177" s="246"/>
      <c r="B177" s="246"/>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198"/>
      <c r="Y177" s="198"/>
    </row>
    <row r="178" spans="1:25" ht="10.5" customHeight="1">
      <c r="A178" s="560" t="s">
        <v>363</v>
      </c>
      <c r="B178" s="560"/>
      <c r="C178" s="560"/>
      <c r="D178" s="560"/>
      <c r="E178" s="560"/>
      <c r="F178" s="560"/>
      <c r="G178" s="560"/>
      <c r="H178" s="560"/>
      <c r="I178" s="240"/>
      <c r="J178" s="564">
        <v>96850.27</v>
      </c>
      <c r="K178" s="564"/>
      <c r="L178" s="564"/>
      <c r="M178" s="564"/>
      <c r="N178" s="564">
        <v>96850.27</v>
      </c>
      <c r="O178" s="564"/>
      <c r="P178" s="563">
        <v>0</v>
      </c>
      <c r="Q178" s="563"/>
      <c r="R178" s="563"/>
      <c r="S178" s="564"/>
      <c r="T178" s="564"/>
      <c r="U178" s="564"/>
      <c r="V178" s="564"/>
      <c r="W178" s="240"/>
      <c r="X178" s="198"/>
      <c r="Y178" s="198"/>
    </row>
    <row r="179" spans="1:25" ht="10.5" customHeight="1">
      <c r="A179" s="558" t="s">
        <v>211</v>
      </c>
      <c r="B179" s="558"/>
      <c r="C179" s="559" t="s">
        <v>364</v>
      </c>
      <c r="D179" s="559"/>
      <c r="E179" s="559"/>
      <c r="F179" s="559"/>
      <c r="G179" s="559"/>
      <c r="H179" s="559"/>
      <c r="I179" s="559"/>
      <c r="J179" s="559"/>
      <c r="K179" s="559"/>
      <c r="L179" s="240"/>
      <c r="M179" s="240"/>
      <c r="N179" s="240"/>
      <c r="O179" s="240"/>
      <c r="P179" s="240"/>
      <c r="Q179" s="240"/>
      <c r="R179" s="240"/>
      <c r="S179" s="240"/>
      <c r="T179" s="240"/>
      <c r="U179" s="240"/>
      <c r="V179" s="240"/>
      <c r="W179" s="240"/>
      <c r="X179" s="198"/>
      <c r="Y179" s="198"/>
    </row>
    <row r="180" spans="1:25" ht="10.5" customHeight="1">
      <c r="A180" s="558"/>
      <c r="B180" s="558"/>
      <c r="C180" s="240"/>
      <c r="D180" s="240"/>
      <c r="E180" s="240"/>
      <c r="F180" s="240"/>
      <c r="G180" s="240"/>
      <c r="H180" s="240"/>
      <c r="I180" s="240"/>
      <c r="J180" s="240"/>
      <c r="K180" s="240"/>
      <c r="L180" s="240"/>
      <c r="M180" s="240"/>
      <c r="N180" s="240"/>
      <c r="O180" s="240"/>
      <c r="P180" s="240"/>
      <c r="Q180" s="240"/>
      <c r="R180" s="240"/>
      <c r="S180" s="240"/>
      <c r="T180" s="240"/>
      <c r="U180" s="240"/>
      <c r="V180" s="240"/>
      <c r="W180" s="240"/>
      <c r="X180" s="198"/>
      <c r="Y180" s="198"/>
    </row>
    <row r="181" spans="1:25" ht="12">
      <c r="A181" s="240"/>
      <c r="B181" s="558" t="s">
        <v>213</v>
      </c>
      <c r="C181" s="558"/>
      <c r="D181" s="559" t="s">
        <v>235</v>
      </c>
      <c r="E181" s="559"/>
      <c r="F181" s="559"/>
      <c r="G181" s="559"/>
      <c r="H181" s="559"/>
      <c r="I181" s="559"/>
      <c r="J181" s="559"/>
      <c r="K181" s="559"/>
      <c r="L181" s="559"/>
      <c r="M181" s="559"/>
      <c r="N181" s="240"/>
      <c r="O181" s="240"/>
      <c r="P181" s="240"/>
      <c r="Q181" s="240"/>
      <c r="R181" s="240"/>
      <c r="S181" s="240"/>
      <c r="T181" s="240"/>
      <c r="U181" s="240"/>
      <c r="V181" s="240"/>
      <c r="W181" s="240"/>
      <c r="X181" s="198"/>
      <c r="Y181" s="198"/>
    </row>
    <row r="182" spans="1:25" ht="12">
      <c r="A182" s="558" t="s">
        <v>215</v>
      </c>
      <c r="B182" s="558"/>
      <c r="C182" s="240"/>
      <c r="D182" s="240"/>
      <c r="E182" s="562" t="s">
        <v>216</v>
      </c>
      <c r="F182" s="562"/>
      <c r="G182" s="562"/>
      <c r="H182" s="562"/>
      <c r="I182" s="562"/>
      <c r="J182" s="560" t="s">
        <v>5</v>
      </c>
      <c r="K182" s="560"/>
      <c r="L182" s="560"/>
      <c r="M182" s="560"/>
      <c r="N182" s="560" t="s">
        <v>217</v>
      </c>
      <c r="O182" s="560"/>
      <c r="P182" s="561" t="s">
        <v>218</v>
      </c>
      <c r="Q182" s="561"/>
      <c r="R182" s="240"/>
      <c r="S182" s="560"/>
      <c r="T182" s="560"/>
      <c r="U182" s="240"/>
      <c r="V182" s="477"/>
      <c r="W182" s="477"/>
      <c r="X182" s="198"/>
      <c r="Y182" s="198"/>
    </row>
    <row r="183" spans="1:25" ht="12">
      <c r="A183" s="558"/>
      <c r="B183" s="558"/>
      <c r="C183" s="240"/>
      <c r="D183" s="240"/>
      <c r="E183" s="562"/>
      <c r="F183" s="562"/>
      <c r="G183" s="562"/>
      <c r="H183" s="562"/>
      <c r="I183" s="562"/>
      <c r="J183" s="561" t="s">
        <v>223</v>
      </c>
      <c r="K183" s="561"/>
      <c r="L183" s="561"/>
      <c r="M183" s="561"/>
      <c r="N183" s="561" t="s">
        <v>224</v>
      </c>
      <c r="O183" s="561"/>
      <c r="P183" s="561"/>
      <c r="Q183" s="561"/>
      <c r="R183" s="240"/>
      <c r="S183" s="561"/>
      <c r="T183" s="561"/>
      <c r="U183" s="240"/>
      <c r="V183" s="468"/>
      <c r="W183" s="468"/>
      <c r="X183" s="198"/>
      <c r="Y183" s="198"/>
    </row>
    <row r="184" spans="1:25" ht="12">
      <c r="A184" s="555" t="s">
        <v>39</v>
      </c>
      <c r="B184" s="555"/>
      <c r="C184" s="555"/>
      <c r="D184" s="555" t="s">
        <v>347</v>
      </c>
      <c r="E184" s="555"/>
      <c r="F184" s="555"/>
      <c r="G184" s="502" t="s">
        <v>226</v>
      </c>
      <c r="H184" s="555" t="s">
        <v>348</v>
      </c>
      <c r="I184" s="555"/>
      <c r="J184" s="556">
        <v>13651</v>
      </c>
      <c r="K184" s="556"/>
      <c r="L184" s="556"/>
      <c r="M184" s="556"/>
      <c r="N184" s="556">
        <v>13651</v>
      </c>
      <c r="O184" s="556"/>
      <c r="P184" s="557">
        <v>0</v>
      </c>
      <c r="Q184" s="557"/>
      <c r="R184" s="557"/>
      <c r="S184" s="556"/>
      <c r="T184" s="556"/>
      <c r="U184" s="557"/>
      <c r="V184" s="557"/>
      <c r="W184" s="478"/>
      <c r="X184" s="198">
        <v>13651</v>
      </c>
      <c r="Y184" s="198">
        <f>N184-X184</f>
        <v>0</v>
      </c>
    </row>
    <row r="185" spans="1:25" ht="10.5">
      <c r="A185" s="245"/>
      <c r="B185" s="245"/>
      <c r="C185" s="245"/>
      <c r="D185" s="245"/>
      <c r="E185" s="245"/>
      <c r="F185" s="245"/>
      <c r="G185" s="245"/>
      <c r="H185" s="245"/>
      <c r="I185" s="245"/>
      <c r="J185" s="245"/>
      <c r="K185" s="245"/>
      <c r="L185" s="245"/>
      <c r="M185" s="245"/>
      <c r="N185" s="245"/>
      <c r="O185" s="245"/>
      <c r="P185" s="245"/>
      <c r="Q185" s="245"/>
      <c r="R185" s="245"/>
      <c r="S185" s="245"/>
      <c r="T185" s="245"/>
      <c r="U185" s="245"/>
      <c r="V185" s="245"/>
      <c r="W185" s="245"/>
      <c r="X185" s="198"/>
      <c r="Y185" s="198"/>
    </row>
    <row r="186" spans="1:25" ht="12" thickBot="1">
      <c r="A186" s="240"/>
      <c r="B186" s="240"/>
      <c r="C186" s="240"/>
      <c r="D186" s="240"/>
      <c r="E186" s="240"/>
      <c r="F186" s="240"/>
      <c r="G186" s="240"/>
      <c r="H186" s="240"/>
      <c r="I186" s="240"/>
      <c r="J186" s="563">
        <v>13651</v>
      </c>
      <c r="K186" s="563"/>
      <c r="L186" s="563"/>
      <c r="M186" s="563"/>
      <c r="N186" s="563">
        <v>13651</v>
      </c>
      <c r="O186" s="563"/>
      <c r="P186" s="563">
        <v>0</v>
      </c>
      <c r="Q186" s="563"/>
      <c r="R186" s="563"/>
      <c r="S186" s="563"/>
      <c r="T186" s="563"/>
      <c r="U186" s="563"/>
      <c r="V186" s="563"/>
      <c r="W186" s="240"/>
      <c r="X186" s="198"/>
      <c r="Y186" s="198"/>
    </row>
    <row r="187" spans="1:27" ht="11.25" thickTop="1">
      <c r="A187" s="246"/>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198"/>
      <c r="Y187" s="198"/>
      <c r="AA187" s="196">
        <f>X138+X176+X184</f>
        <v>162616.27000000002</v>
      </c>
    </row>
    <row r="188" spans="1:25" ht="12">
      <c r="A188" s="560" t="s">
        <v>365</v>
      </c>
      <c r="B188" s="560"/>
      <c r="C188" s="560"/>
      <c r="D188" s="560"/>
      <c r="E188" s="560"/>
      <c r="F188" s="560"/>
      <c r="G188" s="560"/>
      <c r="H188" s="560"/>
      <c r="I188" s="240"/>
      <c r="J188" s="564">
        <v>13651</v>
      </c>
      <c r="K188" s="564"/>
      <c r="L188" s="564"/>
      <c r="M188" s="564"/>
      <c r="N188" s="564">
        <v>13651</v>
      </c>
      <c r="O188" s="564"/>
      <c r="P188" s="563">
        <v>0</v>
      </c>
      <c r="Q188" s="563"/>
      <c r="R188" s="563"/>
      <c r="S188" s="564"/>
      <c r="T188" s="564"/>
      <c r="U188" s="564"/>
      <c r="V188" s="564"/>
      <c r="W188" s="240"/>
      <c r="X188" s="198"/>
      <c r="Y188" s="198"/>
    </row>
    <row r="189" spans="24:25" ht="10.5">
      <c r="X189" s="198"/>
      <c r="Y189" s="198"/>
    </row>
    <row r="192" spans="1:16" ht="10.5">
      <c r="A192" s="464" t="s">
        <v>450</v>
      </c>
      <c r="P192" s="196">
        <v>0</v>
      </c>
    </row>
    <row r="194" ht="10.5">
      <c r="P194" s="286">
        <f>P44+P68+P78+P118+P138+P164+P176+P186+P192</f>
        <v>0</v>
      </c>
    </row>
    <row r="196" ht="10.5">
      <c r="P196" s="286">
        <f>P194-P192</f>
        <v>0</v>
      </c>
    </row>
  </sheetData>
  <sheetProtection/>
  <mergeCells count="1000">
    <mergeCell ref="P118:R118"/>
    <mergeCell ref="E122:I123"/>
    <mergeCell ref="P124:R124"/>
    <mergeCell ref="P125:R125"/>
    <mergeCell ref="P126:R126"/>
    <mergeCell ref="P127:R127"/>
    <mergeCell ref="P128:R128"/>
    <mergeCell ref="P129:R129"/>
    <mergeCell ref="P130:R130"/>
    <mergeCell ref="N122:O122"/>
    <mergeCell ref="P106:R106"/>
    <mergeCell ref="P107:R107"/>
    <mergeCell ref="P108:R108"/>
    <mergeCell ref="P109:R109"/>
    <mergeCell ref="P110:R110"/>
    <mergeCell ref="P111:R111"/>
    <mergeCell ref="P112:R112"/>
    <mergeCell ref="P113:R113"/>
    <mergeCell ref="P114:R114"/>
    <mergeCell ref="P94:R94"/>
    <mergeCell ref="P95:R95"/>
    <mergeCell ref="P96:R96"/>
    <mergeCell ref="P98:R98"/>
    <mergeCell ref="E100:I101"/>
    <mergeCell ref="P102:R102"/>
    <mergeCell ref="P103:R103"/>
    <mergeCell ref="P104:R104"/>
    <mergeCell ref="P105:R105"/>
    <mergeCell ref="J105:M105"/>
    <mergeCell ref="N105:O105"/>
    <mergeCell ref="P84:R84"/>
    <mergeCell ref="P85:R85"/>
    <mergeCell ref="P86:R86"/>
    <mergeCell ref="P87:R87"/>
    <mergeCell ref="P88:R88"/>
    <mergeCell ref="P89:R89"/>
    <mergeCell ref="P90:R90"/>
    <mergeCell ref="P91:R91"/>
    <mergeCell ref="P92:R92"/>
    <mergeCell ref="P42:R42"/>
    <mergeCell ref="P44:R44"/>
    <mergeCell ref="E48:I49"/>
    <mergeCell ref="P50:R50"/>
    <mergeCell ref="P51:R51"/>
    <mergeCell ref="P52:R52"/>
    <mergeCell ref="P53:R53"/>
    <mergeCell ref="P54:R54"/>
    <mergeCell ref="P56:R56"/>
    <mergeCell ref="J56:M56"/>
    <mergeCell ref="N56:O56"/>
    <mergeCell ref="D53:F53"/>
    <mergeCell ref="H53:I53"/>
    <mergeCell ref="J53:M53"/>
    <mergeCell ref="N53:O53"/>
    <mergeCell ref="P49:Q49"/>
    <mergeCell ref="P31:R31"/>
    <mergeCell ref="P32:R32"/>
    <mergeCell ref="P33:R33"/>
    <mergeCell ref="P34:R34"/>
    <mergeCell ref="P35:R35"/>
    <mergeCell ref="P36:R36"/>
    <mergeCell ref="P37:R37"/>
    <mergeCell ref="P38:R38"/>
    <mergeCell ref="P39:R39"/>
    <mergeCell ref="P14:R14"/>
    <mergeCell ref="P15:R15"/>
    <mergeCell ref="P16:R16"/>
    <mergeCell ref="P17:R17"/>
    <mergeCell ref="P18:R18"/>
    <mergeCell ref="P19:R19"/>
    <mergeCell ref="P20:R20"/>
    <mergeCell ref="P21:R21"/>
    <mergeCell ref="P22:R22"/>
    <mergeCell ref="A188:H188"/>
    <mergeCell ref="J188:M188"/>
    <mergeCell ref="N188:O188"/>
    <mergeCell ref="S188:T188"/>
    <mergeCell ref="U188:V188"/>
    <mergeCell ref="S184:T184"/>
    <mergeCell ref="U184:V184"/>
    <mergeCell ref="J186:M186"/>
    <mergeCell ref="N186:O186"/>
    <mergeCell ref="S186:T186"/>
    <mergeCell ref="U186:V186"/>
    <mergeCell ref="A184:C184"/>
    <mergeCell ref="D184:F184"/>
    <mergeCell ref="H184:I184"/>
    <mergeCell ref="J184:M184"/>
    <mergeCell ref="N184:O184"/>
    <mergeCell ref="P184:R184"/>
    <mergeCell ref="P186:R186"/>
    <mergeCell ref="P188:R188"/>
    <mergeCell ref="J183:M183"/>
    <mergeCell ref="N183:O183"/>
    <mergeCell ref="S183:T183"/>
    <mergeCell ref="A179:B180"/>
    <mergeCell ref="C179:K179"/>
    <mergeCell ref="B181:C181"/>
    <mergeCell ref="D181:M181"/>
    <mergeCell ref="A182:B182"/>
    <mergeCell ref="J182:M182"/>
    <mergeCell ref="P182:Q182"/>
    <mergeCell ref="P183:Q183"/>
    <mergeCell ref="N182:O182"/>
    <mergeCell ref="S182:T182"/>
    <mergeCell ref="A183:B183"/>
    <mergeCell ref="E182:I183"/>
    <mergeCell ref="A173:C173"/>
    <mergeCell ref="D173:F173"/>
    <mergeCell ref="H173:I173"/>
    <mergeCell ref="J173:M173"/>
    <mergeCell ref="N173:O173"/>
    <mergeCell ref="S173:T173"/>
    <mergeCell ref="U173:V173"/>
    <mergeCell ref="A172:C172"/>
    <mergeCell ref="D172:F172"/>
    <mergeCell ref="H172:I172"/>
    <mergeCell ref="J172:M172"/>
    <mergeCell ref="N172:O172"/>
    <mergeCell ref="S172:T172"/>
    <mergeCell ref="U172:V172"/>
    <mergeCell ref="P172:R172"/>
    <mergeCell ref="P173:R173"/>
    <mergeCell ref="U178:V178"/>
    <mergeCell ref="S174:T174"/>
    <mergeCell ref="U174:V174"/>
    <mergeCell ref="J176:M176"/>
    <mergeCell ref="N176:O176"/>
    <mergeCell ref="S176:T176"/>
    <mergeCell ref="U176:V176"/>
    <mergeCell ref="A174:C174"/>
    <mergeCell ref="D174:F174"/>
    <mergeCell ref="H174:I174"/>
    <mergeCell ref="J174:M174"/>
    <mergeCell ref="N174:O174"/>
    <mergeCell ref="A178:H178"/>
    <mergeCell ref="J178:M178"/>
    <mergeCell ref="N178:O178"/>
    <mergeCell ref="S178:T178"/>
    <mergeCell ref="P174:R174"/>
    <mergeCell ref="P176:R176"/>
    <mergeCell ref="P178:R178"/>
    <mergeCell ref="S170:T170"/>
    <mergeCell ref="U170:V170"/>
    <mergeCell ref="A171:C171"/>
    <mergeCell ref="D171:F171"/>
    <mergeCell ref="H171:I171"/>
    <mergeCell ref="J171:M171"/>
    <mergeCell ref="N171:O171"/>
    <mergeCell ref="S171:T171"/>
    <mergeCell ref="U171:V171"/>
    <mergeCell ref="A170:C170"/>
    <mergeCell ref="D170:F170"/>
    <mergeCell ref="H170:I170"/>
    <mergeCell ref="J170:M170"/>
    <mergeCell ref="N170:O170"/>
    <mergeCell ref="P170:R170"/>
    <mergeCell ref="P171:R171"/>
    <mergeCell ref="A169:B169"/>
    <mergeCell ref="J169:M169"/>
    <mergeCell ref="N169:O169"/>
    <mergeCell ref="S169:T169"/>
    <mergeCell ref="A165:B166"/>
    <mergeCell ref="C165:K165"/>
    <mergeCell ref="B167:C167"/>
    <mergeCell ref="D167:M167"/>
    <mergeCell ref="A168:B168"/>
    <mergeCell ref="J168:M168"/>
    <mergeCell ref="P168:Q168"/>
    <mergeCell ref="P169:Q169"/>
    <mergeCell ref="E168:I169"/>
    <mergeCell ref="U164:V164"/>
    <mergeCell ref="S160:T160"/>
    <mergeCell ref="U160:V160"/>
    <mergeCell ref="J162:M162"/>
    <mergeCell ref="N162:O162"/>
    <mergeCell ref="S162:T162"/>
    <mergeCell ref="U162:V162"/>
    <mergeCell ref="U159:V159"/>
    <mergeCell ref="N168:O168"/>
    <mergeCell ref="S168:T168"/>
    <mergeCell ref="P159:R159"/>
    <mergeCell ref="P160:R160"/>
    <mergeCell ref="P162:R162"/>
    <mergeCell ref="P164:R164"/>
    <mergeCell ref="A164:H164"/>
    <mergeCell ref="J164:M164"/>
    <mergeCell ref="N164:O164"/>
    <mergeCell ref="A155:B155"/>
    <mergeCell ref="J155:M155"/>
    <mergeCell ref="N155:O155"/>
    <mergeCell ref="A158:C158"/>
    <mergeCell ref="S158:T158"/>
    <mergeCell ref="S164:T164"/>
    <mergeCell ref="D158:F158"/>
    <mergeCell ref="H158:I158"/>
    <mergeCell ref="J158:M158"/>
    <mergeCell ref="N158:O158"/>
    <mergeCell ref="S155:T155"/>
    <mergeCell ref="P155:Q155"/>
    <mergeCell ref="S156:T156"/>
    <mergeCell ref="E154:I155"/>
    <mergeCell ref="P156:R156"/>
    <mergeCell ref="P157:R157"/>
    <mergeCell ref="P158:R158"/>
    <mergeCell ref="U158:V158"/>
    <mergeCell ref="A159:C159"/>
    <mergeCell ref="D159:F159"/>
    <mergeCell ref="H159:I159"/>
    <mergeCell ref="J159:M159"/>
    <mergeCell ref="N159:O159"/>
    <mergeCell ref="S159:T159"/>
    <mergeCell ref="A160:C160"/>
    <mergeCell ref="D160:F160"/>
    <mergeCell ref="H160:I160"/>
    <mergeCell ref="J160:M160"/>
    <mergeCell ref="N160:O160"/>
    <mergeCell ref="U156:V156"/>
    <mergeCell ref="A157:C157"/>
    <mergeCell ref="D157:F157"/>
    <mergeCell ref="H157:I157"/>
    <mergeCell ref="J157:M157"/>
    <mergeCell ref="N157:O157"/>
    <mergeCell ref="S157:T157"/>
    <mergeCell ref="U157:V157"/>
    <mergeCell ref="A156:C156"/>
    <mergeCell ref="D156:F156"/>
    <mergeCell ref="H156:I156"/>
    <mergeCell ref="J156:M156"/>
    <mergeCell ref="N156:O156"/>
    <mergeCell ref="S150:T150"/>
    <mergeCell ref="U150:V150"/>
    <mergeCell ref="B153:C153"/>
    <mergeCell ref="D153:M153"/>
    <mergeCell ref="A154:B154"/>
    <mergeCell ref="J154:M154"/>
    <mergeCell ref="N154:O154"/>
    <mergeCell ref="P154:Q154"/>
    <mergeCell ref="J152:M152"/>
    <mergeCell ref="N152:O152"/>
    <mergeCell ref="S152:T152"/>
    <mergeCell ref="U152:V152"/>
    <mergeCell ref="A150:C150"/>
    <mergeCell ref="D150:F150"/>
    <mergeCell ref="H150:I150"/>
    <mergeCell ref="J150:M150"/>
    <mergeCell ref="N150:O150"/>
    <mergeCell ref="S154:T154"/>
    <mergeCell ref="P150:R150"/>
    <mergeCell ref="P152:R152"/>
    <mergeCell ref="U146:V146"/>
    <mergeCell ref="A147:C147"/>
    <mergeCell ref="D147:F147"/>
    <mergeCell ref="H147:I147"/>
    <mergeCell ref="J147:M147"/>
    <mergeCell ref="N147:O147"/>
    <mergeCell ref="S147:T147"/>
    <mergeCell ref="U147:V147"/>
    <mergeCell ref="A146:C146"/>
    <mergeCell ref="D146:F146"/>
    <mergeCell ref="H146:I146"/>
    <mergeCell ref="J146:M146"/>
    <mergeCell ref="N146:O146"/>
    <mergeCell ref="S146:T146"/>
    <mergeCell ref="P146:R146"/>
    <mergeCell ref="P147:R147"/>
    <mergeCell ref="A149:C149"/>
    <mergeCell ref="D149:F149"/>
    <mergeCell ref="H149:I149"/>
    <mergeCell ref="J149:M149"/>
    <mergeCell ref="N149:O149"/>
    <mergeCell ref="S149:T149"/>
    <mergeCell ref="U149:V149"/>
    <mergeCell ref="A148:C148"/>
    <mergeCell ref="D148:F148"/>
    <mergeCell ref="H148:I148"/>
    <mergeCell ref="J148:M148"/>
    <mergeCell ref="N148:O148"/>
    <mergeCell ref="S148:T148"/>
    <mergeCell ref="U148:V148"/>
    <mergeCell ref="P148:R148"/>
    <mergeCell ref="P149:R149"/>
    <mergeCell ref="N144:O144"/>
    <mergeCell ref="S144:T144"/>
    <mergeCell ref="A145:B145"/>
    <mergeCell ref="J145:M145"/>
    <mergeCell ref="N145:O145"/>
    <mergeCell ref="S145:T145"/>
    <mergeCell ref="A141:B142"/>
    <mergeCell ref="C141:K141"/>
    <mergeCell ref="B143:C143"/>
    <mergeCell ref="D143:M143"/>
    <mergeCell ref="A144:B144"/>
    <mergeCell ref="J144:M144"/>
    <mergeCell ref="P144:Q144"/>
    <mergeCell ref="P145:Q145"/>
    <mergeCell ref="E144:I145"/>
    <mergeCell ref="A140:H140"/>
    <mergeCell ref="J140:M140"/>
    <mergeCell ref="N140:O140"/>
    <mergeCell ref="S140:T140"/>
    <mergeCell ref="U140:V140"/>
    <mergeCell ref="S136:T136"/>
    <mergeCell ref="U136:V136"/>
    <mergeCell ref="J138:M138"/>
    <mergeCell ref="N138:O138"/>
    <mergeCell ref="S138:T138"/>
    <mergeCell ref="U138:V138"/>
    <mergeCell ref="A136:C136"/>
    <mergeCell ref="D136:F136"/>
    <mergeCell ref="H136:I136"/>
    <mergeCell ref="J136:M136"/>
    <mergeCell ref="N136:O136"/>
    <mergeCell ref="P136:R136"/>
    <mergeCell ref="P138:R138"/>
    <mergeCell ref="P140:R140"/>
    <mergeCell ref="S134:T134"/>
    <mergeCell ref="U134:V134"/>
    <mergeCell ref="A135:C135"/>
    <mergeCell ref="D135:F135"/>
    <mergeCell ref="H135:I135"/>
    <mergeCell ref="J135:M135"/>
    <mergeCell ref="N135:O135"/>
    <mergeCell ref="S135:T135"/>
    <mergeCell ref="U135:V135"/>
    <mergeCell ref="A134:C134"/>
    <mergeCell ref="D134:F134"/>
    <mergeCell ref="H134:I134"/>
    <mergeCell ref="J134:M134"/>
    <mergeCell ref="N134:O134"/>
    <mergeCell ref="P134:R134"/>
    <mergeCell ref="P135:R135"/>
    <mergeCell ref="S133:T133"/>
    <mergeCell ref="U133:V133"/>
    <mergeCell ref="A132:C132"/>
    <mergeCell ref="D132:F132"/>
    <mergeCell ref="H132:I132"/>
    <mergeCell ref="J132:M132"/>
    <mergeCell ref="N132:O132"/>
    <mergeCell ref="S132:T132"/>
    <mergeCell ref="U132:V132"/>
    <mergeCell ref="A133:C133"/>
    <mergeCell ref="D133:F133"/>
    <mergeCell ref="H133:I133"/>
    <mergeCell ref="J133:M133"/>
    <mergeCell ref="N133:O133"/>
    <mergeCell ref="P132:R132"/>
    <mergeCell ref="P133:R133"/>
    <mergeCell ref="S130:T130"/>
    <mergeCell ref="U130:V130"/>
    <mergeCell ref="A131:C131"/>
    <mergeCell ref="D131:F131"/>
    <mergeCell ref="H131:I131"/>
    <mergeCell ref="J131:M131"/>
    <mergeCell ref="N131:O131"/>
    <mergeCell ref="S131:T131"/>
    <mergeCell ref="U131:V131"/>
    <mergeCell ref="A130:C130"/>
    <mergeCell ref="D130:F130"/>
    <mergeCell ref="H130:I130"/>
    <mergeCell ref="J130:M130"/>
    <mergeCell ref="N130:O130"/>
    <mergeCell ref="P131:R131"/>
    <mergeCell ref="A127:C127"/>
    <mergeCell ref="D127:F127"/>
    <mergeCell ref="H127:I127"/>
    <mergeCell ref="J127:M127"/>
    <mergeCell ref="N127:O127"/>
    <mergeCell ref="S127:T127"/>
    <mergeCell ref="U127:V127"/>
    <mergeCell ref="A126:C126"/>
    <mergeCell ref="D126:F126"/>
    <mergeCell ref="H126:I126"/>
    <mergeCell ref="J126:M126"/>
    <mergeCell ref="N126:O126"/>
    <mergeCell ref="S126:T126"/>
    <mergeCell ref="U126:V126"/>
    <mergeCell ref="S128:T128"/>
    <mergeCell ref="U128:V128"/>
    <mergeCell ref="A129:C129"/>
    <mergeCell ref="D129:F129"/>
    <mergeCell ref="H129:I129"/>
    <mergeCell ref="J129:M129"/>
    <mergeCell ref="N129:O129"/>
    <mergeCell ref="S129:T129"/>
    <mergeCell ref="U129:V129"/>
    <mergeCell ref="A128:C128"/>
    <mergeCell ref="D128:F128"/>
    <mergeCell ref="H128:I128"/>
    <mergeCell ref="J128:M128"/>
    <mergeCell ref="N128:O128"/>
    <mergeCell ref="U124:V124"/>
    <mergeCell ref="A125:C125"/>
    <mergeCell ref="D125:F125"/>
    <mergeCell ref="H125:I125"/>
    <mergeCell ref="J125:M125"/>
    <mergeCell ref="N125:O125"/>
    <mergeCell ref="S125:T125"/>
    <mergeCell ref="U125:V125"/>
    <mergeCell ref="A124:C124"/>
    <mergeCell ref="D124:F124"/>
    <mergeCell ref="H124:I124"/>
    <mergeCell ref="J124:M124"/>
    <mergeCell ref="N124:O124"/>
    <mergeCell ref="S124:T124"/>
    <mergeCell ref="S122:T122"/>
    <mergeCell ref="A123:B123"/>
    <mergeCell ref="J123:M123"/>
    <mergeCell ref="N123:O123"/>
    <mergeCell ref="S123:T123"/>
    <mergeCell ref="S112:T112"/>
    <mergeCell ref="U112:V112"/>
    <mergeCell ref="A119:B120"/>
    <mergeCell ref="C119:K119"/>
    <mergeCell ref="B121:C121"/>
    <mergeCell ref="D121:M121"/>
    <mergeCell ref="A122:B122"/>
    <mergeCell ref="J122:M122"/>
    <mergeCell ref="P122:Q122"/>
    <mergeCell ref="P123:Q123"/>
    <mergeCell ref="A118:H118"/>
    <mergeCell ref="J118:M118"/>
    <mergeCell ref="N118:O118"/>
    <mergeCell ref="S118:T118"/>
    <mergeCell ref="U118:V118"/>
    <mergeCell ref="S114:T114"/>
    <mergeCell ref="U114:V114"/>
    <mergeCell ref="J116:M116"/>
    <mergeCell ref="N116:O116"/>
    <mergeCell ref="S116:T116"/>
    <mergeCell ref="U116:V116"/>
    <mergeCell ref="A114:C114"/>
    <mergeCell ref="D114:F114"/>
    <mergeCell ref="H114:I114"/>
    <mergeCell ref="J114:M114"/>
    <mergeCell ref="N114:O114"/>
    <mergeCell ref="P116:R116"/>
    <mergeCell ref="A109:C109"/>
    <mergeCell ref="D109:F109"/>
    <mergeCell ref="H109:I109"/>
    <mergeCell ref="J109:M109"/>
    <mergeCell ref="N109:O109"/>
    <mergeCell ref="S109:T109"/>
    <mergeCell ref="U109:V109"/>
    <mergeCell ref="A108:C108"/>
    <mergeCell ref="D108:F108"/>
    <mergeCell ref="H108:I108"/>
    <mergeCell ref="J108:M108"/>
    <mergeCell ref="N108:O108"/>
    <mergeCell ref="S108:T108"/>
    <mergeCell ref="U108:V108"/>
    <mergeCell ref="S111:T111"/>
    <mergeCell ref="U111:V111"/>
    <mergeCell ref="A110:C110"/>
    <mergeCell ref="D110:F110"/>
    <mergeCell ref="H110:I110"/>
    <mergeCell ref="J110:M110"/>
    <mergeCell ref="N110:O110"/>
    <mergeCell ref="S110:T110"/>
    <mergeCell ref="U110:V110"/>
    <mergeCell ref="S105:T105"/>
    <mergeCell ref="U105:V105"/>
    <mergeCell ref="A104:C104"/>
    <mergeCell ref="D104:F104"/>
    <mergeCell ref="H104:I104"/>
    <mergeCell ref="J104:M104"/>
    <mergeCell ref="N104:O104"/>
    <mergeCell ref="S104:T104"/>
    <mergeCell ref="U104:V104"/>
    <mergeCell ref="A107:C107"/>
    <mergeCell ref="D107:F107"/>
    <mergeCell ref="H107:I107"/>
    <mergeCell ref="J107:M107"/>
    <mergeCell ref="N107:O107"/>
    <mergeCell ref="S107:T107"/>
    <mergeCell ref="U107:V107"/>
    <mergeCell ref="A113:C113"/>
    <mergeCell ref="D113:F113"/>
    <mergeCell ref="H113:I113"/>
    <mergeCell ref="J113:M113"/>
    <mergeCell ref="N113:O113"/>
    <mergeCell ref="S113:T113"/>
    <mergeCell ref="U113:V113"/>
    <mergeCell ref="A112:C112"/>
    <mergeCell ref="D112:F112"/>
    <mergeCell ref="H112:I112"/>
    <mergeCell ref="J112:M112"/>
    <mergeCell ref="N112:O112"/>
    <mergeCell ref="A111:C111"/>
    <mergeCell ref="D111:F111"/>
    <mergeCell ref="H111:I111"/>
    <mergeCell ref="J111:M111"/>
    <mergeCell ref="N111:O111"/>
    <mergeCell ref="D106:F106"/>
    <mergeCell ref="H106:I106"/>
    <mergeCell ref="J106:M106"/>
    <mergeCell ref="N106:O106"/>
    <mergeCell ref="S102:T102"/>
    <mergeCell ref="U102:V102"/>
    <mergeCell ref="A103:C103"/>
    <mergeCell ref="D103:F103"/>
    <mergeCell ref="H103:I103"/>
    <mergeCell ref="J103:M103"/>
    <mergeCell ref="N103:O103"/>
    <mergeCell ref="S103:T103"/>
    <mergeCell ref="U103:V103"/>
    <mergeCell ref="A102:C102"/>
    <mergeCell ref="D102:F102"/>
    <mergeCell ref="H102:I102"/>
    <mergeCell ref="J102:M102"/>
    <mergeCell ref="N102:O102"/>
    <mergeCell ref="A105:C105"/>
    <mergeCell ref="D105:F105"/>
    <mergeCell ref="S106:T106"/>
    <mergeCell ref="U106:V106"/>
    <mergeCell ref="A106:C106"/>
    <mergeCell ref="H105:I105"/>
    <mergeCell ref="S96:T96"/>
    <mergeCell ref="U96:V96"/>
    <mergeCell ref="J98:M98"/>
    <mergeCell ref="N98:O98"/>
    <mergeCell ref="S98:T98"/>
    <mergeCell ref="U98:V98"/>
    <mergeCell ref="A96:C96"/>
    <mergeCell ref="D96:F96"/>
    <mergeCell ref="H96:I96"/>
    <mergeCell ref="J96:M96"/>
    <mergeCell ref="N96:O96"/>
    <mergeCell ref="S100:T100"/>
    <mergeCell ref="A101:B101"/>
    <mergeCell ref="J101:M101"/>
    <mergeCell ref="N101:O101"/>
    <mergeCell ref="S101:T101"/>
    <mergeCell ref="B99:C99"/>
    <mergeCell ref="D99:M99"/>
    <mergeCell ref="A100:B100"/>
    <mergeCell ref="J100:M100"/>
    <mergeCell ref="N100:O100"/>
    <mergeCell ref="P100:Q100"/>
    <mergeCell ref="P101:Q101"/>
    <mergeCell ref="A91:C91"/>
    <mergeCell ref="D91:F91"/>
    <mergeCell ref="H91:I91"/>
    <mergeCell ref="J91:M91"/>
    <mergeCell ref="N91:O91"/>
    <mergeCell ref="S91:T91"/>
    <mergeCell ref="U91:V91"/>
    <mergeCell ref="A90:C90"/>
    <mergeCell ref="D90:F90"/>
    <mergeCell ref="H90:I90"/>
    <mergeCell ref="J90:M90"/>
    <mergeCell ref="N90:O90"/>
    <mergeCell ref="S90:T90"/>
    <mergeCell ref="U90:V90"/>
    <mergeCell ref="J93:M93"/>
    <mergeCell ref="N93:O93"/>
    <mergeCell ref="S93:T93"/>
    <mergeCell ref="U93:V93"/>
    <mergeCell ref="A92:C92"/>
    <mergeCell ref="D92:F92"/>
    <mergeCell ref="H92:I92"/>
    <mergeCell ref="J92:M92"/>
    <mergeCell ref="N92:O92"/>
    <mergeCell ref="S92:T92"/>
    <mergeCell ref="U92:V92"/>
    <mergeCell ref="P93:R93"/>
    <mergeCell ref="J87:M87"/>
    <mergeCell ref="N87:O87"/>
    <mergeCell ref="S87:T87"/>
    <mergeCell ref="U87:V87"/>
    <mergeCell ref="A86:C86"/>
    <mergeCell ref="D86:F86"/>
    <mergeCell ref="H86:I86"/>
    <mergeCell ref="J86:M86"/>
    <mergeCell ref="N86:O86"/>
    <mergeCell ref="S86:T86"/>
    <mergeCell ref="U86:V86"/>
    <mergeCell ref="A89:C89"/>
    <mergeCell ref="D89:F89"/>
    <mergeCell ref="H89:I89"/>
    <mergeCell ref="J89:M89"/>
    <mergeCell ref="N89:O89"/>
    <mergeCell ref="S89:T89"/>
    <mergeCell ref="U89:V89"/>
    <mergeCell ref="A95:C95"/>
    <mergeCell ref="D95:F95"/>
    <mergeCell ref="H95:I95"/>
    <mergeCell ref="J95:M95"/>
    <mergeCell ref="N95:O95"/>
    <mergeCell ref="S95:T95"/>
    <mergeCell ref="U95:V95"/>
    <mergeCell ref="A94:C94"/>
    <mergeCell ref="D94:F94"/>
    <mergeCell ref="H94:I94"/>
    <mergeCell ref="J94:M94"/>
    <mergeCell ref="N94:O94"/>
    <mergeCell ref="S94:T94"/>
    <mergeCell ref="U94:V94"/>
    <mergeCell ref="A93:C93"/>
    <mergeCell ref="D93:F93"/>
    <mergeCell ref="H93:I93"/>
    <mergeCell ref="D88:F88"/>
    <mergeCell ref="H88:I88"/>
    <mergeCell ref="J88:M88"/>
    <mergeCell ref="N88:O88"/>
    <mergeCell ref="U84:V84"/>
    <mergeCell ref="A85:C85"/>
    <mergeCell ref="D85:F85"/>
    <mergeCell ref="H85:I85"/>
    <mergeCell ref="J85:M85"/>
    <mergeCell ref="N85:O85"/>
    <mergeCell ref="S85:T85"/>
    <mergeCell ref="U85:V85"/>
    <mergeCell ref="A84:C84"/>
    <mergeCell ref="D84:F84"/>
    <mergeCell ref="H84:I84"/>
    <mergeCell ref="J84:M84"/>
    <mergeCell ref="N84:O84"/>
    <mergeCell ref="S84:T84"/>
    <mergeCell ref="A87:C87"/>
    <mergeCell ref="D87:F87"/>
    <mergeCell ref="S88:T88"/>
    <mergeCell ref="U88:V88"/>
    <mergeCell ref="A88:C88"/>
    <mergeCell ref="H87:I87"/>
    <mergeCell ref="N82:O82"/>
    <mergeCell ref="S82:T82"/>
    <mergeCell ref="A83:B83"/>
    <mergeCell ref="J83:M83"/>
    <mergeCell ref="N83:O83"/>
    <mergeCell ref="S83:T83"/>
    <mergeCell ref="A79:B80"/>
    <mergeCell ref="C79:K79"/>
    <mergeCell ref="B81:C81"/>
    <mergeCell ref="D81:M81"/>
    <mergeCell ref="A82:B82"/>
    <mergeCell ref="J82:M82"/>
    <mergeCell ref="P82:Q82"/>
    <mergeCell ref="P83:Q83"/>
    <mergeCell ref="E82:I83"/>
    <mergeCell ref="A78:H78"/>
    <mergeCell ref="J78:M78"/>
    <mergeCell ref="N78:O78"/>
    <mergeCell ref="S78:T78"/>
    <mergeCell ref="U78:V78"/>
    <mergeCell ref="S74:T74"/>
    <mergeCell ref="U74:V74"/>
    <mergeCell ref="J76:M76"/>
    <mergeCell ref="N76:O76"/>
    <mergeCell ref="S76:T76"/>
    <mergeCell ref="U76:V76"/>
    <mergeCell ref="A74:C74"/>
    <mergeCell ref="D74:F74"/>
    <mergeCell ref="H74:I74"/>
    <mergeCell ref="J74:M74"/>
    <mergeCell ref="N74:O74"/>
    <mergeCell ref="P74:R74"/>
    <mergeCell ref="P76:R76"/>
    <mergeCell ref="P78:R78"/>
    <mergeCell ref="N72:O72"/>
    <mergeCell ref="S72:T72"/>
    <mergeCell ref="A73:B73"/>
    <mergeCell ref="J73:M73"/>
    <mergeCell ref="N73:O73"/>
    <mergeCell ref="S73:T73"/>
    <mergeCell ref="A69:B70"/>
    <mergeCell ref="C69:K69"/>
    <mergeCell ref="B71:C71"/>
    <mergeCell ref="D71:M71"/>
    <mergeCell ref="A72:B72"/>
    <mergeCell ref="J72:M72"/>
    <mergeCell ref="P72:Q72"/>
    <mergeCell ref="P73:Q73"/>
    <mergeCell ref="E72:I73"/>
    <mergeCell ref="A63:C63"/>
    <mergeCell ref="D63:F63"/>
    <mergeCell ref="H63:I63"/>
    <mergeCell ref="J63:M63"/>
    <mergeCell ref="N63:O63"/>
    <mergeCell ref="S63:T63"/>
    <mergeCell ref="U63:V63"/>
    <mergeCell ref="A62:C62"/>
    <mergeCell ref="D62:F62"/>
    <mergeCell ref="H62:I62"/>
    <mergeCell ref="J62:M62"/>
    <mergeCell ref="N62:O62"/>
    <mergeCell ref="S62:T62"/>
    <mergeCell ref="U62:V62"/>
    <mergeCell ref="P62:R62"/>
    <mergeCell ref="P63:R63"/>
    <mergeCell ref="U68:V68"/>
    <mergeCell ref="S64:T64"/>
    <mergeCell ref="U64:V64"/>
    <mergeCell ref="J66:M66"/>
    <mergeCell ref="N66:O66"/>
    <mergeCell ref="S66:T66"/>
    <mergeCell ref="U66:V66"/>
    <mergeCell ref="A68:H68"/>
    <mergeCell ref="J68:M68"/>
    <mergeCell ref="N68:O68"/>
    <mergeCell ref="S68:T68"/>
    <mergeCell ref="A64:C64"/>
    <mergeCell ref="D64:F64"/>
    <mergeCell ref="H64:I64"/>
    <mergeCell ref="J64:M64"/>
    <mergeCell ref="N64:O64"/>
    <mergeCell ref="P64:R64"/>
    <mergeCell ref="P66:R66"/>
    <mergeCell ref="P68:R68"/>
    <mergeCell ref="S60:T60"/>
    <mergeCell ref="U60:V60"/>
    <mergeCell ref="A61:C61"/>
    <mergeCell ref="D61:F61"/>
    <mergeCell ref="H61:I61"/>
    <mergeCell ref="J61:M61"/>
    <mergeCell ref="N61:O61"/>
    <mergeCell ref="S61:T61"/>
    <mergeCell ref="U61:V61"/>
    <mergeCell ref="A60:C60"/>
    <mergeCell ref="D60:F60"/>
    <mergeCell ref="H60:I60"/>
    <mergeCell ref="J60:M60"/>
    <mergeCell ref="N60:O60"/>
    <mergeCell ref="P60:R60"/>
    <mergeCell ref="P61:R61"/>
    <mergeCell ref="S58:T58"/>
    <mergeCell ref="A59:B59"/>
    <mergeCell ref="J59:M59"/>
    <mergeCell ref="N59:O59"/>
    <mergeCell ref="S59:T59"/>
    <mergeCell ref="B57:C57"/>
    <mergeCell ref="D57:M57"/>
    <mergeCell ref="A58:B58"/>
    <mergeCell ref="J58:M58"/>
    <mergeCell ref="N58:O58"/>
    <mergeCell ref="P58:Q58"/>
    <mergeCell ref="P59:Q59"/>
    <mergeCell ref="E58:I59"/>
    <mergeCell ref="S56:T56"/>
    <mergeCell ref="U56:V56"/>
    <mergeCell ref="A54:C54"/>
    <mergeCell ref="D54:F54"/>
    <mergeCell ref="H54:I54"/>
    <mergeCell ref="J54:M54"/>
    <mergeCell ref="N54:O54"/>
    <mergeCell ref="A51:C51"/>
    <mergeCell ref="D51:F51"/>
    <mergeCell ref="H51:I51"/>
    <mergeCell ref="J51:M51"/>
    <mergeCell ref="N51:O51"/>
    <mergeCell ref="S51:T51"/>
    <mergeCell ref="U51:V51"/>
    <mergeCell ref="S54:T54"/>
    <mergeCell ref="U54:V54"/>
    <mergeCell ref="S52:T52"/>
    <mergeCell ref="U52:V52"/>
    <mergeCell ref="A52:C52"/>
    <mergeCell ref="D52:F52"/>
    <mergeCell ref="H52:I52"/>
    <mergeCell ref="J52:M52"/>
    <mergeCell ref="N52:O52"/>
    <mergeCell ref="A53:C53"/>
    <mergeCell ref="S53:T53"/>
    <mergeCell ref="U53:V53"/>
    <mergeCell ref="A50:C50"/>
    <mergeCell ref="D50:F50"/>
    <mergeCell ref="H50:I50"/>
    <mergeCell ref="J50:M50"/>
    <mergeCell ref="N50:O50"/>
    <mergeCell ref="S50:T50"/>
    <mergeCell ref="U50:V50"/>
    <mergeCell ref="S44:T44"/>
    <mergeCell ref="P48:Q48"/>
    <mergeCell ref="A48:B48"/>
    <mergeCell ref="J48:M48"/>
    <mergeCell ref="N48:O48"/>
    <mergeCell ref="B47:C47"/>
    <mergeCell ref="D47:M47"/>
    <mergeCell ref="A44:H44"/>
    <mergeCell ref="J44:M44"/>
    <mergeCell ref="N44:O44"/>
    <mergeCell ref="S48:T48"/>
    <mergeCell ref="A49:B49"/>
    <mergeCell ref="J49:M49"/>
    <mergeCell ref="N49:O49"/>
    <mergeCell ref="S49:T49"/>
    <mergeCell ref="U44:V44"/>
    <mergeCell ref="A45:B46"/>
    <mergeCell ref="C45:K45"/>
    <mergeCell ref="A38:C38"/>
    <mergeCell ref="D38:F38"/>
    <mergeCell ref="H38:I38"/>
    <mergeCell ref="J38:M38"/>
    <mergeCell ref="N38:O38"/>
    <mergeCell ref="S39:T39"/>
    <mergeCell ref="U39:V39"/>
    <mergeCell ref="A40:C40"/>
    <mergeCell ref="D40:F40"/>
    <mergeCell ref="H40:I40"/>
    <mergeCell ref="J40:M40"/>
    <mergeCell ref="N40:O40"/>
    <mergeCell ref="S40:T40"/>
    <mergeCell ref="U40:V40"/>
    <mergeCell ref="A39:C39"/>
    <mergeCell ref="D39:F39"/>
    <mergeCell ref="H39:I39"/>
    <mergeCell ref="J39:M39"/>
    <mergeCell ref="N39:O39"/>
    <mergeCell ref="P40:R40"/>
    <mergeCell ref="A37:C37"/>
    <mergeCell ref="D37:F37"/>
    <mergeCell ref="H37:I37"/>
    <mergeCell ref="J37:M37"/>
    <mergeCell ref="A36:C36"/>
    <mergeCell ref="D36:F36"/>
    <mergeCell ref="H36:I36"/>
    <mergeCell ref="J36:M36"/>
    <mergeCell ref="N36:O36"/>
    <mergeCell ref="A35:C35"/>
    <mergeCell ref="D35:F35"/>
    <mergeCell ref="H35:I35"/>
    <mergeCell ref="J35:M35"/>
    <mergeCell ref="N35:O35"/>
    <mergeCell ref="A34:C34"/>
    <mergeCell ref="D34:F34"/>
    <mergeCell ref="H34:I34"/>
    <mergeCell ref="J34:M34"/>
    <mergeCell ref="N34:O34"/>
    <mergeCell ref="S29:T29"/>
    <mergeCell ref="S31:T31"/>
    <mergeCell ref="U31:V31"/>
    <mergeCell ref="U30:V30"/>
    <mergeCell ref="S33:T33"/>
    <mergeCell ref="U33:V33"/>
    <mergeCell ref="J42:M42"/>
    <mergeCell ref="N42:O42"/>
    <mergeCell ref="S42:T42"/>
    <mergeCell ref="U42:V42"/>
    <mergeCell ref="S37:T37"/>
    <mergeCell ref="U37:V37"/>
    <mergeCell ref="U38:V38"/>
    <mergeCell ref="U32:V32"/>
    <mergeCell ref="S38:T38"/>
    <mergeCell ref="N37:O37"/>
    <mergeCell ref="S34:T34"/>
    <mergeCell ref="U34:V34"/>
    <mergeCell ref="S36:T36"/>
    <mergeCell ref="U36:V36"/>
    <mergeCell ref="S35:T35"/>
    <mergeCell ref="U35:V35"/>
    <mergeCell ref="P29:R29"/>
    <mergeCell ref="P30:R30"/>
    <mergeCell ref="A29:C29"/>
    <mergeCell ref="D29:F29"/>
    <mergeCell ref="H29:I29"/>
    <mergeCell ref="J29:M29"/>
    <mergeCell ref="N29:O29"/>
    <mergeCell ref="A31:C31"/>
    <mergeCell ref="D31:F31"/>
    <mergeCell ref="H31:I31"/>
    <mergeCell ref="J31:M31"/>
    <mergeCell ref="N31:O31"/>
    <mergeCell ref="J21:M21"/>
    <mergeCell ref="N21:O21"/>
    <mergeCell ref="S21:T21"/>
    <mergeCell ref="U21:V21"/>
    <mergeCell ref="A20:C20"/>
    <mergeCell ref="D20:F20"/>
    <mergeCell ref="U29:V29"/>
    <mergeCell ref="H33:I33"/>
    <mergeCell ref="J33:M33"/>
    <mergeCell ref="N33:O33"/>
    <mergeCell ref="A30:C30"/>
    <mergeCell ref="D30:F30"/>
    <mergeCell ref="H30:I30"/>
    <mergeCell ref="J30:M30"/>
    <mergeCell ref="N30:O30"/>
    <mergeCell ref="S30:T30"/>
    <mergeCell ref="A32:C32"/>
    <mergeCell ref="D32:F32"/>
    <mergeCell ref="H32:I32"/>
    <mergeCell ref="J32:M32"/>
    <mergeCell ref="N32:O32"/>
    <mergeCell ref="S32:T32"/>
    <mergeCell ref="A33:C33"/>
    <mergeCell ref="D33:F33"/>
    <mergeCell ref="A28:B28"/>
    <mergeCell ref="J28:M28"/>
    <mergeCell ref="N28:O28"/>
    <mergeCell ref="S28:T28"/>
    <mergeCell ref="J25:M25"/>
    <mergeCell ref="N25:O25"/>
    <mergeCell ref="S25:T25"/>
    <mergeCell ref="U25:V25"/>
    <mergeCell ref="A27:B27"/>
    <mergeCell ref="J27:M27"/>
    <mergeCell ref="N27:O27"/>
    <mergeCell ref="S27:T27"/>
    <mergeCell ref="P27:Q27"/>
    <mergeCell ref="P28:Q28"/>
    <mergeCell ref="B26:C26"/>
    <mergeCell ref="D26:M26"/>
    <mergeCell ref="P25:R25"/>
    <mergeCell ref="E27:I28"/>
    <mergeCell ref="H20:I20"/>
    <mergeCell ref="J20:M20"/>
    <mergeCell ref="N20:O20"/>
    <mergeCell ref="S20:T20"/>
    <mergeCell ref="U20:V20"/>
    <mergeCell ref="A18:C18"/>
    <mergeCell ref="D18:F18"/>
    <mergeCell ref="H18:I18"/>
    <mergeCell ref="J18:M18"/>
    <mergeCell ref="N18:O18"/>
    <mergeCell ref="A19:C19"/>
    <mergeCell ref="D19:F19"/>
    <mergeCell ref="H19:I19"/>
    <mergeCell ref="J19:M19"/>
    <mergeCell ref="N19:O19"/>
    <mergeCell ref="S19:T19"/>
    <mergeCell ref="U19:V19"/>
    <mergeCell ref="S22:T22"/>
    <mergeCell ref="U22:V22"/>
    <mergeCell ref="A23:C23"/>
    <mergeCell ref="D23:F23"/>
    <mergeCell ref="H23:I23"/>
    <mergeCell ref="J23:M23"/>
    <mergeCell ref="N23:O23"/>
    <mergeCell ref="S23:T23"/>
    <mergeCell ref="U23:V23"/>
    <mergeCell ref="A22:C22"/>
    <mergeCell ref="D22:F22"/>
    <mergeCell ref="H22:I22"/>
    <mergeCell ref="J22:M22"/>
    <mergeCell ref="N22:O22"/>
    <mergeCell ref="P23:R23"/>
    <mergeCell ref="A21:C21"/>
    <mergeCell ref="D21:F21"/>
    <mergeCell ref="H21:I21"/>
    <mergeCell ref="N14:O14"/>
    <mergeCell ref="S16:T16"/>
    <mergeCell ref="U16:V16"/>
    <mergeCell ref="S14:T14"/>
    <mergeCell ref="U14:V14"/>
    <mergeCell ref="A15:C15"/>
    <mergeCell ref="D15:F15"/>
    <mergeCell ref="H15:I15"/>
    <mergeCell ref="J15:M15"/>
    <mergeCell ref="N15:O15"/>
    <mergeCell ref="S15:T15"/>
    <mergeCell ref="U15:V15"/>
    <mergeCell ref="S18:T18"/>
    <mergeCell ref="U18:V18"/>
    <mergeCell ref="A17:C17"/>
    <mergeCell ref="D17:F17"/>
    <mergeCell ref="H17:I17"/>
    <mergeCell ref="J17:M17"/>
    <mergeCell ref="N17:O17"/>
    <mergeCell ref="S17:T17"/>
    <mergeCell ref="U17:V17"/>
    <mergeCell ref="A7:B8"/>
    <mergeCell ref="C7:K7"/>
    <mergeCell ref="B9:C9"/>
    <mergeCell ref="D9:M9"/>
    <mergeCell ref="A10:B10"/>
    <mergeCell ref="J10:M10"/>
    <mergeCell ref="S12:T12"/>
    <mergeCell ref="U12:V12"/>
    <mergeCell ref="N10:O10"/>
    <mergeCell ref="S10:T10"/>
    <mergeCell ref="A11:B11"/>
    <mergeCell ref="J11:M11"/>
    <mergeCell ref="N11:O11"/>
    <mergeCell ref="S11:T11"/>
    <mergeCell ref="P10:Q10"/>
    <mergeCell ref="P11:Q11"/>
    <mergeCell ref="E10:I11"/>
    <mergeCell ref="P12:R12"/>
    <mergeCell ref="A13:C13"/>
    <mergeCell ref="D13:F13"/>
    <mergeCell ref="H13:I13"/>
    <mergeCell ref="J13:M13"/>
    <mergeCell ref="N13:O13"/>
    <mergeCell ref="S13:T13"/>
    <mergeCell ref="U13:V13"/>
    <mergeCell ref="A12:C12"/>
    <mergeCell ref="D12:F12"/>
    <mergeCell ref="H12:I12"/>
    <mergeCell ref="J12:M12"/>
    <mergeCell ref="N12:O12"/>
    <mergeCell ref="P13:R13"/>
    <mergeCell ref="A16:C16"/>
    <mergeCell ref="D16:F16"/>
    <mergeCell ref="H16:I16"/>
    <mergeCell ref="J16:M16"/>
    <mergeCell ref="N16:O16"/>
    <mergeCell ref="A14:C14"/>
    <mergeCell ref="D14:F14"/>
    <mergeCell ref="H14:I14"/>
    <mergeCell ref="J14:M14"/>
  </mergeCells>
  <printOptions/>
  <pageMargins left="0.7" right="0.7" top="0.75" bottom="0.75" header="0.3" footer="0.3"/>
  <pageSetup fitToWidth="0" horizontalDpi="600" verticalDpi="600" orientation="portrait" r:id="rId1"/>
</worksheet>
</file>

<file path=xl/worksheets/sheet7.xml><?xml version="1.0" encoding="utf-8"?>
<worksheet xmlns="http://schemas.openxmlformats.org/spreadsheetml/2006/main" xmlns:r="http://schemas.openxmlformats.org/officeDocument/2006/relationships">
  <dimension ref="A2:AA292"/>
  <sheetViews>
    <sheetView zoomScalePageLayoutView="0" workbookViewId="0" topLeftCell="A1">
      <selection activeCell="Z201" sqref="Z201"/>
    </sheetView>
  </sheetViews>
  <sheetFormatPr defaultColWidth="9.33203125" defaultRowHeight="10.5"/>
  <cols>
    <col min="2" max="2" width="4.66015625" style="0" customWidth="1"/>
    <col min="3" max="3" width="5.66015625" style="0" customWidth="1"/>
    <col min="4" max="4" width="6.16015625" style="0" customWidth="1"/>
    <col min="5" max="5" width="4" style="0" customWidth="1"/>
    <col min="6" max="6" width="3.83203125" style="0" customWidth="1"/>
    <col min="7" max="8" width="4" style="0" customWidth="1"/>
    <col min="9" max="9" width="6.33203125" style="0" customWidth="1"/>
    <col min="10" max="10" width="3.33203125" style="0" customWidth="1"/>
    <col min="11" max="11" width="3" style="0" customWidth="1"/>
    <col min="12" max="12" width="2.66015625" style="0" customWidth="1"/>
    <col min="14" max="14" width="3.16015625" style="0" customWidth="1"/>
    <col min="15" max="15" width="3.33203125" style="0" customWidth="1"/>
    <col min="16" max="16" width="2" style="0" customWidth="1"/>
    <col min="17" max="17" width="6.66015625" style="0" customWidth="1"/>
    <col min="18" max="18" width="2.83203125" style="0" customWidth="1"/>
    <col min="19" max="19" width="4.5" style="0" customWidth="1"/>
    <col min="20" max="20" width="3.5" style="0" customWidth="1"/>
    <col min="21" max="21" width="4" style="0" customWidth="1"/>
    <col min="23" max="23" width="4.5" style="0" customWidth="1"/>
    <col min="24" max="24" width="3.33203125" style="0" customWidth="1"/>
    <col min="27" max="27" width="9.66015625" style="0" bestFit="1" customWidth="1"/>
  </cols>
  <sheetData>
    <row r="2" spans="1:25" ht="12">
      <c r="A2" s="573" t="s">
        <v>211</v>
      </c>
      <c r="B2" s="573"/>
      <c r="C2" s="573"/>
      <c r="D2" s="492"/>
      <c r="E2" s="571" t="s">
        <v>478</v>
      </c>
      <c r="F2" s="571"/>
      <c r="G2" s="571"/>
      <c r="H2" s="571"/>
      <c r="I2" s="571"/>
      <c r="J2" s="571"/>
      <c r="K2" s="571"/>
      <c r="L2" s="571"/>
      <c r="M2" s="571"/>
      <c r="N2" s="571"/>
      <c r="O2" s="571"/>
      <c r="P2" s="571"/>
      <c r="Q2" s="492"/>
      <c r="R2" s="492"/>
      <c r="S2" s="492"/>
      <c r="T2" s="492"/>
      <c r="U2" s="492"/>
      <c r="V2" s="492"/>
      <c r="W2" s="492"/>
      <c r="X2" s="492"/>
      <c r="Y2" s="492"/>
    </row>
    <row r="3" spans="1:25" ht="10.5" customHeight="1">
      <c r="A3" s="567"/>
      <c r="B3" s="573"/>
      <c r="C3" s="573"/>
      <c r="D3" s="492"/>
      <c r="E3" s="492"/>
      <c r="F3" s="492"/>
      <c r="G3" s="492"/>
      <c r="H3" s="492"/>
      <c r="I3" s="492"/>
      <c r="J3" s="492"/>
      <c r="K3" s="492"/>
      <c r="L3" s="492"/>
      <c r="M3" s="492"/>
      <c r="N3" s="492"/>
      <c r="O3" s="492"/>
      <c r="P3" s="492"/>
      <c r="Q3" s="492"/>
      <c r="R3" s="492"/>
      <c r="S3" s="492"/>
      <c r="T3" s="492"/>
      <c r="U3" s="492"/>
      <c r="V3" s="492"/>
      <c r="W3" s="492"/>
      <c r="X3" s="492"/>
      <c r="Y3" s="492"/>
    </row>
    <row r="4" spans="1:25" ht="12">
      <c r="A4" s="492"/>
      <c r="B4" s="492"/>
      <c r="C4" s="573" t="s">
        <v>213</v>
      </c>
      <c r="D4" s="573"/>
      <c r="E4" s="573"/>
      <c r="F4" s="573"/>
      <c r="G4" s="492"/>
      <c r="H4" s="571" t="s">
        <v>214</v>
      </c>
      <c r="I4" s="571"/>
      <c r="J4" s="571"/>
      <c r="K4" s="571"/>
      <c r="L4" s="571"/>
      <c r="M4" s="571"/>
      <c r="N4" s="571"/>
      <c r="O4" s="571"/>
      <c r="P4" s="571"/>
      <c r="Q4" s="571"/>
      <c r="R4" s="571"/>
      <c r="S4" s="571"/>
      <c r="T4" s="492"/>
      <c r="U4" s="492"/>
      <c r="V4" s="492"/>
      <c r="W4" s="492"/>
      <c r="X4" s="492"/>
      <c r="Y4" s="492"/>
    </row>
    <row r="5" spans="1:27" ht="12" customHeight="1">
      <c r="A5" s="573" t="s">
        <v>215</v>
      </c>
      <c r="B5" s="573"/>
      <c r="C5" s="573"/>
      <c r="D5" s="573"/>
      <c r="E5" s="573"/>
      <c r="F5" s="492"/>
      <c r="G5" s="492"/>
      <c r="H5" s="492"/>
      <c r="I5" s="574" t="s">
        <v>488</v>
      </c>
      <c r="J5" s="574"/>
      <c r="K5" s="574"/>
      <c r="L5" s="574"/>
      <c r="M5" s="574"/>
      <c r="N5" s="574"/>
      <c r="O5" s="575" t="s">
        <v>489</v>
      </c>
      <c r="P5" s="575"/>
      <c r="Q5" s="575"/>
      <c r="R5" s="575"/>
      <c r="S5" s="492"/>
      <c r="T5" s="575" t="s">
        <v>490</v>
      </c>
      <c r="U5" s="575"/>
      <c r="V5" s="575"/>
      <c r="W5" s="492"/>
      <c r="X5" s="576" t="s">
        <v>491</v>
      </c>
      <c r="Y5" s="576"/>
      <c r="Z5" s="490" t="s">
        <v>419</v>
      </c>
      <c r="AA5" s="490" t="s">
        <v>420</v>
      </c>
    </row>
    <row r="6" spans="1:25" ht="10.5">
      <c r="A6" s="492"/>
      <c r="B6" s="492"/>
      <c r="C6" s="492"/>
      <c r="D6" s="492"/>
      <c r="E6" s="492"/>
      <c r="F6" s="492"/>
      <c r="G6" s="492"/>
      <c r="H6" s="492"/>
      <c r="I6" s="492"/>
      <c r="J6" s="492"/>
      <c r="K6" s="492"/>
      <c r="L6" s="492"/>
      <c r="M6" s="492"/>
      <c r="N6" s="492"/>
      <c r="O6" s="492"/>
      <c r="P6" s="492"/>
      <c r="Q6" s="492"/>
      <c r="R6" s="492"/>
      <c r="S6" s="492"/>
      <c r="T6" s="492"/>
      <c r="U6" s="492"/>
      <c r="V6" s="492"/>
      <c r="W6" s="492"/>
      <c r="X6" s="492"/>
      <c r="Y6" s="492"/>
    </row>
    <row r="7" spans="1:25" ht="11.25" customHeight="1">
      <c r="A7" s="570" t="s">
        <v>25</v>
      </c>
      <c r="B7" s="570"/>
      <c r="C7" s="570"/>
      <c r="D7" s="570"/>
      <c r="E7" s="570"/>
      <c r="F7" s="570"/>
      <c r="G7" s="570"/>
      <c r="H7" s="570" t="s">
        <v>463</v>
      </c>
      <c r="I7" s="570"/>
      <c r="J7" s="570"/>
      <c r="K7" s="571" t="s">
        <v>226</v>
      </c>
      <c r="L7" s="571"/>
      <c r="M7" s="570" t="s">
        <v>464</v>
      </c>
      <c r="N7" s="570"/>
      <c r="O7" s="492"/>
      <c r="P7" s="568">
        <v>7614</v>
      </c>
      <c r="Q7" s="568"/>
      <c r="R7" s="568"/>
      <c r="S7" s="492"/>
      <c r="T7" s="568">
        <v>0</v>
      </c>
      <c r="U7" s="568"/>
      <c r="V7" s="568"/>
      <c r="W7" s="492"/>
      <c r="X7" s="569">
        <v>7614</v>
      </c>
      <c r="Y7" s="569"/>
    </row>
    <row r="8" spans="1:25" ht="10.5" customHeight="1">
      <c r="A8" s="492"/>
      <c r="B8" s="492"/>
      <c r="C8" s="492"/>
      <c r="D8" s="492"/>
      <c r="E8" s="492"/>
      <c r="F8" s="492"/>
      <c r="G8" s="492"/>
      <c r="H8" s="492"/>
      <c r="I8" s="492"/>
      <c r="J8" s="492"/>
      <c r="K8" s="567"/>
      <c r="L8" s="571"/>
      <c r="M8" s="492"/>
      <c r="N8" s="492"/>
      <c r="O8" s="492"/>
      <c r="P8" s="492"/>
      <c r="Q8" s="492"/>
      <c r="R8" s="492"/>
      <c r="S8" s="492"/>
      <c r="T8" s="492"/>
      <c r="U8" s="492"/>
      <c r="V8" s="492"/>
      <c r="W8" s="492"/>
      <c r="X8" s="492"/>
      <c r="Y8" s="492"/>
    </row>
    <row r="9" spans="1:27" ht="11.25" customHeight="1">
      <c r="A9" s="570" t="s">
        <v>26</v>
      </c>
      <c r="B9" s="570"/>
      <c r="C9" s="570"/>
      <c r="D9" s="570"/>
      <c r="E9" s="570"/>
      <c r="F9" s="570"/>
      <c r="G9" s="570"/>
      <c r="H9" s="570" t="s">
        <v>463</v>
      </c>
      <c r="I9" s="570"/>
      <c r="J9" s="570"/>
      <c r="K9" s="571" t="s">
        <v>226</v>
      </c>
      <c r="L9" s="571"/>
      <c r="M9" s="570" t="s">
        <v>464</v>
      </c>
      <c r="N9" s="570"/>
      <c r="O9" s="492"/>
      <c r="P9" s="568">
        <v>5161.71</v>
      </c>
      <c r="Q9" s="568"/>
      <c r="R9" s="568"/>
      <c r="S9" s="492"/>
      <c r="T9" s="568">
        <v>34.68</v>
      </c>
      <c r="U9" s="568"/>
      <c r="V9" s="568"/>
      <c r="W9" s="492"/>
      <c r="X9" s="569">
        <v>5127.03</v>
      </c>
      <c r="Y9" s="569"/>
      <c r="Z9">
        <v>34.68</v>
      </c>
      <c r="AA9" s="493">
        <f>T9-Z9</f>
        <v>0</v>
      </c>
    </row>
    <row r="10" spans="1:25" ht="10.5" customHeight="1">
      <c r="A10" s="492"/>
      <c r="B10" s="492"/>
      <c r="C10" s="492"/>
      <c r="D10" s="492"/>
      <c r="E10" s="492"/>
      <c r="F10" s="492"/>
      <c r="G10" s="492"/>
      <c r="H10" s="492"/>
      <c r="I10" s="492"/>
      <c r="J10" s="492"/>
      <c r="K10" s="567"/>
      <c r="L10" s="571"/>
      <c r="M10" s="492"/>
      <c r="N10" s="492"/>
      <c r="O10" s="492"/>
      <c r="P10" s="492"/>
      <c r="Q10" s="492"/>
      <c r="R10" s="492"/>
      <c r="S10" s="492"/>
      <c r="T10" s="492"/>
      <c r="U10" s="492"/>
      <c r="V10" s="492"/>
      <c r="W10" s="492"/>
      <c r="X10" s="492"/>
      <c r="Y10" s="492"/>
    </row>
    <row r="11" spans="1:25" ht="11.25">
      <c r="A11" s="570" t="s">
        <v>27</v>
      </c>
      <c r="B11" s="570"/>
      <c r="C11" s="570"/>
      <c r="D11" s="570"/>
      <c r="E11" s="570"/>
      <c r="F11" s="570"/>
      <c r="G11" s="570"/>
      <c r="H11" s="570" t="s">
        <v>463</v>
      </c>
      <c r="I11" s="570"/>
      <c r="J11" s="570"/>
      <c r="K11" s="571" t="s">
        <v>226</v>
      </c>
      <c r="L11" s="571"/>
      <c r="M11" s="570" t="s">
        <v>464</v>
      </c>
      <c r="N11" s="570"/>
      <c r="O11" s="492"/>
      <c r="P11" s="568">
        <v>3411</v>
      </c>
      <c r="Q11" s="568"/>
      <c r="R11" s="568"/>
      <c r="S11" s="492"/>
      <c r="T11" s="568">
        <v>0</v>
      </c>
      <c r="U11" s="568"/>
      <c r="V11" s="568"/>
      <c r="W11" s="492"/>
      <c r="X11" s="569">
        <v>3411</v>
      </c>
      <c r="Y11" s="569"/>
    </row>
    <row r="12" spans="1:25" ht="10.5">
      <c r="A12" s="492"/>
      <c r="B12" s="492"/>
      <c r="C12" s="492"/>
      <c r="D12" s="492"/>
      <c r="E12" s="492"/>
      <c r="F12" s="492"/>
      <c r="G12" s="492"/>
      <c r="H12" s="492"/>
      <c r="I12" s="492"/>
      <c r="J12" s="492"/>
      <c r="K12" s="567"/>
      <c r="L12" s="571"/>
      <c r="M12" s="492"/>
      <c r="N12" s="492"/>
      <c r="O12" s="492"/>
      <c r="P12" s="492"/>
      <c r="Q12" s="492"/>
      <c r="R12" s="492"/>
      <c r="S12" s="492"/>
      <c r="T12" s="492"/>
      <c r="U12" s="492"/>
      <c r="V12" s="492"/>
      <c r="W12" s="492"/>
      <c r="X12" s="492"/>
      <c r="Y12" s="492"/>
    </row>
    <row r="13" spans="1:25" ht="11.25">
      <c r="A13" s="570" t="s">
        <v>349</v>
      </c>
      <c r="B13" s="570"/>
      <c r="C13" s="570"/>
      <c r="D13" s="570"/>
      <c r="E13" s="570"/>
      <c r="F13" s="570"/>
      <c r="G13" s="570"/>
      <c r="H13" s="570" t="s">
        <v>463</v>
      </c>
      <c r="I13" s="570"/>
      <c r="J13" s="570"/>
      <c r="K13" s="571" t="s">
        <v>226</v>
      </c>
      <c r="L13" s="571"/>
      <c r="M13" s="570" t="s">
        <v>464</v>
      </c>
      <c r="N13" s="570"/>
      <c r="O13" s="492"/>
      <c r="P13" s="568">
        <v>125</v>
      </c>
      <c r="Q13" s="568"/>
      <c r="R13" s="568"/>
      <c r="S13" s="492"/>
      <c r="T13" s="568">
        <v>0</v>
      </c>
      <c r="U13" s="568"/>
      <c r="V13" s="568"/>
      <c r="W13" s="492"/>
      <c r="X13" s="569">
        <v>125</v>
      </c>
      <c r="Y13" s="569"/>
    </row>
    <row r="14" spans="1:25" ht="10.5">
      <c r="A14" s="492"/>
      <c r="B14" s="492"/>
      <c r="C14" s="492"/>
      <c r="D14" s="492"/>
      <c r="E14" s="492"/>
      <c r="F14" s="492"/>
      <c r="G14" s="492"/>
      <c r="H14" s="492"/>
      <c r="I14" s="492"/>
      <c r="J14" s="492"/>
      <c r="K14" s="567"/>
      <c r="L14" s="571"/>
      <c r="M14" s="492"/>
      <c r="N14" s="492"/>
      <c r="O14" s="492"/>
      <c r="P14" s="492"/>
      <c r="Q14" s="492"/>
      <c r="R14" s="492"/>
      <c r="S14" s="492"/>
      <c r="T14" s="492"/>
      <c r="U14" s="492"/>
      <c r="V14" s="492"/>
      <c r="W14" s="492"/>
      <c r="X14" s="492"/>
      <c r="Y14" s="492"/>
    </row>
    <row r="15" spans="1:25" ht="12" customHeight="1">
      <c r="A15" s="570" t="s">
        <v>29</v>
      </c>
      <c r="B15" s="570"/>
      <c r="C15" s="570"/>
      <c r="D15" s="570"/>
      <c r="E15" s="570"/>
      <c r="F15" s="570"/>
      <c r="G15" s="570"/>
      <c r="H15" s="570" t="s">
        <v>463</v>
      </c>
      <c r="I15" s="570"/>
      <c r="J15" s="570"/>
      <c r="K15" s="571" t="s">
        <v>226</v>
      </c>
      <c r="L15" s="571"/>
      <c r="M15" s="570" t="s">
        <v>464</v>
      </c>
      <c r="N15" s="570"/>
      <c r="O15" s="492"/>
      <c r="P15" s="568">
        <v>5699</v>
      </c>
      <c r="Q15" s="568"/>
      <c r="R15" s="568"/>
      <c r="S15" s="492"/>
      <c r="T15" s="568">
        <v>0</v>
      </c>
      <c r="U15" s="568"/>
      <c r="V15" s="568"/>
      <c r="W15" s="492"/>
      <c r="X15" s="569">
        <v>5699</v>
      </c>
      <c r="Y15" s="569"/>
    </row>
    <row r="16" spans="1:25" ht="10.5">
      <c r="A16" s="492"/>
      <c r="B16" s="492"/>
      <c r="C16" s="492"/>
      <c r="D16" s="492"/>
      <c r="E16" s="492"/>
      <c r="F16" s="492"/>
      <c r="G16" s="492"/>
      <c r="H16" s="492"/>
      <c r="I16" s="492"/>
      <c r="J16" s="492"/>
      <c r="K16" s="567"/>
      <c r="L16" s="571"/>
      <c r="M16" s="492"/>
      <c r="N16" s="492"/>
      <c r="O16" s="492"/>
      <c r="P16" s="492"/>
      <c r="Q16" s="492"/>
      <c r="R16" s="492"/>
      <c r="S16" s="492"/>
      <c r="T16" s="492"/>
      <c r="U16" s="492"/>
      <c r="V16" s="492"/>
      <c r="W16" s="492"/>
      <c r="X16" s="492"/>
      <c r="Y16" s="492"/>
    </row>
    <row r="17" spans="1:25" ht="11.25" customHeight="1">
      <c r="A17" s="570" t="s">
        <v>31</v>
      </c>
      <c r="B17" s="570"/>
      <c r="C17" s="570"/>
      <c r="D17" s="570"/>
      <c r="E17" s="570"/>
      <c r="F17" s="570"/>
      <c r="G17" s="570"/>
      <c r="H17" s="570" t="s">
        <v>463</v>
      </c>
      <c r="I17" s="570"/>
      <c r="J17" s="570"/>
      <c r="K17" s="571" t="s">
        <v>226</v>
      </c>
      <c r="L17" s="571"/>
      <c r="M17" s="570" t="s">
        <v>464</v>
      </c>
      <c r="N17" s="570"/>
      <c r="O17" s="492"/>
      <c r="P17" s="568">
        <v>1434</v>
      </c>
      <c r="Q17" s="568"/>
      <c r="R17" s="568"/>
      <c r="S17" s="492"/>
      <c r="T17" s="568">
        <v>0</v>
      </c>
      <c r="U17" s="568"/>
      <c r="V17" s="568"/>
      <c r="W17" s="492"/>
      <c r="X17" s="569">
        <v>1434</v>
      </c>
      <c r="Y17" s="569"/>
    </row>
    <row r="18" spans="1:25" ht="10.5" customHeight="1">
      <c r="A18" s="492"/>
      <c r="B18" s="492"/>
      <c r="C18" s="492"/>
      <c r="D18" s="492"/>
      <c r="E18" s="492"/>
      <c r="F18" s="492"/>
      <c r="G18" s="492"/>
      <c r="H18" s="492"/>
      <c r="I18" s="492"/>
      <c r="J18" s="492"/>
      <c r="K18" s="567"/>
      <c r="L18" s="571"/>
      <c r="M18" s="492"/>
      <c r="N18" s="492"/>
      <c r="O18" s="492"/>
      <c r="P18" s="492"/>
      <c r="Q18" s="492"/>
      <c r="R18" s="492"/>
      <c r="S18" s="492"/>
      <c r="T18" s="492"/>
      <c r="U18" s="492"/>
      <c r="V18" s="492"/>
      <c r="W18" s="492"/>
      <c r="X18" s="492"/>
      <c r="Y18" s="492"/>
    </row>
    <row r="19" spans="1:27" ht="11.25" customHeight="1">
      <c r="A19" s="570" t="s">
        <v>32</v>
      </c>
      <c r="B19" s="570"/>
      <c r="C19" s="570"/>
      <c r="D19" s="570"/>
      <c r="E19" s="570"/>
      <c r="F19" s="570"/>
      <c r="G19" s="570"/>
      <c r="H19" s="570" t="s">
        <v>463</v>
      </c>
      <c r="I19" s="570"/>
      <c r="J19" s="570"/>
      <c r="K19" s="571" t="s">
        <v>226</v>
      </c>
      <c r="L19" s="571"/>
      <c r="M19" s="570" t="s">
        <v>464</v>
      </c>
      <c r="N19" s="570"/>
      <c r="O19" s="492"/>
      <c r="P19" s="568">
        <v>930.05</v>
      </c>
      <c r="Q19" s="568"/>
      <c r="R19" s="568"/>
      <c r="S19" s="492"/>
      <c r="T19" s="568">
        <v>0</v>
      </c>
      <c r="U19" s="568"/>
      <c r="V19" s="568"/>
      <c r="W19" s="492"/>
      <c r="X19" s="569">
        <v>930.05</v>
      </c>
      <c r="Y19" s="569"/>
      <c r="Z19" t="s">
        <v>99</v>
      </c>
      <c r="AA19" s="493" t="s">
        <v>99</v>
      </c>
    </row>
    <row r="20" spans="1:25" ht="10.5" customHeight="1">
      <c r="A20" s="492"/>
      <c r="B20" s="492"/>
      <c r="C20" s="492"/>
      <c r="D20" s="492"/>
      <c r="E20" s="492"/>
      <c r="F20" s="492"/>
      <c r="G20" s="492"/>
      <c r="H20" s="492"/>
      <c r="I20" s="492"/>
      <c r="J20" s="492"/>
      <c r="K20" s="567"/>
      <c r="L20" s="571"/>
      <c r="M20" s="492"/>
      <c r="N20" s="492"/>
      <c r="O20" s="492"/>
      <c r="P20" s="492"/>
      <c r="Q20" s="492"/>
      <c r="R20" s="492"/>
      <c r="S20" s="492"/>
      <c r="T20" s="492"/>
      <c r="U20" s="492"/>
      <c r="V20" s="492"/>
      <c r="W20" s="492"/>
      <c r="X20" s="492"/>
      <c r="Y20" s="492"/>
    </row>
    <row r="21" spans="1:27" ht="11.25">
      <c r="A21" s="570" t="s">
        <v>33</v>
      </c>
      <c r="B21" s="570"/>
      <c r="C21" s="570"/>
      <c r="D21" s="570"/>
      <c r="E21" s="570"/>
      <c r="F21" s="570"/>
      <c r="G21" s="570"/>
      <c r="H21" s="570" t="s">
        <v>463</v>
      </c>
      <c r="I21" s="570"/>
      <c r="J21" s="570"/>
      <c r="K21" s="571" t="s">
        <v>226</v>
      </c>
      <c r="L21" s="571"/>
      <c r="M21" s="570" t="s">
        <v>464</v>
      </c>
      <c r="N21" s="570"/>
      <c r="O21" s="492"/>
      <c r="P21" s="568">
        <v>4665</v>
      </c>
      <c r="Q21" s="568"/>
      <c r="R21" s="568"/>
      <c r="S21" s="492"/>
      <c r="T21" s="568">
        <v>12</v>
      </c>
      <c r="U21" s="568"/>
      <c r="V21" s="568"/>
      <c r="W21" s="492"/>
      <c r="X21" s="569">
        <v>4653</v>
      </c>
      <c r="Y21" s="569"/>
      <c r="Z21">
        <v>12</v>
      </c>
      <c r="AA21" s="494">
        <f>T21-Z21</f>
        <v>0</v>
      </c>
    </row>
    <row r="22" spans="1:25" ht="10.5">
      <c r="A22" s="492"/>
      <c r="B22" s="492"/>
      <c r="C22" s="492"/>
      <c r="D22" s="492"/>
      <c r="E22" s="492"/>
      <c r="F22" s="492"/>
      <c r="G22" s="492"/>
      <c r="H22" s="492"/>
      <c r="I22" s="492"/>
      <c r="J22" s="492"/>
      <c r="K22" s="567"/>
      <c r="L22" s="571"/>
      <c r="M22" s="492"/>
      <c r="N22" s="492"/>
      <c r="O22" s="492"/>
      <c r="P22" s="492"/>
      <c r="Q22" s="492"/>
      <c r="R22" s="492"/>
      <c r="S22" s="492"/>
      <c r="T22" s="492"/>
      <c r="U22" s="492"/>
      <c r="V22" s="492"/>
      <c r="W22" s="492"/>
      <c r="X22" s="492"/>
      <c r="Y22" s="492"/>
    </row>
    <row r="23" spans="1:27" ht="11.25">
      <c r="A23" s="570" t="s">
        <v>34</v>
      </c>
      <c r="B23" s="570"/>
      <c r="C23" s="570"/>
      <c r="D23" s="570"/>
      <c r="E23" s="570"/>
      <c r="F23" s="570"/>
      <c r="G23" s="570"/>
      <c r="H23" s="570" t="s">
        <v>463</v>
      </c>
      <c r="I23" s="570"/>
      <c r="J23" s="570"/>
      <c r="K23" s="571" t="s">
        <v>226</v>
      </c>
      <c r="L23" s="571"/>
      <c r="M23" s="570" t="s">
        <v>464</v>
      </c>
      <c r="N23" s="570"/>
      <c r="O23" s="492"/>
      <c r="P23" s="568">
        <v>4865</v>
      </c>
      <c r="Q23" s="568"/>
      <c r="R23" s="568"/>
      <c r="S23" s="492"/>
      <c r="T23" s="568">
        <v>188</v>
      </c>
      <c r="U23" s="568"/>
      <c r="V23" s="568"/>
      <c r="W23" s="492"/>
      <c r="X23" s="569">
        <v>4677</v>
      </c>
      <c r="Y23" s="569"/>
      <c r="Z23">
        <v>188</v>
      </c>
      <c r="AA23" s="494">
        <f>T23-Z23</f>
        <v>0</v>
      </c>
    </row>
    <row r="24" spans="1:25" ht="10.5">
      <c r="A24" s="492"/>
      <c r="B24" s="492"/>
      <c r="C24" s="492"/>
      <c r="D24" s="492"/>
      <c r="E24" s="492"/>
      <c r="F24" s="492"/>
      <c r="G24" s="492"/>
      <c r="H24" s="492"/>
      <c r="I24" s="492"/>
      <c r="J24" s="492"/>
      <c r="K24" s="567"/>
      <c r="L24" s="571"/>
      <c r="M24" s="492"/>
      <c r="N24" s="492"/>
      <c r="O24" s="492"/>
      <c r="P24" s="492"/>
      <c r="Q24" s="492"/>
      <c r="R24" s="492"/>
      <c r="S24" s="492"/>
      <c r="T24" s="492"/>
      <c r="U24" s="492"/>
      <c r="V24" s="492"/>
      <c r="W24" s="492"/>
      <c r="X24" s="492"/>
      <c r="Y24" s="492"/>
    </row>
    <row r="25" spans="1:25" ht="11.25" customHeight="1">
      <c r="A25" s="570" t="s">
        <v>35</v>
      </c>
      <c r="B25" s="570"/>
      <c r="C25" s="570"/>
      <c r="D25" s="570"/>
      <c r="E25" s="570"/>
      <c r="F25" s="570"/>
      <c r="G25" s="570"/>
      <c r="H25" s="570" t="s">
        <v>463</v>
      </c>
      <c r="I25" s="570"/>
      <c r="J25" s="570"/>
      <c r="K25" s="571" t="s">
        <v>226</v>
      </c>
      <c r="L25" s="571"/>
      <c r="M25" s="570" t="s">
        <v>464</v>
      </c>
      <c r="N25" s="570"/>
      <c r="O25" s="492"/>
      <c r="P25" s="568">
        <v>1500</v>
      </c>
      <c r="Q25" s="568"/>
      <c r="R25" s="568"/>
      <c r="S25" s="492"/>
      <c r="T25" s="568">
        <v>0</v>
      </c>
      <c r="U25" s="568"/>
      <c r="V25" s="568"/>
      <c r="W25" s="492"/>
      <c r="X25" s="569">
        <v>1500</v>
      </c>
      <c r="Y25" s="569"/>
    </row>
    <row r="26" spans="1:25" ht="10.5" customHeight="1">
      <c r="A26" s="492"/>
      <c r="B26" s="492"/>
      <c r="C26" s="492"/>
      <c r="D26" s="492"/>
      <c r="E26" s="492"/>
      <c r="F26" s="492"/>
      <c r="G26" s="492"/>
      <c r="H26" s="492"/>
      <c r="I26" s="492"/>
      <c r="J26" s="492"/>
      <c r="K26" s="567"/>
      <c r="L26" s="571"/>
      <c r="M26" s="492"/>
      <c r="N26" s="492"/>
      <c r="O26" s="492"/>
      <c r="P26" s="492"/>
      <c r="Q26" s="492"/>
      <c r="R26" s="492"/>
      <c r="S26" s="492"/>
      <c r="T26" s="492"/>
      <c r="U26" s="492"/>
      <c r="V26" s="492"/>
      <c r="W26" s="492"/>
      <c r="X26" s="492"/>
      <c r="Y26" s="492"/>
    </row>
    <row r="27" spans="1:25" ht="10.5">
      <c r="A27" s="492"/>
      <c r="B27" s="492"/>
      <c r="C27" s="492"/>
      <c r="D27" s="492"/>
      <c r="E27" s="492"/>
      <c r="F27" s="492"/>
      <c r="G27" s="492"/>
      <c r="H27" s="492"/>
      <c r="I27" s="492"/>
      <c r="J27" s="492"/>
      <c r="K27" s="492"/>
      <c r="L27" s="492"/>
      <c r="M27" s="492"/>
      <c r="N27" s="492"/>
      <c r="O27" s="492"/>
      <c r="P27" s="492"/>
      <c r="Q27" s="492"/>
      <c r="R27" s="492"/>
      <c r="S27" s="492"/>
      <c r="T27" s="492"/>
      <c r="U27" s="492"/>
      <c r="V27" s="492"/>
      <c r="W27" s="492"/>
      <c r="X27" s="492"/>
      <c r="Y27" s="492"/>
    </row>
    <row r="28" spans="1:26" ht="11.25">
      <c r="A28" s="492"/>
      <c r="B28" s="492"/>
      <c r="C28" s="492"/>
      <c r="D28" s="492"/>
      <c r="E28" s="492"/>
      <c r="F28" s="492"/>
      <c r="G28" s="492"/>
      <c r="H28" s="492"/>
      <c r="I28" s="492"/>
      <c r="J28" s="492"/>
      <c r="K28" s="492"/>
      <c r="L28" s="492"/>
      <c r="M28" s="492"/>
      <c r="N28" s="492"/>
      <c r="O28" s="565">
        <v>35404.76</v>
      </c>
      <c r="P28" s="565"/>
      <c r="Q28" s="565"/>
      <c r="R28" s="565"/>
      <c r="S28" s="492"/>
      <c r="T28" s="565">
        <v>234.68</v>
      </c>
      <c r="U28" s="565"/>
      <c r="V28" s="565"/>
      <c r="W28" s="492"/>
      <c r="X28" s="565">
        <v>35170.08</v>
      </c>
      <c r="Y28" s="565"/>
      <c r="Z28">
        <f>SUM(Z7:Z25)</f>
        <v>234.68</v>
      </c>
    </row>
    <row r="29" spans="1:25" ht="10.5" customHeight="1">
      <c r="A29" s="492"/>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row>
    <row r="30" spans="1:25" ht="12">
      <c r="A30" s="492"/>
      <c r="B30" s="492"/>
      <c r="C30" s="573" t="s">
        <v>213</v>
      </c>
      <c r="D30" s="573"/>
      <c r="E30" s="573"/>
      <c r="F30" s="573"/>
      <c r="G30" s="492"/>
      <c r="H30" s="571" t="s">
        <v>228</v>
      </c>
      <c r="I30" s="571"/>
      <c r="J30" s="571"/>
      <c r="K30" s="571"/>
      <c r="L30" s="571"/>
      <c r="M30" s="571"/>
      <c r="N30" s="571"/>
      <c r="O30" s="571"/>
      <c r="P30" s="571"/>
      <c r="Q30" s="571"/>
      <c r="R30" s="571"/>
      <c r="S30" s="571"/>
      <c r="T30" s="492"/>
      <c r="U30" s="492"/>
      <c r="V30" s="492"/>
      <c r="W30" s="492"/>
      <c r="X30" s="492"/>
      <c r="Y30" s="492"/>
    </row>
    <row r="31" spans="1:25" ht="12" customHeight="1">
      <c r="A31" s="573" t="s">
        <v>215</v>
      </c>
      <c r="B31" s="573"/>
      <c r="C31" s="573"/>
      <c r="D31" s="573"/>
      <c r="E31" s="573"/>
      <c r="F31" s="492"/>
      <c r="G31" s="492"/>
      <c r="H31" s="492"/>
      <c r="I31" s="574" t="s">
        <v>488</v>
      </c>
      <c r="J31" s="574"/>
      <c r="K31" s="574"/>
      <c r="L31" s="574"/>
      <c r="M31" s="574"/>
      <c r="N31" s="574"/>
      <c r="O31" s="575" t="s">
        <v>489</v>
      </c>
      <c r="P31" s="575"/>
      <c r="Q31" s="575"/>
      <c r="R31" s="575"/>
      <c r="S31" s="492"/>
      <c r="T31" s="575" t="s">
        <v>490</v>
      </c>
      <c r="U31" s="575"/>
      <c r="V31" s="575"/>
      <c r="W31" s="492"/>
      <c r="X31" s="576" t="s">
        <v>491</v>
      </c>
      <c r="Y31" s="576"/>
    </row>
    <row r="32" spans="1:25" ht="10.5">
      <c r="A32" s="492"/>
      <c r="B32" s="492"/>
      <c r="C32" s="492"/>
      <c r="D32" s="492"/>
      <c r="E32" s="492"/>
      <c r="F32" s="492"/>
      <c r="G32" s="492"/>
      <c r="H32" s="492"/>
      <c r="I32" s="492"/>
      <c r="J32" s="492"/>
      <c r="K32" s="492"/>
      <c r="L32" s="492"/>
      <c r="M32" s="492"/>
      <c r="N32" s="492"/>
      <c r="O32" s="492"/>
      <c r="P32" s="492"/>
      <c r="Q32" s="492"/>
      <c r="R32" s="492"/>
      <c r="S32" s="492"/>
      <c r="T32" s="492"/>
      <c r="U32" s="492"/>
      <c r="V32" s="492"/>
      <c r="W32" s="492"/>
      <c r="X32" s="492"/>
      <c r="Y32" s="492"/>
    </row>
    <row r="33" spans="1:25" ht="11.25" customHeight="1">
      <c r="A33" s="570" t="s">
        <v>25</v>
      </c>
      <c r="B33" s="570"/>
      <c r="C33" s="570"/>
      <c r="D33" s="570"/>
      <c r="E33" s="570"/>
      <c r="F33" s="570"/>
      <c r="G33" s="570"/>
      <c r="H33" s="570" t="s">
        <v>463</v>
      </c>
      <c r="I33" s="570"/>
      <c r="J33" s="570"/>
      <c r="K33" s="571" t="s">
        <v>226</v>
      </c>
      <c r="L33" s="571"/>
      <c r="M33" s="570" t="s">
        <v>464</v>
      </c>
      <c r="N33" s="570"/>
      <c r="O33" s="492"/>
      <c r="P33" s="568">
        <v>68526</v>
      </c>
      <c r="Q33" s="568"/>
      <c r="R33" s="568"/>
      <c r="S33" s="492"/>
      <c r="T33" s="568">
        <v>0</v>
      </c>
      <c r="U33" s="568"/>
      <c r="V33" s="568"/>
      <c r="W33" s="492"/>
      <c r="X33" s="569">
        <v>68526</v>
      </c>
      <c r="Y33" s="569"/>
    </row>
    <row r="34" spans="1:25" ht="10.5" customHeight="1">
      <c r="A34" s="492"/>
      <c r="B34" s="492"/>
      <c r="C34" s="492"/>
      <c r="D34" s="492"/>
      <c r="E34" s="492"/>
      <c r="F34" s="492"/>
      <c r="G34" s="492"/>
      <c r="H34" s="492"/>
      <c r="I34" s="492"/>
      <c r="J34" s="492"/>
      <c r="K34" s="567"/>
      <c r="L34" s="571"/>
      <c r="M34" s="492"/>
      <c r="N34" s="492"/>
      <c r="O34" s="492"/>
      <c r="P34" s="492"/>
      <c r="Q34" s="492"/>
      <c r="R34" s="492"/>
      <c r="S34" s="492"/>
      <c r="T34" s="492"/>
      <c r="U34" s="492"/>
      <c r="V34" s="492"/>
      <c r="W34" s="492"/>
      <c r="X34" s="492"/>
      <c r="Y34" s="492"/>
    </row>
    <row r="35" spans="1:27" ht="10.5" customHeight="1">
      <c r="A35" s="570" t="s">
        <v>26</v>
      </c>
      <c r="B35" s="570"/>
      <c r="C35" s="570"/>
      <c r="D35" s="570"/>
      <c r="E35" s="570"/>
      <c r="F35" s="570"/>
      <c r="G35" s="570"/>
      <c r="H35" s="570" t="s">
        <v>463</v>
      </c>
      <c r="I35" s="570"/>
      <c r="J35" s="570"/>
      <c r="K35" s="571" t="s">
        <v>226</v>
      </c>
      <c r="L35" s="571"/>
      <c r="M35" s="570" t="s">
        <v>464</v>
      </c>
      <c r="N35" s="570"/>
      <c r="O35" s="492"/>
      <c r="P35" s="568">
        <v>47650.58</v>
      </c>
      <c r="Q35" s="568"/>
      <c r="R35" s="568"/>
      <c r="S35" s="492"/>
      <c r="T35" s="568">
        <v>160</v>
      </c>
      <c r="U35" s="568"/>
      <c r="V35" s="568"/>
      <c r="W35" s="492"/>
      <c r="X35" s="569">
        <v>47490.58</v>
      </c>
      <c r="Y35" s="569"/>
      <c r="Z35">
        <v>160</v>
      </c>
      <c r="AA35" s="493">
        <f>T35-Z35</f>
        <v>0</v>
      </c>
    </row>
    <row r="36" spans="1:25" ht="10.5" customHeight="1">
      <c r="A36" s="492"/>
      <c r="B36" s="492"/>
      <c r="C36" s="492"/>
      <c r="D36" s="492"/>
      <c r="E36" s="492"/>
      <c r="F36" s="492"/>
      <c r="G36" s="492"/>
      <c r="H36" s="492"/>
      <c r="I36" s="492"/>
      <c r="J36" s="492"/>
      <c r="K36" s="567"/>
      <c r="L36" s="571"/>
      <c r="M36" s="492"/>
      <c r="N36" s="492"/>
      <c r="O36" s="492"/>
      <c r="P36" s="492"/>
      <c r="Q36" s="492"/>
      <c r="R36" s="492"/>
      <c r="S36" s="492"/>
      <c r="T36" s="492"/>
      <c r="U36" s="492"/>
      <c r="V36" s="492"/>
      <c r="W36" s="492"/>
      <c r="X36" s="492"/>
      <c r="Y36" s="492"/>
    </row>
    <row r="37" spans="1:25" ht="11.25" customHeight="1">
      <c r="A37" s="570" t="s">
        <v>27</v>
      </c>
      <c r="B37" s="570"/>
      <c r="C37" s="570"/>
      <c r="D37" s="570"/>
      <c r="E37" s="570"/>
      <c r="F37" s="570"/>
      <c r="G37" s="570"/>
      <c r="H37" s="570" t="s">
        <v>463</v>
      </c>
      <c r="I37" s="570"/>
      <c r="J37" s="570"/>
      <c r="K37" s="571" t="s">
        <v>226</v>
      </c>
      <c r="L37" s="571"/>
      <c r="M37" s="570" t="s">
        <v>464</v>
      </c>
      <c r="N37" s="570"/>
      <c r="O37" s="492"/>
      <c r="P37" s="568">
        <v>30695</v>
      </c>
      <c r="Q37" s="568"/>
      <c r="R37" s="568"/>
      <c r="S37" s="492"/>
      <c r="T37" s="568">
        <v>0</v>
      </c>
      <c r="U37" s="568"/>
      <c r="V37" s="568"/>
      <c r="W37" s="492"/>
      <c r="X37" s="569">
        <v>30695</v>
      </c>
      <c r="Y37" s="569"/>
    </row>
    <row r="38" spans="1:25" ht="10.5" customHeight="1">
      <c r="A38" s="492"/>
      <c r="B38" s="492"/>
      <c r="C38" s="492"/>
      <c r="D38" s="492"/>
      <c r="E38" s="492"/>
      <c r="F38" s="492"/>
      <c r="G38" s="492"/>
      <c r="H38" s="492"/>
      <c r="I38" s="492"/>
      <c r="J38" s="492"/>
      <c r="K38" s="567"/>
      <c r="L38" s="571"/>
      <c r="M38" s="492"/>
      <c r="N38" s="492"/>
      <c r="O38" s="492"/>
      <c r="P38" s="492"/>
      <c r="Q38" s="492"/>
      <c r="R38" s="492"/>
      <c r="S38" s="492"/>
      <c r="T38" s="492"/>
      <c r="U38" s="492"/>
      <c r="V38" s="492"/>
      <c r="W38" s="492"/>
      <c r="X38" s="492"/>
      <c r="Y38" s="492"/>
    </row>
    <row r="39" spans="1:25" ht="11.25" customHeight="1">
      <c r="A39" s="570" t="s">
        <v>349</v>
      </c>
      <c r="B39" s="570"/>
      <c r="C39" s="570"/>
      <c r="D39" s="570"/>
      <c r="E39" s="570"/>
      <c r="F39" s="570"/>
      <c r="G39" s="570"/>
      <c r="H39" s="570" t="s">
        <v>463</v>
      </c>
      <c r="I39" s="570"/>
      <c r="J39" s="570"/>
      <c r="K39" s="571" t="s">
        <v>226</v>
      </c>
      <c r="L39" s="571"/>
      <c r="M39" s="570" t="s">
        <v>464</v>
      </c>
      <c r="N39" s="570"/>
      <c r="O39" s="492"/>
      <c r="P39" s="568">
        <v>1125</v>
      </c>
      <c r="Q39" s="568"/>
      <c r="R39" s="568"/>
      <c r="S39" s="492"/>
      <c r="T39" s="568">
        <v>0</v>
      </c>
      <c r="U39" s="568"/>
      <c r="V39" s="568"/>
      <c r="W39" s="492"/>
      <c r="X39" s="569">
        <v>1125</v>
      </c>
      <c r="Y39" s="569"/>
    </row>
    <row r="40" spans="1:25" ht="10.5" customHeight="1">
      <c r="A40" s="492"/>
      <c r="B40" s="492"/>
      <c r="C40" s="492"/>
      <c r="D40" s="492"/>
      <c r="E40" s="492"/>
      <c r="F40" s="492"/>
      <c r="G40" s="492"/>
      <c r="H40" s="492"/>
      <c r="I40" s="492"/>
      <c r="J40" s="492"/>
      <c r="K40" s="567"/>
      <c r="L40" s="571"/>
      <c r="M40" s="492"/>
      <c r="N40" s="492"/>
      <c r="O40" s="492"/>
      <c r="P40" s="492"/>
      <c r="Q40" s="492"/>
      <c r="R40" s="492"/>
      <c r="S40" s="492"/>
      <c r="T40" s="492"/>
      <c r="U40" s="492"/>
      <c r="V40" s="492"/>
      <c r="W40" s="492"/>
      <c r="X40" s="492"/>
      <c r="Y40" s="492"/>
    </row>
    <row r="41" spans="1:27" ht="11.25" customHeight="1">
      <c r="A41" s="570" t="s">
        <v>29</v>
      </c>
      <c r="B41" s="570"/>
      <c r="C41" s="570"/>
      <c r="D41" s="570"/>
      <c r="E41" s="570"/>
      <c r="F41" s="570"/>
      <c r="G41" s="570"/>
      <c r="H41" s="570" t="s">
        <v>463</v>
      </c>
      <c r="I41" s="570"/>
      <c r="J41" s="570"/>
      <c r="K41" s="571" t="s">
        <v>226</v>
      </c>
      <c r="L41" s="571"/>
      <c r="M41" s="570" t="s">
        <v>464</v>
      </c>
      <c r="N41" s="570"/>
      <c r="O41" s="492"/>
      <c r="P41" s="568">
        <v>51287</v>
      </c>
      <c r="Q41" s="568"/>
      <c r="R41" s="568"/>
      <c r="S41" s="492"/>
      <c r="T41" s="568">
        <v>369</v>
      </c>
      <c r="U41" s="568"/>
      <c r="V41" s="568"/>
      <c r="W41" s="492"/>
      <c r="X41" s="569">
        <v>50918</v>
      </c>
      <c r="Y41" s="569"/>
      <c r="Z41">
        <v>369</v>
      </c>
      <c r="AA41" s="494">
        <f>T41-Z41</f>
        <v>0</v>
      </c>
    </row>
    <row r="42" spans="1:25" ht="10.5" customHeight="1">
      <c r="A42" s="492"/>
      <c r="B42" s="492"/>
      <c r="C42" s="492"/>
      <c r="D42" s="492"/>
      <c r="E42" s="492"/>
      <c r="F42" s="492"/>
      <c r="G42" s="492"/>
      <c r="H42" s="492"/>
      <c r="I42" s="492"/>
      <c r="J42" s="492"/>
      <c r="K42" s="567"/>
      <c r="L42" s="571"/>
      <c r="M42" s="492"/>
      <c r="N42" s="492"/>
      <c r="O42" s="492"/>
      <c r="P42" s="492"/>
      <c r="Q42" s="492"/>
      <c r="R42" s="492"/>
      <c r="S42" s="492"/>
      <c r="T42" s="492"/>
      <c r="U42" s="492"/>
      <c r="V42" s="492"/>
      <c r="W42" s="492"/>
      <c r="X42" s="492"/>
      <c r="Y42" s="492"/>
    </row>
    <row r="43" spans="1:25" ht="11.25" customHeight="1">
      <c r="A43" s="570" t="s">
        <v>31</v>
      </c>
      <c r="B43" s="570"/>
      <c r="C43" s="570"/>
      <c r="D43" s="570"/>
      <c r="E43" s="570"/>
      <c r="F43" s="570"/>
      <c r="G43" s="570"/>
      <c r="H43" s="570" t="s">
        <v>463</v>
      </c>
      <c r="I43" s="570"/>
      <c r="J43" s="570"/>
      <c r="K43" s="571" t="s">
        <v>226</v>
      </c>
      <c r="L43" s="571"/>
      <c r="M43" s="570" t="s">
        <v>464</v>
      </c>
      <c r="N43" s="570"/>
      <c r="O43" s="492"/>
      <c r="P43" s="568">
        <v>12904</v>
      </c>
      <c r="Q43" s="568"/>
      <c r="R43" s="568"/>
      <c r="S43" s="492"/>
      <c r="T43" s="568">
        <v>0</v>
      </c>
      <c r="U43" s="568"/>
      <c r="V43" s="568"/>
      <c r="W43" s="492"/>
      <c r="X43" s="569">
        <v>12904</v>
      </c>
      <c r="Y43" s="569"/>
    </row>
    <row r="44" spans="1:25" ht="10.5" customHeight="1">
      <c r="A44" s="492"/>
      <c r="B44" s="492"/>
      <c r="C44" s="492"/>
      <c r="D44" s="492"/>
      <c r="E44" s="492"/>
      <c r="F44" s="492"/>
      <c r="G44" s="492"/>
      <c r="H44" s="492"/>
      <c r="I44" s="492"/>
      <c r="J44" s="492"/>
      <c r="K44" s="567"/>
      <c r="L44" s="571"/>
      <c r="M44" s="492"/>
      <c r="N44" s="492"/>
      <c r="O44" s="492"/>
      <c r="P44" s="492"/>
      <c r="Q44" s="492"/>
      <c r="R44" s="492"/>
      <c r="S44" s="492"/>
      <c r="T44" s="492"/>
      <c r="U44" s="492"/>
      <c r="V44" s="492"/>
      <c r="W44" s="492"/>
      <c r="X44" s="492"/>
      <c r="Y44" s="492"/>
    </row>
    <row r="45" spans="1:25" ht="11.25" customHeight="1">
      <c r="A45" s="570" t="s">
        <v>32</v>
      </c>
      <c r="B45" s="570"/>
      <c r="C45" s="570"/>
      <c r="D45" s="570"/>
      <c r="E45" s="570"/>
      <c r="F45" s="570"/>
      <c r="G45" s="570"/>
      <c r="H45" s="570" t="s">
        <v>463</v>
      </c>
      <c r="I45" s="570"/>
      <c r="J45" s="570"/>
      <c r="K45" s="571" t="s">
        <v>226</v>
      </c>
      <c r="L45" s="571"/>
      <c r="M45" s="570" t="s">
        <v>464</v>
      </c>
      <c r="N45" s="570"/>
      <c r="O45" s="492"/>
      <c r="P45" s="568">
        <v>7907</v>
      </c>
      <c r="Q45" s="568"/>
      <c r="R45" s="568"/>
      <c r="S45" s="492"/>
      <c r="T45" s="568">
        <v>0</v>
      </c>
      <c r="U45" s="568"/>
      <c r="V45" s="568"/>
      <c r="W45" s="492"/>
      <c r="X45" s="569">
        <v>7907</v>
      </c>
      <c r="Y45" s="569"/>
    </row>
    <row r="46" spans="1:25" ht="10.5" customHeight="1">
      <c r="A46" s="492"/>
      <c r="B46" s="492"/>
      <c r="C46" s="492"/>
      <c r="D46" s="492"/>
      <c r="E46" s="492"/>
      <c r="F46" s="492"/>
      <c r="G46" s="492"/>
      <c r="H46" s="492"/>
      <c r="I46" s="492"/>
      <c r="J46" s="492"/>
      <c r="K46" s="567"/>
      <c r="L46" s="571"/>
      <c r="M46" s="492"/>
      <c r="N46" s="492"/>
      <c r="O46" s="492"/>
      <c r="P46" s="492"/>
      <c r="Q46" s="492"/>
      <c r="R46" s="492"/>
      <c r="S46" s="492"/>
      <c r="T46" s="492"/>
      <c r="U46" s="492"/>
      <c r="V46" s="492"/>
      <c r="W46" s="492"/>
      <c r="X46" s="492"/>
      <c r="Y46" s="492"/>
    </row>
    <row r="47" spans="1:27" ht="11.25" customHeight="1">
      <c r="A47" s="570" t="s">
        <v>33</v>
      </c>
      <c r="B47" s="570"/>
      <c r="C47" s="570"/>
      <c r="D47" s="570"/>
      <c r="E47" s="570"/>
      <c r="F47" s="570"/>
      <c r="G47" s="570"/>
      <c r="H47" s="570" t="s">
        <v>463</v>
      </c>
      <c r="I47" s="570"/>
      <c r="J47" s="570"/>
      <c r="K47" s="571" t="s">
        <v>226</v>
      </c>
      <c r="L47" s="571"/>
      <c r="M47" s="570" t="s">
        <v>464</v>
      </c>
      <c r="N47" s="570"/>
      <c r="O47" s="492"/>
      <c r="P47" s="568">
        <v>36981</v>
      </c>
      <c r="Q47" s="568"/>
      <c r="R47" s="568"/>
      <c r="S47" s="492"/>
      <c r="T47" s="568">
        <v>659</v>
      </c>
      <c r="U47" s="568"/>
      <c r="V47" s="568"/>
      <c r="W47" s="492"/>
      <c r="X47" s="569">
        <v>36322</v>
      </c>
      <c r="Y47" s="569"/>
      <c r="Z47">
        <v>659</v>
      </c>
      <c r="AA47" s="494">
        <f>T47-Z47</f>
        <v>0</v>
      </c>
    </row>
    <row r="48" spans="1:25" ht="10.5" customHeight="1">
      <c r="A48" s="492"/>
      <c r="B48" s="492"/>
      <c r="C48" s="492"/>
      <c r="D48" s="492"/>
      <c r="E48" s="492"/>
      <c r="F48" s="492"/>
      <c r="G48" s="492"/>
      <c r="H48" s="492"/>
      <c r="I48" s="492"/>
      <c r="J48" s="492"/>
      <c r="K48" s="567"/>
      <c r="L48" s="571"/>
      <c r="M48" s="492"/>
      <c r="N48" s="492"/>
      <c r="O48" s="492"/>
      <c r="P48" s="492"/>
      <c r="Q48" s="492"/>
      <c r="R48" s="492"/>
      <c r="S48" s="492"/>
      <c r="T48" s="492"/>
      <c r="U48" s="492"/>
      <c r="V48" s="492"/>
      <c r="W48" s="492"/>
      <c r="X48" s="492"/>
      <c r="Y48" s="492"/>
    </row>
    <row r="49" spans="1:27" ht="11.25" customHeight="1">
      <c r="A49" s="570" t="s">
        <v>34</v>
      </c>
      <c r="B49" s="570"/>
      <c r="C49" s="570"/>
      <c r="D49" s="570"/>
      <c r="E49" s="570"/>
      <c r="F49" s="570"/>
      <c r="G49" s="570"/>
      <c r="H49" s="570" t="s">
        <v>463</v>
      </c>
      <c r="I49" s="570"/>
      <c r="J49" s="570"/>
      <c r="K49" s="571" t="s">
        <v>226</v>
      </c>
      <c r="L49" s="571"/>
      <c r="M49" s="570" t="s">
        <v>464</v>
      </c>
      <c r="N49" s="570"/>
      <c r="O49" s="492"/>
      <c r="P49" s="568">
        <v>42265</v>
      </c>
      <c r="Q49" s="568"/>
      <c r="R49" s="568"/>
      <c r="S49" s="492"/>
      <c r="T49" s="568">
        <v>980</v>
      </c>
      <c r="U49" s="568"/>
      <c r="V49" s="568"/>
      <c r="W49" s="492"/>
      <c r="X49" s="569">
        <v>41285</v>
      </c>
      <c r="Y49" s="569"/>
      <c r="Z49">
        <v>980</v>
      </c>
      <c r="AA49" s="494">
        <f>T49-Z49</f>
        <v>0</v>
      </c>
    </row>
    <row r="50" spans="1:25" ht="10.5" customHeight="1">
      <c r="A50" s="492"/>
      <c r="B50" s="492"/>
      <c r="C50" s="492"/>
      <c r="D50" s="492"/>
      <c r="E50" s="492"/>
      <c r="F50" s="492"/>
      <c r="G50" s="492"/>
      <c r="H50" s="492"/>
      <c r="I50" s="492"/>
      <c r="J50" s="492"/>
      <c r="K50" s="567"/>
      <c r="L50" s="571"/>
      <c r="M50" s="492"/>
      <c r="N50" s="492"/>
      <c r="O50" s="492"/>
      <c r="P50" s="492"/>
      <c r="Q50" s="492"/>
      <c r="R50" s="492"/>
      <c r="S50" s="492"/>
      <c r="T50" s="492"/>
      <c r="U50" s="492"/>
      <c r="V50" s="492"/>
      <c r="W50" s="492"/>
      <c r="X50" s="492"/>
      <c r="Y50" s="492"/>
    </row>
    <row r="51" spans="1:25" ht="11.25" customHeight="1">
      <c r="A51" s="570" t="s">
        <v>35</v>
      </c>
      <c r="B51" s="570"/>
      <c r="C51" s="570"/>
      <c r="D51" s="570"/>
      <c r="E51" s="570"/>
      <c r="F51" s="570"/>
      <c r="G51" s="570"/>
      <c r="H51" s="570" t="s">
        <v>463</v>
      </c>
      <c r="I51" s="570"/>
      <c r="J51" s="570"/>
      <c r="K51" s="571" t="s">
        <v>226</v>
      </c>
      <c r="L51" s="571"/>
      <c r="M51" s="570" t="s">
        <v>464</v>
      </c>
      <c r="N51" s="570"/>
      <c r="O51" s="492"/>
      <c r="P51" s="568">
        <v>13500</v>
      </c>
      <c r="Q51" s="568"/>
      <c r="R51" s="568"/>
      <c r="S51" s="492"/>
      <c r="T51" s="568">
        <v>0</v>
      </c>
      <c r="U51" s="568"/>
      <c r="V51" s="568"/>
      <c r="W51" s="492"/>
      <c r="X51" s="569">
        <v>13500</v>
      </c>
      <c r="Y51" s="569"/>
    </row>
    <row r="52" spans="1:25" ht="10.5" customHeight="1">
      <c r="A52" s="492"/>
      <c r="B52" s="492"/>
      <c r="C52" s="492"/>
      <c r="D52" s="492"/>
      <c r="E52" s="492"/>
      <c r="F52" s="492"/>
      <c r="G52" s="492"/>
      <c r="H52" s="492"/>
      <c r="I52" s="492"/>
      <c r="J52" s="492"/>
      <c r="K52" s="567"/>
      <c r="L52" s="571"/>
      <c r="M52" s="492"/>
      <c r="N52" s="492"/>
      <c r="O52" s="492"/>
      <c r="P52" s="492"/>
      <c r="Q52" s="492"/>
      <c r="R52" s="492"/>
      <c r="S52" s="492"/>
      <c r="T52" s="492"/>
      <c r="U52" s="492"/>
      <c r="V52" s="492"/>
      <c r="W52" s="492"/>
      <c r="X52" s="492"/>
      <c r="Y52" s="492"/>
    </row>
    <row r="53" spans="1:27" ht="11.25" customHeight="1">
      <c r="A53" s="492"/>
      <c r="B53" s="492"/>
      <c r="C53" s="492"/>
      <c r="D53" s="492"/>
      <c r="E53" s="492"/>
      <c r="F53" s="492"/>
      <c r="G53" s="492"/>
      <c r="H53" s="492"/>
      <c r="I53" s="492"/>
      <c r="J53" s="492"/>
      <c r="K53" s="492"/>
      <c r="L53" s="492"/>
      <c r="M53" s="492"/>
      <c r="N53" s="492"/>
      <c r="O53" s="492"/>
      <c r="P53" s="492"/>
      <c r="Q53" s="492"/>
      <c r="R53" s="492"/>
      <c r="S53" s="492"/>
      <c r="T53" s="492"/>
      <c r="U53" s="492"/>
      <c r="V53" s="492"/>
      <c r="W53" s="492"/>
      <c r="X53" s="492"/>
      <c r="Y53" s="492"/>
      <c r="Z53" t="s">
        <v>99</v>
      </c>
      <c r="AA53" s="493" t="s">
        <v>99</v>
      </c>
    </row>
    <row r="54" spans="1:26" ht="10.5" customHeight="1">
      <c r="A54" s="492"/>
      <c r="B54" s="492"/>
      <c r="C54" s="492"/>
      <c r="D54" s="492"/>
      <c r="E54" s="492"/>
      <c r="F54" s="492"/>
      <c r="G54" s="492"/>
      <c r="H54" s="492"/>
      <c r="I54" s="492"/>
      <c r="J54" s="492"/>
      <c r="K54" s="492"/>
      <c r="L54" s="492"/>
      <c r="M54" s="492"/>
      <c r="N54" s="492"/>
      <c r="O54" s="565">
        <v>312840.58</v>
      </c>
      <c r="P54" s="565"/>
      <c r="Q54" s="565"/>
      <c r="R54" s="565"/>
      <c r="S54" s="492"/>
      <c r="T54" s="565">
        <v>2168</v>
      </c>
      <c r="U54" s="565"/>
      <c r="V54" s="565"/>
      <c r="W54" s="492"/>
      <c r="X54" s="565">
        <v>310672.58</v>
      </c>
      <c r="Y54" s="565"/>
      <c r="Z54" s="160">
        <f>SUM(Z33:Z51)</f>
        <v>2168</v>
      </c>
    </row>
    <row r="55" spans="1:27" ht="11.25" customHeight="1">
      <c r="A55" s="492"/>
      <c r="B55" s="492"/>
      <c r="C55" s="492"/>
      <c r="D55" s="492"/>
      <c r="E55" s="492"/>
      <c r="F55" s="492"/>
      <c r="G55" s="492"/>
      <c r="H55" s="492"/>
      <c r="I55" s="492"/>
      <c r="J55" s="492"/>
      <c r="K55" s="492"/>
      <c r="L55" s="492"/>
      <c r="M55" s="492"/>
      <c r="N55" s="492"/>
      <c r="O55" s="492"/>
      <c r="P55" s="492"/>
      <c r="Q55" s="492"/>
      <c r="R55" s="492"/>
      <c r="S55" s="492"/>
      <c r="T55" s="492"/>
      <c r="U55" s="492"/>
      <c r="V55" s="492"/>
      <c r="W55" s="492"/>
      <c r="X55" s="492"/>
      <c r="Y55" s="492"/>
      <c r="Z55" t="s">
        <v>99</v>
      </c>
      <c r="AA55" s="493" t="s">
        <v>99</v>
      </c>
    </row>
    <row r="56" spans="1:25" ht="10.5" customHeight="1">
      <c r="A56" s="492"/>
      <c r="B56" s="492"/>
      <c r="C56" s="492"/>
      <c r="D56" s="492"/>
      <c r="E56" s="492"/>
      <c r="F56" s="492"/>
      <c r="G56" s="492"/>
      <c r="H56" s="492"/>
      <c r="I56" s="492"/>
      <c r="J56" s="492"/>
      <c r="K56" s="492"/>
      <c r="L56" s="492"/>
      <c r="M56" s="492"/>
      <c r="N56" s="492"/>
      <c r="O56" s="492"/>
      <c r="P56" s="492"/>
      <c r="Q56" s="492"/>
      <c r="R56" s="492"/>
      <c r="S56" s="492"/>
      <c r="T56" s="492"/>
      <c r="U56" s="492"/>
      <c r="V56" s="492"/>
      <c r="W56" s="492"/>
      <c r="X56" s="492"/>
      <c r="Y56" s="492"/>
    </row>
    <row r="57" spans="1:25" ht="11.25" customHeight="1">
      <c r="A57" s="492"/>
      <c r="B57" s="566" t="s">
        <v>479</v>
      </c>
      <c r="C57" s="566"/>
      <c r="D57" s="566"/>
      <c r="E57" s="566"/>
      <c r="F57" s="566"/>
      <c r="G57" s="566"/>
      <c r="H57" s="566"/>
      <c r="I57" s="566"/>
      <c r="J57" s="566"/>
      <c r="K57" s="566"/>
      <c r="L57" s="566"/>
      <c r="M57" s="566"/>
      <c r="N57" s="492"/>
      <c r="O57" s="572">
        <v>348245.34</v>
      </c>
      <c r="P57" s="572"/>
      <c r="Q57" s="572"/>
      <c r="R57" s="572"/>
      <c r="S57" s="492"/>
      <c r="T57" s="572">
        <v>2402.68</v>
      </c>
      <c r="U57" s="572"/>
      <c r="V57" s="572"/>
      <c r="W57" s="492"/>
      <c r="X57" s="565">
        <v>345842.66</v>
      </c>
      <c r="Y57" s="565"/>
    </row>
    <row r="58" spans="1:25" ht="10.5" customHeight="1">
      <c r="A58" s="492"/>
      <c r="B58" s="567"/>
      <c r="C58" s="566"/>
      <c r="D58" s="566"/>
      <c r="E58" s="566"/>
      <c r="F58" s="566"/>
      <c r="G58" s="566"/>
      <c r="H58" s="566"/>
      <c r="I58" s="566"/>
      <c r="J58" s="566"/>
      <c r="K58" s="566"/>
      <c r="L58" s="566"/>
      <c r="M58" s="566"/>
      <c r="N58" s="492"/>
      <c r="O58" s="492"/>
      <c r="P58" s="492"/>
      <c r="Q58" s="492"/>
      <c r="R58" s="492"/>
      <c r="S58" s="492"/>
      <c r="T58" s="492"/>
      <c r="U58" s="492"/>
      <c r="V58" s="492"/>
      <c r="W58" s="492"/>
      <c r="X58" s="492"/>
      <c r="Y58" s="492"/>
    </row>
    <row r="59" spans="1:25" ht="10.5">
      <c r="A59" s="492"/>
      <c r="B59" s="492"/>
      <c r="C59" s="492"/>
      <c r="D59" s="492"/>
      <c r="E59" s="492"/>
      <c r="F59" s="492"/>
      <c r="G59" s="492"/>
      <c r="H59" s="492"/>
      <c r="I59" s="492"/>
      <c r="J59" s="492"/>
      <c r="K59" s="492"/>
      <c r="L59" s="492"/>
      <c r="M59" s="492"/>
      <c r="N59" s="492"/>
      <c r="O59" s="492"/>
      <c r="P59" s="492"/>
      <c r="Q59" s="492"/>
      <c r="R59" s="492"/>
      <c r="S59" s="492"/>
      <c r="T59" s="492"/>
      <c r="U59" s="492"/>
      <c r="V59" s="492"/>
      <c r="W59" s="492"/>
      <c r="X59" s="492"/>
      <c r="Y59" s="492"/>
    </row>
    <row r="60" spans="1:25" ht="12">
      <c r="A60" s="573" t="s">
        <v>211</v>
      </c>
      <c r="B60" s="573"/>
      <c r="C60" s="573"/>
      <c r="D60" s="492"/>
      <c r="E60" s="571" t="s">
        <v>492</v>
      </c>
      <c r="F60" s="571"/>
      <c r="G60" s="571"/>
      <c r="H60" s="571"/>
      <c r="I60" s="571"/>
      <c r="J60" s="571"/>
      <c r="K60" s="571"/>
      <c r="L60" s="571"/>
      <c r="M60" s="571"/>
      <c r="N60" s="571"/>
      <c r="O60" s="571"/>
      <c r="P60" s="571"/>
      <c r="Q60" s="492"/>
      <c r="R60" s="492"/>
      <c r="S60" s="492"/>
      <c r="T60" s="492"/>
      <c r="U60" s="492"/>
      <c r="V60" s="492"/>
      <c r="W60" s="492"/>
      <c r="X60" s="492"/>
      <c r="Y60" s="492"/>
    </row>
    <row r="61" spans="1:25" ht="10.5">
      <c r="A61" s="567"/>
      <c r="B61" s="573"/>
      <c r="C61" s="573"/>
      <c r="D61" s="492"/>
      <c r="E61" s="492"/>
      <c r="F61" s="492"/>
      <c r="G61" s="492"/>
      <c r="H61" s="492"/>
      <c r="I61" s="492"/>
      <c r="J61" s="492"/>
      <c r="K61" s="492"/>
      <c r="L61" s="492"/>
      <c r="M61" s="492"/>
      <c r="N61" s="492"/>
      <c r="O61" s="492"/>
      <c r="P61" s="492"/>
      <c r="Q61" s="492"/>
      <c r="R61" s="492"/>
      <c r="S61" s="492"/>
      <c r="T61" s="492"/>
      <c r="U61" s="492"/>
      <c r="V61" s="492"/>
      <c r="W61" s="492"/>
      <c r="X61" s="492"/>
      <c r="Y61" s="492"/>
    </row>
    <row r="62" spans="1:25" ht="12">
      <c r="A62" s="492"/>
      <c r="B62" s="492"/>
      <c r="C62" s="573" t="s">
        <v>213</v>
      </c>
      <c r="D62" s="573"/>
      <c r="E62" s="573"/>
      <c r="F62" s="573"/>
      <c r="G62" s="492"/>
      <c r="H62" s="571" t="s">
        <v>214</v>
      </c>
      <c r="I62" s="571"/>
      <c r="J62" s="571"/>
      <c r="K62" s="571"/>
      <c r="L62" s="571"/>
      <c r="M62" s="571"/>
      <c r="N62" s="571"/>
      <c r="O62" s="571"/>
      <c r="P62" s="571"/>
      <c r="Q62" s="571"/>
      <c r="R62" s="571"/>
      <c r="S62" s="571"/>
      <c r="T62" s="492"/>
      <c r="U62" s="492"/>
      <c r="V62" s="492"/>
      <c r="W62" s="492"/>
      <c r="X62" s="492"/>
      <c r="Y62" s="492"/>
    </row>
    <row r="63" spans="1:25" ht="12" customHeight="1">
      <c r="A63" s="573" t="s">
        <v>215</v>
      </c>
      <c r="B63" s="573"/>
      <c r="C63" s="573"/>
      <c r="D63" s="573"/>
      <c r="E63" s="573"/>
      <c r="F63" s="492"/>
      <c r="G63" s="492"/>
      <c r="H63" s="492"/>
      <c r="I63" s="574" t="s">
        <v>488</v>
      </c>
      <c r="J63" s="574"/>
      <c r="K63" s="574"/>
      <c r="L63" s="574"/>
      <c r="M63" s="574"/>
      <c r="N63" s="574"/>
      <c r="O63" s="575" t="s">
        <v>489</v>
      </c>
      <c r="P63" s="575"/>
      <c r="Q63" s="575"/>
      <c r="R63" s="575"/>
      <c r="S63" s="492"/>
      <c r="T63" s="575" t="s">
        <v>490</v>
      </c>
      <c r="U63" s="575"/>
      <c r="V63" s="575"/>
      <c r="W63" s="492"/>
      <c r="X63" s="576" t="s">
        <v>491</v>
      </c>
      <c r="Y63" s="576"/>
    </row>
    <row r="64" spans="1:25" ht="10.5">
      <c r="A64" s="492"/>
      <c r="B64" s="492"/>
      <c r="C64" s="492"/>
      <c r="D64" s="492"/>
      <c r="E64" s="492"/>
      <c r="F64" s="492"/>
      <c r="G64" s="492"/>
      <c r="H64" s="492"/>
      <c r="I64" s="492"/>
      <c r="J64" s="492"/>
      <c r="K64" s="492"/>
      <c r="L64" s="492"/>
      <c r="M64" s="492"/>
      <c r="N64" s="492"/>
      <c r="O64" s="492"/>
      <c r="P64" s="492"/>
      <c r="Q64" s="492"/>
      <c r="R64" s="492"/>
      <c r="S64" s="492"/>
      <c r="T64" s="492"/>
      <c r="U64" s="492"/>
      <c r="V64" s="492"/>
      <c r="W64" s="492"/>
      <c r="X64" s="492"/>
      <c r="Y64" s="492"/>
    </row>
    <row r="65" spans="1:27" ht="11.25" customHeight="1">
      <c r="A65" s="570" t="s">
        <v>36</v>
      </c>
      <c r="B65" s="570"/>
      <c r="C65" s="570"/>
      <c r="D65" s="570"/>
      <c r="E65" s="570"/>
      <c r="F65" s="570"/>
      <c r="G65" s="570"/>
      <c r="H65" s="570" t="s">
        <v>463</v>
      </c>
      <c r="I65" s="570"/>
      <c r="J65" s="570"/>
      <c r="K65" s="571" t="s">
        <v>226</v>
      </c>
      <c r="L65" s="571"/>
      <c r="M65" s="570" t="s">
        <v>464</v>
      </c>
      <c r="N65" s="570"/>
      <c r="O65" s="492"/>
      <c r="P65" s="568">
        <v>34557</v>
      </c>
      <c r="Q65" s="568"/>
      <c r="R65" s="568"/>
      <c r="S65" s="492"/>
      <c r="T65" s="568">
        <v>794</v>
      </c>
      <c r="U65" s="568"/>
      <c r="V65" s="568"/>
      <c r="W65" s="492"/>
      <c r="X65" s="569">
        <v>33763</v>
      </c>
      <c r="Y65" s="569"/>
      <c r="Z65">
        <v>794</v>
      </c>
      <c r="AA65" s="493">
        <f>T65-Z65</f>
        <v>0</v>
      </c>
    </row>
    <row r="66" spans="1:25" ht="10.5" customHeight="1">
      <c r="A66" s="492"/>
      <c r="B66" s="492"/>
      <c r="C66" s="492"/>
      <c r="D66" s="492"/>
      <c r="E66" s="492"/>
      <c r="F66" s="492"/>
      <c r="G66" s="492"/>
      <c r="H66" s="492"/>
      <c r="I66" s="492"/>
      <c r="J66" s="492"/>
      <c r="K66" s="567"/>
      <c r="L66" s="571"/>
      <c r="M66" s="492"/>
      <c r="N66" s="492"/>
      <c r="O66" s="492"/>
      <c r="P66" s="492"/>
      <c r="Q66" s="492"/>
      <c r="R66" s="492"/>
      <c r="S66" s="492"/>
      <c r="T66" s="492"/>
      <c r="U66" s="492"/>
      <c r="V66" s="492"/>
      <c r="W66" s="492"/>
      <c r="X66" s="492"/>
      <c r="Y66" s="492"/>
    </row>
    <row r="67" spans="1:27" ht="11.25" customHeight="1">
      <c r="A67" s="570" t="s">
        <v>37</v>
      </c>
      <c r="B67" s="570"/>
      <c r="C67" s="570"/>
      <c r="D67" s="570"/>
      <c r="E67" s="570"/>
      <c r="F67" s="570"/>
      <c r="G67" s="570"/>
      <c r="H67" s="570" t="s">
        <v>463</v>
      </c>
      <c r="I67" s="570"/>
      <c r="J67" s="570"/>
      <c r="K67" s="571" t="s">
        <v>226</v>
      </c>
      <c r="L67" s="571"/>
      <c r="M67" s="570" t="s">
        <v>464</v>
      </c>
      <c r="N67" s="570"/>
      <c r="O67" s="492"/>
      <c r="P67" s="568">
        <v>10000</v>
      </c>
      <c r="Q67" s="568"/>
      <c r="R67" s="568"/>
      <c r="S67" s="492"/>
      <c r="T67" s="568">
        <v>0</v>
      </c>
      <c r="U67" s="568"/>
      <c r="V67" s="568"/>
      <c r="W67" s="492"/>
      <c r="X67" s="569">
        <v>10000</v>
      </c>
      <c r="Y67" s="569"/>
      <c r="Z67" t="s">
        <v>99</v>
      </c>
      <c r="AA67" s="493" t="s">
        <v>99</v>
      </c>
    </row>
    <row r="68" spans="1:25" ht="10.5" customHeight="1">
      <c r="A68" s="492"/>
      <c r="B68" s="492"/>
      <c r="C68" s="492"/>
      <c r="D68" s="492"/>
      <c r="E68" s="492"/>
      <c r="F68" s="492"/>
      <c r="G68" s="492"/>
      <c r="H68" s="492"/>
      <c r="I68" s="492"/>
      <c r="J68" s="492"/>
      <c r="K68" s="567"/>
      <c r="L68" s="571"/>
      <c r="M68" s="492"/>
      <c r="N68" s="492"/>
      <c r="O68" s="492"/>
      <c r="P68" s="492"/>
      <c r="Q68" s="492"/>
      <c r="R68" s="492"/>
      <c r="S68" s="492"/>
      <c r="T68" s="492"/>
      <c r="U68" s="492"/>
      <c r="V68" s="492"/>
      <c r="W68" s="492"/>
      <c r="X68" s="492"/>
      <c r="Y68" s="492"/>
    </row>
    <row r="69" spans="1:25" ht="11.25" customHeight="1">
      <c r="A69" s="570" t="s">
        <v>31</v>
      </c>
      <c r="B69" s="570"/>
      <c r="C69" s="570"/>
      <c r="D69" s="570"/>
      <c r="E69" s="570"/>
      <c r="F69" s="570"/>
      <c r="G69" s="570"/>
      <c r="H69" s="570" t="s">
        <v>463</v>
      </c>
      <c r="I69" s="570"/>
      <c r="J69" s="570"/>
      <c r="K69" s="571" t="s">
        <v>226</v>
      </c>
      <c r="L69" s="571"/>
      <c r="M69" s="570" t="s">
        <v>464</v>
      </c>
      <c r="N69" s="570"/>
      <c r="O69" s="492"/>
      <c r="P69" s="568">
        <v>2475</v>
      </c>
      <c r="Q69" s="568"/>
      <c r="R69" s="568"/>
      <c r="S69" s="492"/>
      <c r="T69" s="568">
        <v>0</v>
      </c>
      <c r="U69" s="568"/>
      <c r="V69" s="568"/>
      <c r="W69" s="492"/>
      <c r="X69" s="569">
        <v>2475</v>
      </c>
      <c r="Y69" s="569"/>
    </row>
    <row r="70" spans="1:25" ht="10.5" customHeight="1">
      <c r="A70" s="492"/>
      <c r="B70" s="492"/>
      <c r="C70" s="492"/>
      <c r="D70" s="492"/>
      <c r="E70" s="492"/>
      <c r="F70" s="492"/>
      <c r="G70" s="492"/>
      <c r="H70" s="492"/>
      <c r="I70" s="492"/>
      <c r="J70" s="492"/>
      <c r="K70" s="567"/>
      <c r="L70" s="571"/>
      <c r="M70" s="492"/>
      <c r="N70" s="492"/>
      <c r="O70" s="492"/>
      <c r="P70" s="492"/>
      <c r="Q70" s="492"/>
      <c r="R70" s="492"/>
      <c r="S70" s="492"/>
      <c r="T70" s="492"/>
      <c r="U70" s="492"/>
      <c r="V70" s="492"/>
      <c r="W70" s="492"/>
      <c r="X70" s="492"/>
      <c r="Y70" s="492"/>
    </row>
    <row r="71" spans="1:25" ht="11.25" customHeight="1">
      <c r="A71" s="570" t="s">
        <v>32</v>
      </c>
      <c r="B71" s="570"/>
      <c r="C71" s="570"/>
      <c r="D71" s="570"/>
      <c r="E71" s="570"/>
      <c r="F71" s="570"/>
      <c r="G71" s="570"/>
      <c r="H71" s="570" t="s">
        <v>463</v>
      </c>
      <c r="I71" s="570"/>
      <c r="J71" s="570"/>
      <c r="K71" s="571" t="s">
        <v>226</v>
      </c>
      <c r="L71" s="571"/>
      <c r="M71" s="570" t="s">
        <v>464</v>
      </c>
      <c r="N71" s="570"/>
      <c r="O71" s="492"/>
      <c r="P71" s="568">
        <v>2271.86</v>
      </c>
      <c r="Q71" s="568"/>
      <c r="R71" s="568"/>
      <c r="S71" s="492"/>
      <c r="T71" s="568">
        <v>0</v>
      </c>
      <c r="U71" s="568"/>
      <c r="V71" s="568"/>
      <c r="W71" s="492"/>
      <c r="X71" s="569">
        <v>2271.86</v>
      </c>
      <c r="Y71" s="569"/>
    </row>
    <row r="72" spans="1:25" ht="10.5" customHeight="1">
      <c r="A72" s="492"/>
      <c r="B72" s="492"/>
      <c r="C72" s="492"/>
      <c r="D72" s="492"/>
      <c r="E72" s="492"/>
      <c r="F72" s="492"/>
      <c r="G72" s="492"/>
      <c r="H72" s="492"/>
      <c r="I72" s="492"/>
      <c r="J72" s="492"/>
      <c r="K72" s="567"/>
      <c r="L72" s="571"/>
      <c r="M72" s="492"/>
      <c r="N72" s="492"/>
      <c r="O72" s="492"/>
      <c r="P72" s="492"/>
      <c r="Q72" s="492"/>
      <c r="R72" s="492"/>
      <c r="S72" s="492"/>
      <c r="T72" s="492"/>
      <c r="U72" s="492"/>
      <c r="V72" s="492"/>
      <c r="W72" s="492"/>
      <c r="X72" s="492"/>
      <c r="Y72" s="492"/>
    </row>
    <row r="73" spans="1:25" ht="11.25" customHeight="1">
      <c r="A73" s="570" t="s">
        <v>38</v>
      </c>
      <c r="B73" s="570"/>
      <c r="C73" s="570"/>
      <c r="D73" s="570"/>
      <c r="E73" s="570"/>
      <c r="F73" s="570"/>
      <c r="G73" s="570"/>
      <c r="H73" s="570" t="s">
        <v>463</v>
      </c>
      <c r="I73" s="570"/>
      <c r="J73" s="570"/>
      <c r="K73" s="571" t="s">
        <v>226</v>
      </c>
      <c r="L73" s="571"/>
      <c r="M73" s="570" t="s">
        <v>464</v>
      </c>
      <c r="N73" s="570"/>
      <c r="O73" s="492"/>
      <c r="P73" s="568">
        <v>6380</v>
      </c>
      <c r="Q73" s="568"/>
      <c r="R73" s="568"/>
      <c r="S73" s="492"/>
      <c r="T73" s="568">
        <v>0</v>
      </c>
      <c r="U73" s="568"/>
      <c r="V73" s="568"/>
      <c r="W73" s="492"/>
      <c r="X73" s="569">
        <v>6380</v>
      </c>
      <c r="Y73" s="569"/>
    </row>
    <row r="74" spans="1:25" ht="10.5" customHeight="1">
      <c r="A74" s="492"/>
      <c r="B74" s="492"/>
      <c r="C74" s="492"/>
      <c r="D74" s="492"/>
      <c r="E74" s="492"/>
      <c r="F74" s="492"/>
      <c r="G74" s="492"/>
      <c r="H74" s="492"/>
      <c r="I74" s="492"/>
      <c r="J74" s="492"/>
      <c r="K74" s="567"/>
      <c r="L74" s="571"/>
      <c r="M74" s="492"/>
      <c r="N74" s="492"/>
      <c r="O74" s="492"/>
      <c r="P74" s="492"/>
      <c r="Q74" s="492"/>
      <c r="R74" s="492"/>
      <c r="S74" s="492"/>
      <c r="T74" s="492"/>
      <c r="U74" s="492"/>
      <c r="V74" s="492"/>
      <c r="W74" s="492"/>
      <c r="X74" s="492"/>
      <c r="Y74" s="492"/>
    </row>
    <row r="75" spans="1:25" ht="11.25" customHeight="1">
      <c r="A75" s="492"/>
      <c r="B75" s="492"/>
      <c r="C75" s="492"/>
      <c r="D75" s="492"/>
      <c r="E75" s="492"/>
      <c r="F75" s="492"/>
      <c r="G75" s="492"/>
      <c r="H75" s="492"/>
      <c r="I75" s="492"/>
      <c r="J75" s="492"/>
      <c r="K75" s="492"/>
      <c r="L75" s="492"/>
      <c r="M75" s="492"/>
      <c r="N75" s="492"/>
      <c r="O75" s="492"/>
      <c r="P75" s="492"/>
      <c r="Q75" s="492"/>
      <c r="R75" s="492"/>
      <c r="S75" s="492"/>
      <c r="T75" s="492"/>
      <c r="U75" s="492"/>
      <c r="V75" s="492"/>
      <c r="W75" s="492"/>
      <c r="X75" s="492"/>
      <c r="Y75" s="492"/>
    </row>
    <row r="76" spans="1:26" ht="10.5" customHeight="1">
      <c r="A76" s="492"/>
      <c r="B76" s="492"/>
      <c r="C76" s="492"/>
      <c r="D76" s="492"/>
      <c r="E76" s="492"/>
      <c r="F76" s="492"/>
      <c r="G76" s="492"/>
      <c r="H76" s="492"/>
      <c r="I76" s="492"/>
      <c r="J76" s="492"/>
      <c r="K76" s="492"/>
      <c r="L76" s="492"/>
      <c r="M76" s="492"/>
      <c r="N76" s="492"/>
      <c r="O76" s="565">
        <v>55683.86</v>
      </c>
      <c r="P76" s="565"/>
      <c r="Q76" s="565"/>
      <c r="R76" s="565"/>
      <c r="S76" s="492"/>
      <c r="T76" s="565">
        <v>794</v>
      </c>
      <c r="U76" s="565"/>
      <c r="V76" s="565"/>
      <c r="W76" s="492"/>
      <c r="X76" s="565">
        <v>54889.86</v>
      </c>
      <c r="Y76" s="565"/>
      <c r="Z76">
        <f>SUM(Z65:Z73)</f>
        <v>794</v>
      </c>
    </row>
    <row r="77" spans="1:25" ht="11.25" customHeight="1">
      <c r="A77" s="492"/>
      <c r="B77" s="492"/>
      <c r="C77" s="492"/>
      <c r="D77" s="492"/>
      <c r="E77" s="492"/>
      <c r="F77" s="492"/>
      <c r="G77" s="492"/>
      <c r="H77" s="492"/>
      <c r="I77" s="492"/>
      <c r="J77" s="492"/>
      <c r="K77" s="492"/>
      <c r="L77" s="492"/>
      <c r="M77" s="492"/>
      <c r="N77" s="492"/>
      <c r="O77" s="492"/>
      <c r="P77" s="492"/>
      <c r="Q77" s="492"/>
      <c r="R77" s="492"/>
      <c r="S77" s="492"/>
      <c r="T77" s="492"/>
      <c r="U77" s="492"/>
      <c r="V77" s="492"/>
      <c r="W77" s="492"/>
      <c r="X77" s="492"/>
      <c r="Y77" s="492"/>
    </row>
    <row r="78" spans="1:25" ht="10.5" customHeight="1">
      <c r="A78" s="492"/>
      <c r="B78" s="492"/>
      <c r="C78" s="573" t="s">
        <v>213</v>
      </c>
      <c r="D78" s="573"/>
      <c r="E78" s="573"/>
      <c r="F78" s="573"/>
      <c r="G78" s="492"/>
      <c r="H78" s="571" t="s">
        <v>228</v>
      </c>
      <c r="I78" s="571"/>
      <c r="J78" s="571"/>
      <c r="K78" s="571"/>
      <c r="L78" s="571"/>
      <c r="M78" s="571"/>
      <c r="N78" s="571"/>
      <c r="O78" s="571"/>
      <c r="P78" s="571"/>
      <c r="Q78" s="571"/>
      <c r="R78" s="571"/>
      <c r="S78" s="571"/>
      <c r="T78" s="492"/>
      <c r="U78" s="492"/>
      <c r="V78" s="492"/>
      <c r="W78" s="492"/>
      <c r="X78" s="492"/>
      <c r="Y78" s="492"/>
    </row>
    <row r="79" spans="1:25" ht="11.25" customHeight="1">
      <c r="A79" s="573" t="s">
        <v>215</v>
      </c>
      <c r="B79" s="573"/>
      <c r="C79" s="573"/>
      <c r="D79" s="573"/>
      <c r="E79" s="573"/>
      <c r="F79" s="492"/>
      <c r="G79" s="492"/>
      <c r="H79" s="492"/>
      <c r="I79" s="574" t="s">
        <v>488</v>
      </c>
      <c r="J79" s="574"/>
      <c r="K79" s="574"/>
      <c r="L79" s="574"/>
      <c r="M79" s="574"/>
      <c r="N79" s="574"/>
      <c r="O79" s="575" t="s">
        <v>489</v>
      </c>
      <c r="P79" s="575"/>
      <c r="Q79" s="575"/>
      <c r="R79" s="575"/>
      <c r="S79" s="492"/>
      <c r="T79" s="575" t="s">
        <v>490</v>
      </c>
      <c r="U79" s="575"/>
      <c r="V79" s="575"/>
      <c r="W79" s="492"/>
      <c r="X79" s="576" t="s">
        <v>491</v>
      </c>
      <c r="Y79" s="576"/>
    </row>
    <row r="80" spans="1:25" ht="10.5" customHeight="1">
      <c r="A80" s="492"/>
      <c r="B80" s="492"/>
      <c r="C80" s="492"/>
      <c r="D80" s="492"/>
      <c r="E80" s="492"/>
      <c r="F80" s="492"/>
      <c r="G80" s="492"/>
      <c r="H80" s="492"/>
      <c r="I80" s="492"/>
      <c r="J80" s="492"/>
      <c r="K80" s="492"/>
      <c r="L80" s="492"/>
      <c r="M80" s="492"/>
      <c r="N80" s="492"/>
      <c r="O80" s="492"/>
      <c r="P80" s="492"/>
      <c r="Q80" s="492"/>
      <c r="R80" s="492"/>
      <c r="S80" s="492"/>
      <c r="T80" s="492"/>
      <c r="U80" s="492"/>
      <c r="V80" s="492"/>
      <c r="W80" s="492"/>
      <c r="X80" s="492"/>
      <c r="Y80" s="492"/>
    </row>
    <row r="81" spans="1:27" ht="11.25" customHeight="1">
      <c r="A81" s="570" t="s">
        <v>36</v>
      </c>
      <c r="B81" s="570"/>
      <c r="C81" s="570"/>
      <c r="D81" s="570"/>
      <c r="E81" s="570"/>
      <c r="F81" s="570"/>
      <c r="G81" s="570"/>
      <c r="H81" s="570" t="s">
        <v>463</v>
      </c>
      <c r="I81" s="570"/>
      <c r="J81" s="570"/>
      <c r="K81" s="571" t="s">
        <v>226</v>
      </c>
      <c r="L81" s="571"/>
      <c r="M81" s="570" t="s">
        <v>464</v>
      </c>
      <c r="N81" s="570"/>
      <c r="O81" s="492"/>
      <c r="P81" s="568">
        <v>123800</v>
      </c>
      <c r="Q81" s="568"/>
      <c r="R81" s="568"/>
      <c r="S81" s="492"/>
      <c r="T81" s="568">
        <v>9814</v>
      </c>
      <c r="U81" s="568"/>
      <c r="V81" s="568"/>
      <c r="W81" s="492"/>
      <c r="X81" s="569">
        <v>113986</v>
      </c>
      <c r="Y81" s="569"/>
      <c r="Z81">
        <v>9814</v>
      </c>
      <c r="AA81" s="493">
        <f>T81-Z81</f>
        <v>0</v>
      </c>
    </row>
    <row r="82" spans="1:25" ht="10.5" customHeight="1">
      <c r="A82" s="492"/>
      <c r="B82" s="492"/>
      <c r="C82" s="492"/>
      <c r="D82" s="492"/>
      <c r="E82" s="492"/>
      <c r="F82" s="492"/>
      <c r="G82" s="492"/>
      <c r="H82" s="492"/>
      <c r="I82" s="492"/>
      <c r="J82" s="492"/>
      <c r="K82" s="567"/>
      <c r="L82" s="571"/>
      <c r="M82" s="492"/>
      <c r="N82" s="492"/>
      <c r="O82" s="492"/>
      <c r="P82" s="492"/>
      <c r="Q82" s="492"/>
      <c r="R82" s="492"/>
      <c r="S82" s="492"/>
      <c r="T82" s="492"/>
      <c r="U82" s="492"/>
      <c r="V82" s="492"/>
      <c r="W82" s="492"/>
      <c r="X82" s="492"/>
      <c r="Y82" s="492"/>
    </row>
    <row r="83" spans="1:25" ht="11.25" customHeight="1">
      <c r="A83" s="570" t="s">
        <v>37</v>
      </c>
      <c r="B83" s="570"/>
      <c r="C83" s="570"/>
      <c r="D83" s="570"/>
      <c r="E83" s="570"/>
      <c r="F83" s="570"/>
      <c r="G83" s="570"/>
      <c r="H83" s="570" t="s">
        <v>463</v>
      </c>
      <c r="I83" s="570"/>
      <c r="J83" s="570"/>
      <c r="K83" s="571" t="s">
        <v>226</v>
      </c>
      <c r="L83" s="571"/>
      <c r="M83" s="570" t="s">
        <v>464</v>
      </c>
      <c r="N83" s="570"/>
      <c r="O83" s="492"/>
      <c r="P83" s="568">
        <v>90000</v>
      </c>
      <c r="Q83" s="568"/>
      <c r="R83" s="568"/>
      <c r="S83" s="492"/>
      <c r="T83" s="568">
        <v>0</v>
      </c>
      <c r="U83" s="568"/>
      <c r="V83" s="568"/>
      <c r="W83" s="492"/>
      <c r="X83" s="569">
        <v>90000</v>
      </c>
      <c r="Y83" s="569"/>
    </row>
    <row r="84" spans="1:25" ht="10.5" customHeight="1">
      <c r="A84" s="492"/>
      <c r="B84" s="492"/>
      <c r="C84" s="492"/>
      <c r="D84" s="492"/>
      <c r="E84" s="492"/>
      <c r="F84" s="492"/>
      <c r="G84" s="492"/>
      <c r="H84" s="492"/>
      <c r="I84" s="492"/>
      <c r="J84" s="492"/>
      <c r="K84" s="567"/>
      <c r="L84" s="571"/>
      <c r="M84" s="492"/>
      <c r="N84" s="492"/>
      <c r="O84" s="492"/>
      <c r="P84" s="492"/>
      <c r="Q84" s="492"/>
      <c r="R84" s="492"/>
      <c r="S84" s="492"/>
      <c r="T84" s="492"/>
      <c r="U84" s="492"/>
      <c r="V84" s="492"/>
      <c r="W84" s="492"/>
      <c r="X84" s="492"/>
      <c r="Y84" s="492"/>
    </row>
    <row r="85" spans="1:27" ht="11.25" customHeight="1">
      <c r="A85" s="570" t="s">
        <v>31</v>
      </c>
      <c r="B85" s="570"/>
      <c r="C85" s="570"/>
      <c r="D85" s="570"/>
      <c r="E85" s="570"/>
      <c r="F85" s="570"/>
      <c r="G85" s="570"/>
      <c r="H85" s="570" t="s">
        <v>463</v>
      </c>
      <c r="I85" s="570"/>
      <c r="J85" s="570"/>
      <c r="K85" s="571" t="s">
        <v>226</v>
      </c>
      <c r="L85" s="571"/>
      <c r="M85" s="570" t="s">
        <v>464</v>
      </c>
      <c r="N85" s="570"/>
      <c r="O85" s="492"/>
      <c r="P85" s="568">
        <v>22275</v>
      </c>
      <c r="Q85" s="568"/>
      <c r="R85" s="568"/>
      <c r="S85" s="492"/>
      <c r="T85" s="568">
        <v>0</v>
      </c>
      <c r="U85" s="568"/>
      <c r="V85" s="568"/>
      <c r="W85" s="492"/>
      <c r="X85" s="569">
        <v>22275</v>
      </c>
      <c r="Y85" s="569"/>
      <c r="Z85" t="s">
        <v>99</v>
      </c>
      <c r="AA85" s="493" t="s">
        <v>99</v>
      </c>
    </row>
    <row r="86" spans="1:25" ht="10.5" customHeight="1">
      <c r="A86" s="492"/>
      <c r="B86" s="492"/>
      <c r="C86" s="492"/>
      <c r="D86" s="492"/>
      <c r="E86" s="492"/>
      <c r="F86" s="492"/>
      <c r="G86" s="492"/>
      <c r="H86" s="492"/>
      <c r="I86" s="492"/>
      <c r="J86" s="492"/>
      <c r="K86" s="567"/>
      <c r="L86" s="571"/>
      <c r="M86" s="492"/>
      <c r="N86" s="492"/>
      <c r="O86" s="492"/>
      <c r="P86" s="492"/>
      <c r="Q86" s="492"/>
      <c r="R86" s="492"/>
      <c r="S86" s="492"/>
      <c r="T86" s="492"/>
      <c r="U86" s="492"/>
      <c r="V86" s="492"/>
      <c r="W86" s="492"/>
      <c r="X86" s="492"/>
      <c r="Y86" s="492"/>
    </row>
    <row r="87" spans="1:27" ht="11.25" customHeight="1">
      <c r="A87" s="570" t="s">
        <v>32</v>
      </c>
      <c r="B87" s="570"/>
      <c r="C87" s="570"/>
      <c r="D87" s="570"/>
      <c r="E87" s="570"/>
      <c r="F87" s="570"/>
      <c r="G87" s="570"/>
      <c r="H87" s="570" t="s">
        <v>463</v>
      </c>
      <c r="I87" s="570"/>
      <c r="J87" s="570"/>
      <c r="K87" s="571" t="s">
        <v>226</v>
      </c>
      <c r="L87" s="571"/>
      <c r="M87" s="570" t="s">
        <v>464</v>
      </c>
      <c r="N87" s="570"/>
      <c r="O87" s="492"/>
      <c r="P87" s="568">
        <v>12192</v>
      </c>
      <c r="Q87" s="568"/>
      <c r="R87" s="568"/>
      <c r="S87" s="492"/>
      <c r="T87" s="568">
        <v>0</v>
      </c>
      <c r="U87" s="568"/>
      <c r="V87" s="568"/>
      <c r="W87" s="492"/>
      <c r="X87" s="569">
        <v>12192</v>
      </c>
      <c r="Y87" s="569"/>
      <c r="Z87" t="s">
        <v>99</v>
      </c>
      <c r="AA87" s="493" t="s">
        <v>99</v>
      </c>
    </row>
    <row r="88" spans="1:25" ht="10.5" customHeight="1">
      <c r="A88" s="492"/>
      <c r="B88" s="492"/>
      <c r="C88" s="492"/>
      <c r="D88" s="492"/>
      <c r="E88" s="492"/>
      <c r="F88" s="492"/>
      <c r="G88" s="492"/>
      <c r="H88" s="492"/>
      <c r="I88" s="492"/>
      <c r="J88" s="492"/>
      <c r="K88" s="567"/>
      <c r="L88" s="571"/>
      <c r="M88" s="492"/>
      <c r="N88" s="492"/>
      <c r="O88" s="492"/>
      <c r="P88" s="492"/>
      <c r="Q88" s="492"/>
      <c r="R88" s="492"/>
      <c r="S88" s="492"/>
      <c r="T88" s="492"/>
      <c r="U88" s="492"/>
      <c r="V88" s="492"/>
      <c r="W88" s="492"/>
      <c r="X88" s="492"/>
      <c r="Y88" s="492"/>
    </row>
    <row r="89" spans="1:27" ht="11.25" customHeight="1">
      <c r="A89" s="570" t="s">
        <v>38</v>
      </c>
      <c r="B89" s="570"/>
      <c r="C89" s="570"/>
      <c r="D89" s="570"/>
      <c r="E89" s="570"/>
      <c r="F89" s="570"/>
      <c r="G89" s="570"/>
      <c r="H89" s="570" t="s">
        <v>463</v>
      </c>
      <c r="I89" s="570"/>
      <c r="J89" s="570"/>
      <c r="K89" s="571" t="s">
        <v>226</v>
      </c>
      <c r="L89" s="571"/>
      <c r="M89" s="570" t="s">
        <v>464</v>
      </c>
      <c r="N89" s="570"/>
      <c r="O89" s="492"/>
      <c r="P89" s="568">
        <v>57416</v>
      </c>
      <c r="Q89" s="568"/>
      <c r="R89" s="568"/>
      <c r="S89" s="492"/>
      <c r="T89" s="568">
        <v>4226.89</v>
      </c>
      <c r="U89" s="568"/>
      <c r="V89" s="568"/>
      <c r="W89" s="492"/>
      <c r="X89" s="569">
        <v>53189.11</v>
      </c>
      <c r="Y89" s="569"/>
      <c r="Z89">
        <v>4226.89</v>
      </c>
      <c r="AA89" s="493">
        <f>T89-Z89</f>
        <v>0</v>
      </c>
    </row>
    <row r="90" spans="1:25" ht="10.5" customHeight="1">
      <c r="A90" s="492"/>
      <c r="B90" s="492"/>
      <c r="C90" s="492"/>
      <c r="D90" s="492"/>
      <c r="E90" s="492"/>
      <c r="F90" s="492"/>
      <c r="G90" s="492"/>
      <c r="H90" s="492"/>
      <c r="I90" s="492"/>
      <c r="J90" s="492"/>
      <c r="K90" s="567"/>
      <c r="L90" s="571"/>
      <c r="M90" s="492"/>
      <c r="N90" s="492"/>
      <c r="O90" s="492"/>
      <c r="P90" s="492"/>
      <c r="Q90" s="492"/>
      <c r="R90" s="492"/>
      <c r="S90" s="492"/>
      <c r="T90" s="492"/>
      <c r="U90" s="492"/>
      <c r="V90" s="492"/>
      <c r="W90" s="492"/>
      <c r="X90" s="492"/>
      <c r="Y90" s="492"/>
    </row>
    <row r="91" spans="1:25" ht="10.5">
      <c r="A91" s="492"/>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row>
    <row r="92" spans="1:26" ht="11.25">
      <c r="A92" s="492"/>
      <c r="B92" s="492"/>
      <c r="C92" s="492"/>
      <c r="D92" s="492"/>
      <c r="E92" s="492"/>
      <c r="F92" s="492"/>
      <c r="G92" s="492"/>
      <c r="H92" s="492"/>
      <c r="I92" s="492"/>
      <c r="J92" s="492"/>
      <c r="K92" s="492"/>
      <c r="L92" s="492"/>
      <c r="M92" s="492"/>
      <c r="N92" s="492"/>
      <c r="O92" s="565">
        <v>305683</v>
      </c>
      <c r="P92" s="565"/>
      <c r="Q92" s="565"/>
      <c r="R92" s="565"/>
      <c r="S92" s="492"/>
      <c r="T92" s="565">
        <v>14040.89</v>
      </c>
      <c r="U92" s="565"/>
      <c r="V92" s="565"/>
      <c r="W92" s="492"/>
      <c r="X92" s="565">
        <v>291642.11</v>
      </c>
      <c r="Y92" s="565"/>
      <c r="Z92">
        <f>SUM(Z81:Z89)</f>
        <v>14040.89</v>
      </c>
    </row>
    <row r="93" spans="1:25" ht="10.5">
      <c r="A93" s="492"/>
      <c r="B93" s="492"/>
      <c r="C93" s="492"/>
      <c r="D93" s="492"/>
      <c r="E93" s="492"/>
      <c r="F93" s="492"/>
      <c r="G93" s="492"/>
      <c r="H93" s="492"/>
      <c r="I93" s="492"/>
      <c r="J93" s="492"/>
      <c r="K93" s="492"/>
      <c r="L93" s="492"/>
      <c r="M93" s="492"/>
      <c r="N93" s="492"/>
      <c r="O93" s="492"/>
      <c r="P93" s="492"/>
      <c r="Q93" s="492"/>
      <c r="R93" s="492"/>
      <c r="S93" s="492"/>
      <c r="T93" s="492"/>
      <c r="U93" s="492"/>
      <c r="V93" s="492"/>
      <c r="W93" s="492"/>
      <c r="X93" s="492"/>
      <c r="Y93" s="492"/>
    </row>
    <row r="94" spans="1:25" ht="10.5">
      <c r="A94" s="492"/>
      <c r="B94" s="492"/>
      <c r="C94" s="492"/>
      <c r="D94" s="492"/>
      <c r="E94" s="492"/>
      <c r="F94" s="492"/>
      <c r="G94" s="492"/>
      <c r="H94" s="492"/>
      <c r="I94" s="492"/>
      <c r="J94" s="492"/>
      <c r="K94" s="492"/>
      <c r="L94" s="492"/>
      <c r="M94" s="492"/>
      <c r="N94" s="492"/>
      <c r="O94" s="492"/>
      <c r="P94" s="492"/>
      <c r="Q94" s="492"/>
      <c r="R94" s="492"/>
      <c r="S94" s="492"/>
      <c r="T94" s="492"/>
      <c r="U94" s="492"/>
      <c r="V94" s="492"/>
      <c r="W94" s="492"/>
      <c r="X94" s="492"/>
      <c r="Y94" s="492"/>
    </row>
    <row r="95" spans="1:25" ht="11.25" customHeight="1">
      <c r="A95" s="492"/>
      <c r="B95" s="566" t="s">
        <v>493</v>
      </c>
      <c r="C95" s="566"/>
      <c r="D95" s="566"/>
      <c r="E95" s="566"/>
      <c r="F95" s="566"/>
      <c r="G95" s="566"/>
      <c r="H95" s="566"/>
      <c r="I95" s="566"/>
      <c r="J95" s="566"/>
      <c r="K95" s="566"/>
      <c r="L95" s="566"/>
      <c r="M95" s="566"/>
      <c r="N95" s="492"/>
      <c r="O95" s="572">
        <v>361366.86</v>
      </c>
      <c r="P95" s="572"/>
      <c r="Q95" s="572"/>
      <c r="R95" s="572"/>
      <c r="S95" s="492"/>
      <c r="T95" s="572">
        <v>14834.89</v>
      </c>
      <c r="U95" s="572"/>
      <c r="V95" s="572"/>
      <c r="W95" s="492"/>
      <c r="X95" s="565">
        <v>346531.97</v>
      </c>
      <c r="Y95" s="565"/>
    </row>
    <row r="96" spans="1:25" ht="10.5" customHeight="1">
      <c r="A96" s="492"/>
      <c r="B96" s="567"/>
      <c r="C96" s="566"/>
      <c r="D96" s="566"/>
      <c r="E96" s="566"/>
      <c r="F96" s="566"/>
      <c r="G96" s="566"/>
      <c r="H96" s="566"/>
      <c r="I96" s="566"/>
      <c r="J96" s="566"/>
      <c r="K96" s="566"/>
      <c r="L96" s="566"/>
      <c r="M96" s="566"/>
      <c r="N96" s="492"/>
      <c r="O96" s="492"/>
      <c r="P96" s="492"/>
      <c r="Q96" s="492"/>
      <c r="R96" s="492"/>
      <c r="S96" s="492"/>
      <c r="T96" s="492"/>
      <c r="U96" s="492"/>
      <c r="V96" s="492"/>
      <c r="W96" s="492"/>
      <c r="X96" s="492"/>
      <c r="Y96" s="492"/>
    </row>
    <row r="97" spans="1:25" ht="10.5">
      <c r="A97" s="492"/>
      <c r="B97" s="492"/>
      <c r="C97" s="492"/>
      <c r="D97" s="492"/>
      <c r="E97" s="492"/>
      <c r="F97" s="492"/>
      <c r="G97" s="492"/>
      <c r="H97" s="492"/>
      <c r="I97" s="492"/>
      <c r="J97" s="492"/>
      <c r="K97" s="492"/>
      <c r="L97" s="492"/>
      <c r="M97" s="492"/>
      <c r="N97" s="492"/>
      <c r="O97" s="492"/>
      <c r="P97" s="492"/>
      <c r="Q97" s="492"/>
      <c r="R97" s="492"/>
      <c r="S97" s="492"/>
      <c r="T97" s="492"/>
      <c r="U97" s="492"/>
      <c r="V97" s="492"/>
      <c r="W97" s="492"/>
      <c r="X97" s="492"/>
      <c r="Y97" s="492"/>
    </row>
    <row r="98" spans="1:25" ht="12">
      <c r="A98" s="573" t="s">
        <v>211</v>
      </c>
      <c r="B98" s="573"/>
      <c r="C98" s="573"/>
      <c r="D98" s="492"/>
      <c r="E98" s="571" t="s">
        <v>462</v>
      </c>
      <c r="F98" s="571"/>
      <c r="G98" s="571"/>
      <c r="H98" s="571"/>
      <c r="I98" s="571"/>
      <c r="J98" s="571"/>
      <c r="K98" s="571"/>
      <c r="L98" s="571"/>
      <c r="M98" s="571"/>
      <c r="N98" s="571"/>
      <c r="O98" s="571"/>
      <c r="P98" s="571"/>
      <c r="Q98" s="492"/>
      <c r="R98" s="492"/>
      <c r="S98" s="492"/>
      <c r="T98" s="492"/>
      <c r="U98" s="492"/>
      <c r="V98" s="492"/>
      <c r="W98" s="492"/>
      <c r="X98" s="492"/>
      <c r="Y98" s="492"/>
    </row>
    <row r="99" spans="1:25" ht="10.5" customHeight="1">
      <c r="A99" s="567"/>
      <c r="B99" s="573"/>
      <c r="C99" s="573"/>
      <c r="D99" s="492"/>
      <c r="E99" s="492"/>
      <c r="F99" s="492"/>
      <c r="G99" s="492"/>
      <c r="H99" s="492"/>
      <c r="I99" s="492"/>
      <c r="J99" s="492"/>
      <c r="K99" s="492"/>
      <c r="L99" s="492"/>
      <c r="M99" s="492"/>
      <c r="N99" s="492"/>
      <c r="O99" s="492"/>
      <c r="P99" s="492"/>
      <c r="Q99" s="492"/>
      <c r="R99" s="492"/>
      <c r="S99" s="492"/>
      <c r="T99" s="492"/>
      <c r="U99" s="492"/>
      <c r="V99" s="492"/>
      <c r="W99" s="492"/>
      <c r="X99" s="492"/>
      <c r="Y99" s="492"/>
    </row>
    <row r="100" spans="1:25" ht="12">
      <c r="A100" s="492"/>
      <c r="B100" s="492"/>
      <c r="C100" s="573" t="s">
        <v>213</v>
      </c>
      <c r="D100" s="573"/>
      <c r="E100" s="573"/>
      <c r="F100" s="573"/>
      <c r="G100" s="492"/>
      <c r="H100" s="571" t="s">
        <v>75</v>
      </c>
      <c r="I100" s="571"/>
      <c r="J100" s="571"/>
      <c r="K100" s="571"/>
      <c r="L100" s="571"/>
      <c r="M100" s="571"/>
      <c r="N100" s="571"/>
      <c r="O100" s="571"/>
      <c r="P100" s="571"/>
      <c r="Q100" s="571"/>
      <c r="R100" s="571"/>
      <c r="S100" s="571"/>
      <c r="T100" s="492"/>
      <c r="U100" s="492"/>
      <c r="V100" s="492"/>
      <c r="W100" s="492"/>
      <c r="X100" s="492"/>
      <c r="Y100" s="492"/>
    </row>
    <row r="101" spans="1:25" ht="12" customHeight="1">
      <c r="A101" s="573" t="s">
        <v>215</v>
      </c>
      <c r="B101" s="573"/>
      <c r="C101" s="573"/>
      <c r="D101" s="573"/>
      <c r="E101" s="573"/>
      <c r="F101" s="492"/>
      <c r="G101" s="492"/>
      <c r="H101" s="492"/>
      <c r="I101" s="574" t="s">
        <v>488</v>
      </c>
      <c r="J101" s="574"/>
      <c r="K101" s="574"/>
      <c r="L101" s="574"/>
      <c r="M101" s="574"/>
      <c r="N101" s="574"/>
      <c r="O101" s="575" t="s">
        <v>489</v>
      </c>
      <c r="P101" s="575"/>
      <c r="Q101" s="575"/>
      <c r="R101" s="575"/>
      <c r="S101" s="492"/>
      <c r="T101" s="575" t="s">
        <v>490</v>
      </c>
      <c r="U101" s="575"/>
      <c r="V101" s="575"/>
      <c r="W101" s="492"/>
      <c r="X101" s="576" t="s">
        <v>491</v>
      </c>
      <c r="Y101" s="576"/>
    </row>
    <row r="102" spans="1:25" ht="10.5">
      <c r="A102" s="492"/>
      <c r="B102" s="492"/>
      <c r="C102" s="492"/>
      <c r="D102" s="492"/>
      <c r="E102" s="492"/>
      <c r="F102" s="492"/>
      <c r="G102" s="492"/>
      <c r="H102" s="492"/>
      <c r="I102" s="492"/>
      <c r="J102" s="492"/>
      <c r="K102" s="492"/>
      <c r="L102" s="492"/>
      <c r="M102" s="492"/>
      <c r="N102" s="492"/>
      <c r="O102" s="492"/>
      <c r="P102" s="492"/>
      <c r="Q102" s="492"/>
      <c r="R102" s="492"/>
      <c r="S102" s="492"/>
      <c r="T102" s="492"/>
      <c r="U102" s="492"/>
      <c r="V102" s="492"/>
      <c r="W102" s="492"/>
      <c r="X102" s="492"/>
      <c r="Y102" s="492"/>
    </row>
    <row r="103" spans="1:27" ht="11.25" customHeight="1">
      <c r="A103" s="570" t="s">
        <v>25</v>
      </c>
      <c r="B103" s="570"/>
      <c r="C103" s="570"/>
      <c r="D103" s="570"/>
      <c r="E103" s="570"/>
      <c r="F103" s="570"/>
      <c r="G103" s="570"/>
      <c r="H103" s="570" t="s">
        <v>463</v>
      </c>
      <c r="I103" s="570"/>
      <c r="J103" s="570"/>
      <c r="K103" s="571" t="s">
        <v>226</v>
      </c>
      <c r="L103" s="571"/>
      <c r="M103" s="570" t="s">
        <v>464</v>
      </c>
      <c r="N103" s="570"/>
      <c r="O103" s="492"/>
      <c r="P103" s="568">
        <v>17429</v>
      </c>
      <c r="Q103" s="568"/>
      <c r="R103" s="568"/>
      <c r="S103" s="492"/>
      <c r="T103" s="568">
        <v>0</v>
      </c>
      <c r="U103" s="568"/>
      <c r="V103" s="568"/>
      <c r="W103" s="492"/>
      <c r="X103" s="569">
        <v>17429</v>
      </c>
      <c r="Y103" s="569"/>
      <c r="Z103" t="s">
        <v>99</v>
      </c>
      <c r="AA103" s="494" t="s">
        <v>99</v>
      </c>
    </row>
    <row r="104" spans="1:25" ht="10.5" customHeight="1">
      <c r="A104" s="492"/>
      <c r="B104" s="492"/>
      <c r="C104" s="492"/>
      <c r="D104" s="492"/>
      <c r="E104" s="492"/>
      <c r="F104" s="492"/>
      <c r="G104" s="492"/>
      <c r="H104" s="492"/>
      <c r="I104" s="492"/>
      <c r="J104" s="492"/>
      <c r="K104" s="567"/>
      <c r="L104" s="571"/>
      <c r="M104" s="492"/>
      <c r="N104" s="492"/>
      <c r="O104" s="492"/>
      <c r="P104" s="492"/>
      <c r="Q104" s="492"/>
      <c r="R104" s="492"/>
      <c r="S104" s="492"/>
      <c r="T104" s="492"/>
      <c r="U104" s="492"/>
      <c r="V104" s="492"/>
      <c r="W104" s="492"/>
      <c r="X104" s="492"/>
      <c r="Y104" s="492"/>
    </row>
    <row r="105" spans="1:27" ht="11.25" customHeight="1">
      <c r="A105" s="570" t="s">
        <v>26</v>
      </c>
      <c r="B105" s="570"/>
      <c r="C105" s="570"/>
      <c r="D105" s="570"/>
      <c r="E105" s="570"/>
      <c r="F105" s="570"/>
      <c r="G105" s="570"/>
      <c r="H105" s="570" t="s">
        <v>463</v>
      </c>
      <c r="I105" s="570"/>
      <c r="J105" s="570"/>
      <c r="K105" s="571" t="s">
        <v>226</v>
      </c>
      <c r="L105" s="571"/>
      <c r="M105" s="570" t="s">
        <v>464</v>
      </c>
      <c r="N105" s="570"/>
      <c r="O105" s="492"/>
      <c r="P105" s="568">
        <v>13473.57</v>
      </c>
      <c r="Q105" s="568"/>
      <c r="R105" s="568"/>
      <c r="S105" s="492"/>
      <c r="T105" s="568">
        <v>1013.66</v>
      </c>
      <c r="U105" s="568"/>
      <c r="V105" s="568"/>
      <c r="W105" s="492"/>
      <c r="X105" s="569">
        <v>12459.91</v>
      </c>
      <c r="Y105" s="569"/>
      <c r="Z105">
        <v>1013.66</v>
      </c>
      <c r="AA105" s="493">
        <f>T105-Z105</f>
        <v>0</v>
      </c>
    </row>
    <row r="106" spans="1:25" ht="10.5" customHeight="1">
      <c r="A106" s="492"/>
      <c r="B106" s="492"/>
      <c r="C106" s="492"/>
      <c r="D106" s="492"/>
      <c r="E106" s="492"/>
      <c r="F106" s="492"/>
      <c r="G106" s="492"/>
      <c r="H106" s="492"/>
      <c r="I106" s="492"/>
      <c r="J106" s="492"/>
      <c r="K106" s="567"/>
      <c r="L106" s="571"/>
      <c r="M106" s="492"/>
      <c r="N106" s="492"/>
      <c r="O106" s="492"/>
      <c r="P106" s="492"/>
      <c r="Q106" s="492"/>
      <c r="R106" s="492"/>
      <c r="S106" s="492"/>
      <c r="T106" s="492"/>
      <c r="U106" s="492"/>
      <c r="V106" s="492"/>
      <c r="W106" s="492"/>
      <c r="X106" s="492"/>
      <c r="Y106" s="492"/>
    </row>
    <row r="107" spans="1:25" ht="11.25" customHeight="1">
      <c r="A107" s="570" t="s">
        <v>27</v>
      </c>
      <c r="B107" s="570"/>
      <c r="C107" s="570"/>
      <c r="D107" s="570"/>
      <c r="E107" s="570"/>
      <c r="F107" s="570"/>
      <c r="G107" s="570"/>
      <c r="H107" s="570" t="s">
        <v>463</v>
      </c>
      <c r="I107" s="570"/>
      <c r="J107" s="570"/>
      <c r="K107" s="571" t="s">
        <v>226</v>
      </c>
      <c r="L107" s="571"/>
      <c r="M107" s="570" t="s">
        <v>464</v>
      </c>
      <c r="N107" s="570"/>
      <c r="O107" s="492"/>
      <c r="P107" s="568">
        <v>4480</v>
      </c>
      <c r="Q107" s="568"/>
      <c r="R107" s="568"/>
      <c r="S107" s="492"/>
      <c r="T107" s="568">
        <v>0</v>
      </c>
      <c r="U107" s="568"/>
      <c r="V107" s="568"/>
      <c r="W107" s="492"/>
      <c r="X107" s="569">
        <v>4480</v>
      </c>
      <c r="Y107" s="569"/>
    </row>
    <row r="108" spans="1:25" ht="10.5" customHeight="1">
      <c r="A108" s="492"/>
      <c r="B108" s="492"/>
      <c r="C108" s="492"/>
      <c r="D108" s="492"/>
      <c r="E108" s="492"/>
      <c r="F108" s="492"/>
      <c r="G108" s="492"/>
      <c r="H108" s="492"/>
      <c r="I108" s="492"/>
      <c r="J108" s="492"/>
      <c r="K108" s="567"/>
      <c r="L108" s="571"/>
      <c r="M108" s="492"/>
      <c r="N108" s="492"/>
      <c r="O108" s="492"/>
      <c r="P108" s="492"/>
      <c r="Q108" s="492"/>
      <c r="R108" s="492"/>
      <c r="S108" s="492"/>
      <c r="T108" s="492"/>
      <c r="U108" s="492"/>
      <c r="V108" s="492"/>
      <c r="W108" s="492"/>
      <c r="X108" s="492"/>
      <c r="Y108" s="492"/>
    </row>
    <row r="109" spans="1:25" ht="11.25" customHeight="1">
      <c r="A109" s="570" t="s">
        <v>349</v>
      </c>
      <c r="B109" s="570"/>
      <c r="C109" s="570"/>
      <c r="D109" s="570"/>
      <c r="E109" s="570"/>
      <c r="F109" s="570"/>
      <c r="G109" s="570"/>
      <c r="H109" s="570" t="s">
        <v>463</v>
      </c>
      <c r="I109" s="570"/>
      <c r="J109" s="570"/>
      <c r="K109" s="571" t="s">
        <v>226</v>
      </c>
      <c r="L109" s="571"/>
      <c r="M109" s="570" t="s">
        <v>464</v>
      </c>
      <c r="N109" s="570"/>
      <c r="O109" s="492"/>
      <c r="P109" s="568">
        <v>3130</v>
      </c>
      <c r="Q109" s="568"/>
      <c r="R109" s="568"/>
      <c r="S109" s="492"/>
      <c r="T109" s="568">
        <v>0</v>
      </c>
      <c r="U109" s="568"/>
      <c r="V109" s="568"/>
      <c r="W109" s="492"/>
      <c r="X109" s="569">
        <v>3130</v>
      </c>
      <c r="Y109" s="569"/>
    </row>
    <row r="110" spans="1:25" ht="10.5" customHeight="1">
      <c r="A110" s="492"/>
      <c r="B110" s="492"/>
      <c r="C110" s="492"/>
      <c r="D110" s="492"/>
      <c r="E110" s="492"/>
      <c r="F110" s="492"/>
      <c r="G110" s="492"/>
      <c r="H110" s="492"/>
      <c r="I110" s="492"/>
      <c r="J110" s="492"/>
      <c r="K110" s="567"/>
      <c r="L110" s="571"/>
      <c r="M110" s="492"/>
      <c r="N110" s="492"/>
      <c r="O110" s="492"/>
      <c r="P110" s="492"/>
      <c r="Q110" s="492"/>
      <c r="R110" s="492"/>
      <c r="S110" s="492"/>
      <c r="T110" s="492"/>
      <c r="U110" s="492"/>
      <c r="V110" s="492"/>
      <c r="W110" s="492"/>
      <c r="X110" s="492"/>
      <c r="Y110" s="492"/>
    </row>
    <row r="111" spans="1:25" ht="11.25" customHeight="1">
      <c r="A111" s="570" t="s">
        <v>29</v>
      </c>
      <c r="B111" s="570"/>
      <c r="C111" s="570"/>
      <c r="D111" s="570"/>
      <c r="E111" s="570"/>
      <c r="F111" s="570"/>
      <c r="G111" s="570"/>
      <c r="H111" s="570" t="s">
        <v>463</v>
      </c>
      <c r="I111" s="570"/>
      <c r="J111" s="570"/>
      <c r="K111" s="571" t="s">
        <v>226</v>
      </c>
      <c r="L111" s="571"/>
      <c r="M111" s="570" t="s">
        <v>464</v>
      </c>
      <c r="N111" s="570"/>
      <c r="O111" s="492"/>
      <c r="P111" s="568">
        <v>49411</v>
      </c>
      <c r="Q111" s="568"/>
      <c r="R111" s="568"/>
      <c r="S111" s="492"/>
      <c r="T111" s="568">
        <v>0</v>
      </c>
      <c r="U111" s="568"/>
      <c r="V111" s="568"/>
      <c r="W111" s="492"/>
      <c r="X111" s="569">
        <v>49411</v>
      </c>
      <c r="Y111" s="569"/>
    </row>
    <row r="112" spans="1:25" ht="10.5" customHeight="1">
      <c r="A112" s="492"/>
      <c r="B112" s="492"/>
      <c r="C112" s="492"/>
      <c r="D112" s="492"/>
      <c r="E112" s="492"/>
      <c r="F112" s="492"/>
      <c r="G112" s="492"/>
      <c r="H112" s="492"/>
      <c r="I112" s="492"/>
      <c r="J112" s="492"/>
      <c r="K112" s="567"/>
      <c r="L112" s="571"/>
      <c r="M112" s="492"/>
      <c r="N112" s="492"/>
      <c r="O112" s="492"/>
      <c r="P112" s="492"/>
      <c r="Q112" s="492"/>
      <c r="R112" s="492"/>
      <c r="S112" s="492"/>
      <c r="T112" s="492"/>
      <c r="U112" s="492"/>
      <c r="V112" s="492"/>
      <c r="W112" s="492"/>
      <c r="X112" s="492"/>
      <c r="Y112" s="492"/>
    </row>
    <row r="113" spans="1:25" ht="11.25">
      <c r="A113" s="570" t="s">
        <v>350</v>
      </c>
      <c r="B113" s="570"/>
      <c r="C113" s="570"/>
      <c r="D113" s="570"/>
      <c r="E113" s="570"/>
      <c r="F113" s="570"/>
      <c r="G113" s="570"/>
      <c r="H113" s="570" t="s">
        <v>463</v>
      </c>
      <c r="I113" s="570"/>
      <c r="J113" s="570"/>
      <c r="K113" s="571" t="s">
        <v>226</v>
      </c>
      <c r="L113" s="571"/>
      <c r="M113" s="570" t="s">
        <v>464</v>
      </c>
      <c r="N113" s="570"/>
      <c r="O113" s="492"/>
      <c r="P113" s="568">
        <v>1491</v>
      </c>
      <c r="Q113" s="568"/>
      <c r="R113" s="568"/>
      <c r="S113" s="492"/>
      <c r="T113" s="568">
        <v>0</v>
      </c>
      <c r="U113" s="568"/>
      <c r="V113" s="568"/>
      <c r="W113" s="492"/>
      <c r="X113" s="569">
        <v>1491</v>
      </c>
      <c r="Y113" s="569"/>
    </row>
    <row r="114" spans="1:25" ht="10.5">
      <c r="A114" s="492"/>
      <c r="B114" s="492"/>
      <c r="C114" s="492"/>
      <c r="D114" s="492"/>
      <c r="E114" s="492"/>
      <c r="F114" s="492"/>
      <c r="G114" s="492"/>
      <c r="H114" s="492"/>
      <c r="I114" s="492"/>
      <c r="J114" s="492"/>
      <c r="K114" s="567"/>
      <c r="L114" s="571"/>
      <c r="M114" s="492"/>
      <c r="N114" s="492"/>
      <c r="O114" s="492"/>
      <c r="P114" s="492"/>
      <c r="Q114" s="492"/>
      <c r="R114" s="492"/>
      <c r="S114" s="492"/>
      <c r="T114" s="492"/>
      <c r="U114" s="492"/>
      <c r="V114" s="492"/>
      <c r="W114" s="492"/>
      <c r="X114" s="492"/>
      <c r="Y114" s="492"/>
    </row>
    <row r="115" spans="1:25" ht="11.25">
      <c r="A115" s="570" t="s">
        <v>30</v>
      </c>
      <c r="B115" s="570"/>
      <c r="C115" s="570"/>
      <c r="D115" s="570"/>
      <c r="E115" s="570"/>
      <c r="F115" s="570"/>
      <c r="G115" s="570"/>
      <c r="H115" s="570" t="s">
        <v>463</v>
      </c>
      <c r="I115" s="570"/>
      <c r="J115" s="570"/>
      <c r="K115" s="571" t="s">
        <v>226</v>
      </c>
      <c r="L115" s="571"/>
      <c r="M115" s="570" t="s">
        <v>464</v>
      </c>
      <c r="N115" s="570"/>
      <c r="O115" s="492"/>
      <c r="P115" s="568">
        <v>1612</v>
      </c>
      <c r="Q115" s="568"/>
      <c r="R115" s="568"/>
      <c r="S115" s="492"/>
      <c r="T115" s="568">
        <v>0</v>
      </c>
      <c r="U115" s="568"/>
      <c r="V115" s="568"/>
      <c r="W115" s="492"/>
      <c r="X115" s="569">
        <v>1612</v>
      </c>
      <c r="Y115" s="569"/>
    </row>
    <row r="116" spans="1:25" ht="10.5">
      <c r="A116" s="492"/>
      <c r="B116" s="492"/>
      <c r="C116" s="492"/>
      <c r="D116" s="492"/>
      <c r="E116" s="492"/>
      <c r="F116" s="492"/>
      <c r="G116" s="492"/>
      <c r="H116" s="492"/>
      <c r="I116" s="492"/>
      <c r="J116" s="492"/>
      <c r="K116" s="567"/>
      <c r="L116" s="571"/>
      <c r="M116" s="492"/>
      <c r="N116" s="492"/>
      <c r="O116" s="492"/>
      <c r="P116" s="492"/>
      <c r="Q116" s="492"/>
      <c r="R116" s="492"/>
      <c r="S116" s="492"/>
      <c r="T116" s="492"/>
      <c r="U116" s="492"/>
      <c r="V116" s="492"/>
      <c r="W116" s="492"/>
      <c r="X116" s="492"/>
      <c r="Y116" s="492"/>
    </row>
    <row r="117" spans="1:25" ht="12" customHeight="1">
      <c r="A117" s="570" t="s">
        <v>31</v>
      </c>
      <c r="B117" s="570"/>
      <c r="C117" s="570"/>
      <c r="D117" s="570"/>
      <c r="E117" s="570"/>
      <c r="F117" s="570"/>
      <c r="G117" s="570"/>
      <c r="H117" s="570" t="s">
        <v>463</v>
      </c>
      <c r="I117" s="570"/>
      <c r="J117" s="570"/>
      <c r="K117" s="571" t="s">
        <v>226</v>
      </c>
      <c r="L117" s="571"/>
      <c r="M117" s="570" t="s">
        <v>464</v>
      </c>
      <c r="N117" s="570"/>
      <c r="O117" s="492"/>
      <c r="P117" s="568">
        <v>66308.47</v>
      </c>
      <c r="Q117" s="568"/>
      <c r="R117" s="568"/>
      <c r="S117" s="492"/>
      <c r="T117" s="568">
        <v>0</v>
      </c>
      <c r="U117" s="568"/>
      <c r="V117" s="568"/>
      <c r="W117" s="492"/>
      <c r="X117" s="569">
        <v>66308.47</v>
      </c>
      <c r="Y117" s="569"/>
    </row>
    <row r="118" spans="1:25" ht="10.5">
      <c r="A118" s="492"/>
      <c r="B118" s="492"/>
      <c r="C118" s="492"/>
      <c r="D118" s="492"/>
      <c r="E118" s="492"/>
      <c r="F118" s="492"/>
      <c r="G118" s="492"/>
      <c r="H118" s="492"/>
      <c r="I118" s="492"/>
      <c r="J118" s="492"/>
      <c r="K118" s="567"/>
      <c r="L118" s="571"/>
      <c r="M118" s="492"/>
      <c r="N118" s="492"/>
      <c r="O118" s="492"/>
      <c r="P118" s="492"/>
      <c r="Q118" s="492"/>
      <c r="R118" s="492"/>
      <c r="S118" s="492"/>
      <c r="T118" s="492"/>
      <c r="U118" s="492"/>
      <c r="V118" s="492"/>
      <c r="W118" s="492"/>
      <c r="X118" s="492"/>
      <c r="Y118" s="492"/>
    </row>
    <row r="119" spans="1:27" ht="11.25" customHeight="1">
      <c r="A119" s="570" t="s">
        <v>32</v>
      </c>
      <c r="B119" s="570"/>
      <c r="C119" s="570"/>
      <c r="D119" s="570"/>
      <c r="E119" s="570"/>
      <c r="F119" s="570"/>
      <c r="G119" s="570"/>
      <c r="H119" s="570" t="s">
        <v>463</v>
      </c>
      <c r="I119" s="570"/>
      <c r="J119" s="570"/>
      <c r="K119" s="571" t="s">
        <v>226</v>
      </c>
      <c r="L119" s="571"/>
      <c r="M119" s="570" t="s">
        <v>464</v>
      </c>
      <c r="N119" s="570"/>
      <c r="O119" s="492"/>
      <c r="P119" s="568">
        <v>10928.54</v>
      </c>
      <c r="Q119" s="568"/>
      <c r="R119" s="568"/>
      <c r="S119" s="492"/>
      <c r="T119" s="568">
        <v>0</v>
      </c>
      <c r="U119" s="568"/>
      <c r="V119" s="568"/>
      <c r="W119" s="492"/>
      <c r="X119" s="569">
        <v>10928.54</v>
      </c>
      <c r="Y119" s="569"/>
      <c r="Z119" t="s">
        <v>99</v>
      </c>
      <c r="AA119" s="494" t="s">
        <v>99</v>
      </c>
    </row>
    <row r="120" spans="1:25" ht="10.5" customHeight="1">
      <c r="A120" s="492"/>
      <c r="B120" s="492"/>
      <c r="C120" s="492"/>
      <c r="D120" s="492"/>
      <c r="E120" s="492"/>
      <c r="F120" s="492"/>
      <c r="G120" s="492"/>
      <c r="H120" s="492"/>
      <c r="I120" s="492"/>
      <c r="J120" s="492"/>
      <c r="K120" s="567"/>
      <c r="L120" s="571"/>
      <c r="M120" s="492"/>
      <c r="N120" s="492"/>
      <c r="O120" s="492"/>
      <c r="P120" s="492"/>
      <c r="Q120" s="492"/>
      <c r="R120" s="492"/>
      <c r="S120" s="492"/>
      <c r="T120" s="492"/>
      <c r="U120" s="492"/>
      <c r="V120" s="492"/>
      <c r="W120" s="492"/>
      <c r="X120" s="492"/>
      <c r="Y120" s="492"/>
    </row>
    <row r="121" spans="1:27" ht="11.25" customHeight="1">
      <c r="A121" s="570" t="s">
        <v>33</v>
      </c>
      <c r="B121" s="570"/>
      <c r="C121" s="570"/>
      <c r="D121" s="570"/>
      <c r="E121" s="570"/>
      <c r="F121" s="570"/>
      <c r="G121" s="570"/>
      <c r="H121" s="570" t="s">
        <v>463</v>
      </c>
      <c r="I121" s="570"/>
      <c r="J121" s="570"/>
      <c r="K121" s="571" t="s">
        <v>226</v>
      </c>
      <c r="L121" s="571"/>
      <c r="M121" s="570" t="s">
        <v>464</v>
      </c>
      <c r="N121" s="570"/>
      <c r="O121" s="492"/>
      <c r="P121" s="568">
        <v>14074</v>
      </c>
      <c r="Q121" s="568"/>
      <c r="R121" s="568"/>
      <c r="S121" s="492"/>
      <c r="T121" s="568">
        <v>1177</v>
      </c>
      <c r="U121" s="568"/>
      <c r="V121" s="568"/>
      <c r="W121" s="492"/>
      <c r="X121" s="569">
        <v>12897</v>
      </c>
      <c r="Y121" s="569"/>
      <c r="Z121">
        <v>1177</v>
      </c>
      <c r="AA121" s="493">
        <f>T121-Z121</f>
        <v>0</v>
      </c>
    </row>
    <row r="122" spans="1:25" ht="10.5" customHeight="1">
      <c r="A122" s="492"/>
      <c r="B122" s="492"/>
      <c r="C122" s="492"/>
      <c r="D122" s="492"/>
      <c r="E122" s="492"/>
      <c r="F122" s="492"/>
      <c r="G122" s="492"/>
      <c r="H122" s="492"/>
      <c r="I122" s="492"/>
      <c r="J122" s="492"/>
      <c r="K122" s="567"/>
      <c r="L122" s="571"/>
      <c r="M122" s="492"/>
      <c r="N122" s="492"/>
      <c r="O122" s="492"/>
      <c r="P122" s="492"/>
      <c r="Q122" s="492"/>
      <c r="R122" s="492"/>
      <c r="S122" s="492"/>
      <c r="T122" s="492"/>
      <c r="U122" s="492"/>
      <c r="V122" s="492"/>
      <c r="W122" s="492"/>
      <c r="X122" s="492"/>
      <c r="Y122" s="492"/>
    </row>
    <row r="123" spans="1:27" ht="11.25" customHeight="1">
      <c r="A123" s="570" t="s">
        <v>41</v>
      </c>
      <c r="B123" s="570"/>
      <c r="C123" s="570"/>
      <c r="D123" s="570"/>
      <c r="E123" s="570"/>
      <c r="F123" s="570"/>
      <c r="G123" s="570"/>
      <c r="H123" s="570" t="s">
        <v>463</v>
      </c>
      <c r="I123" s="570"/>
      <c r="J123" s="570"/>
      <c r="K123" s="571" t="s">
        <v>226</v>
      </c>
      <c r="L123" s="571"/>
      <c r="M123" s="570" t="s">
        <v>464</v>
      </c>
      <c r="N123" s="570"/>
      <c r="O123" s="492"/>
      <c r="P123" s="568">
        <v>21207.58</v>
      </c>
      <c r="Q123" s="568"/>
      <c r="R123" s="568"/>
      <c r="S123" s="492"/>
      <c r="T123" s="568">
        <v>1391.41</v>
      </c>
      <c r="U123" s="568"/>
      <c r="V123" s="568"/>
      <c r="W123" s="492"/>
      <c r="X123" s="569">
        <v>19816.17</v>
      </c>
      <c r="Y123" s="569"/>
      <c r="Z123">
        <v>1391.41</v>
      </c>
      <c r="AA123" s="493">
        <f>T123-Z123</f>
        <v>0</v>
      </c>
    </row>
    <row r="124" spans="1:25" ht="10.5" customHeight="1">
      <c r="A124" s="492"/>
      <c r="B124" s="492"/>
      <c r="C124" s="492"/>
      <c r="D124" s="492"/>
      <c r="E124" s="492"/>
      <c r="F124" s="492"/>
      <c r="G124" s="492"/>
      <c r="H124" s="492"/>
      <c r="I124" s="492"/>
      <c r="J124" s="492"/>
      <c r="K124" s="567"/>
      <c r="L124" s="571"/>
      <c r="M124" s="492"/>
      <c r="N124" s="492"/>
      <c r="O124" s="492"/>
      <c r="P124" s="492"/>
      <c r="Q124" s="492"/>
      <c r="R124" s="492"/>
      <c r="S124" s="492"/>
      <c r="T124" s="492"/>
      <c r="U124" s="492"/>
      <c r="V124" s="492"/>
      <c r="W124" s="492"/>
      <c r="X124" s="492"/>
      <c r="Y124" s="492"/>
    </row>
    <row r="125" spans="1:27" ht="11.25" customHeight="1">
      <c r="A125" s="570" t="s">
        <v>34</v>
      </c>
      <c r="B125" s="570"/>
      <c r="C125" s="570"/>
      <c r="D125" s="570"/>
      <c r="E125" s="570"/>
      <c r="F125" s="570"/>
      <c r="G125" s="570"/>
      <c r="H125" s="570" t="s">
        <v>463</v>
      </c>
      <c r="I125" s="570"/>
      <c r="J125" s="570"/>
      <c r="K125" s="571" t="s">
        <v>226</v>
      </c>
      <c r="L125" s="571"/>
      <c r="M125" s="570" t="s">
        <v>464</v>
      </c>
      <c r="N125" s="570"/>
      <c r="O125" s="492"/>
      <c r="P125" s="568">
        <v>24314</v>
      </c>
      <c r="Q125" s="568"/>
      <c r="R125" s="568"/>
      <c r="S125" s="492"/>
      <c r="T125" s="568">
        <v>750</v>
      </c>
      <c r="U125" s="568"/>
      <c r="V125" s="568"/>
      <c r="W125" s="492"/>
      <c r="X125" s="569">
        <v>23564</v>
      </c>
      <c r="Y125" s="569"/>
      <c r="Z125">
        <v>750</v>
      </c>
      <c r="AA125" s="494">
        <f>T125-Z125</f>
        <v>0</v>
      </c>
    </row>
    <row r="126" spans="1:25" ht="10.5" customHeight="1">
      <c r="A126" s="492"/>
      <c r="B126" s="492"/>
      <c r="C126" s="492"/>
      <c r="D126" s="492"/>
      <c r="E126" s="492"/>
      <c r="F126" s="492"/>
      <c r="G126" s="492"/>
      <c r="H126" s="492"/>
      <c r="I126" s="492"/>
      <c r="J126" s="492"/>
      <c r="K126" s="567"/>
      <c r="L126" s="571"/>
      <c r="M126" s="492"/>
      <c r="N126" s="492"/>
      <c r="O126" s="492"/>
      <c r="P126" s="492"/>
      <c r="Q126" s="492"/>
      <c r="R126" s="492"/>
      <c r="S126" s="492"/>
      <c r="T126" s="492"/>
      <c r="U126" s="492"/>
      <c r="V126" s="492"/>
      <c r="W126" s="492"/>
      <c r="X126" s="492"/>
      <c r="Y126" s="492"/>
    </row>
    <row r="127" spans="1:27" ht="11.25" customHeight="1">
      <c r="A127" s="570" t="s">
        <v>35</v>
      </c>
      <c r="B127" s="570"/>
      <c r="C127" s="570"/>
      <c r="D127" s="570"/>
      <c r="E127" s="570"/>
      <c r="F127" s="570"/>
      <c r="G127" s="570"/>
      <c r="H127" s="570" t="s">
        <v>463</v>
      </c>
      <c r="I127" s="570"/>
      <c r="J127" s="570"/>
      <c r="K127" s="571" t="s">
        <v>226</v>
      </c>
      <c r="L127" s="571"/>
      <c r="M127" s="570" t="s">
        <v>464</v>
      </c>
      <c r="N127" s="570"/>
      <c r="O127" s="492"/>
      <c r="P127" s="568">
        <v>32161</v>
      </c>
      <c r="Q127" s="568"/>
      <c r="R127" s="568"/>
      <c r="S127" s="492"/>
      <c r="T127" s="568">
        <v>878</v>
      </c>
      <c r="U127" s="568"/>
      <c r="V127" s="568"/>
      <c r="W127" s="492"/>
      <c r="X127" s="569">
        <v>31283</v>
      </c>
      <c r="Y127" s="569"/>
      <c r="Z127">
        <v>878</v>
      </c>
      <c r="AA127" s="493">
        <f>T127-Z127</f>
        <v>0</v>
      </c>
    </row>
    <row r="128" spans="1:25" ht="10.5" customHeight="1">
      <c r="A128" s="492"/>
      <c r="B128" s="492"/>
      <c r="C128" s="492"/>
      <c r="D128" s="492"/>
      <c r="E128" s="492"/>
      <c r="F128" s="492"/>
      <c r="G128" s="492"/>
      <c r="H128" s="492"/>
      <c r="I128" s="492"/>
      <c r="J128" s="492"/>
      <c r="K128" s="567"/>
      <c r="L128" s="571"/>
      <c r="M128" s="492"/>
      <c r="N128" s="492"/>
      <c r="O128" s="492"/>
      <c r="P128" s="492"/>
      <c r="Q128" s="492"/>
      <c r="R128" s="492"/>
      <c r="S128" s="492"/>
      <c r="T128" s="492"/>
      <c r="U128" s="492"/>
      <c r="V128" s="492"/>
      <c r="W128" s="492"/>
      <c r="X128" s="492"/>
      <c r="Y128" s="492"/>
    </row>
    <row r="129" spans="1:25" ht="10.5">
      <c r="A129" s="492"/>
      <c r="B129" s="492"/>
      <c r="C129" s="492"/>
      <c r="D129" s="492"/>
      <c r="E129" s="492"/>
      <c r="F129" s="492"/>
      <c r="G129" s="492"/>
      <c r="H129" s="492"/>
      <c r="I129" s="492"/>
      <c r="J129" s="492"/>
      <c r="K129" s="492"/>
      <c r="L129" s="492"/>
      <c r="M129" s="492"/>
      <c r="N129" s="492"/>
      <c r="O129" s="492"/>
      <c r="P129" s="492"/>
      <c r="Q129" s="492"/>
      <c r="R129" s="492"/>
      <c r="S129" s="492"/>
      <c r="T129" s="492"/>
      <c r="U129" s="492"/>
      <c r="V129" s="492"/>
      <c r="W129" s="492"/>
      <c r="X129" s="492"/>
      <c r="Y129" s="492"/>
    </row>
    <row r="130" spans="1:26" ht="11.25">
      <c r="A130" s="492"/>
      <c r="B130" s="492"/>
      <c r="C130" s="492"/>
      <c r="D130" s="492"/>
      <c r="E130" s="492"/>
      <c r="F130" s="492"/>
      <c r="G130" s="492"/>
      <c r="H130" s="492"/>
      <c r="I130" s="492"/>
      <c r="J130" s="492"/>
      <c r="K130" s="492"/>
      <c r="L130" s="492"/>
      <c r="M130" s="492"/>
      <c r="N130" s="492"/>
      <c r="O130" s="565">
        <v>260020.16</v>
      </c>
      <c r="P130" s="565"/>
      <c r="Q130" s="565"/>
      <c r="R130" s="565"/>
      <c r="S130" s="492"/>
      <c r="T130" s="565">
        <v>5210.07</v>
      </c>
      <c r="U130" s="565"/>
      <c r="V130" s="565"/>
      <c r="W130" s="492"/>
      <c r="X130" s="565">
        <v>254810.09</v>
      </c>
      <c r="Y130" s="565"/>
      <c r="Z130">
        <f>SUM(Z103:Z127)</f>
        <v>5210.07</v>
      </c>
    </row>
    <row r="131" spans="1:25" ht="10.5">
      <c r="A131" s="492"/>
      <c r="B131" s="492"/>
      <c r="C131" s="492"/>
      <c r="D131" s="492"/>
      <c r="E131" s="492"/>
      <c r="F131" s="492"/>
      <c r="G131" s="492"/>
      <c r="H131" s="492"/>
      <c r="I131" s="492"/>
      <c r="J131" s="492"/>
      <c r="K131" s="492"/>
      <c r="L131" s="492"/>
      <c r="M131" s="492"/>
      <c r="N131" s="492"/>
      <c r="O131" s="492"/>
      <c r="P131" s="492"/>
      <c r="Q131" s="492"/>
      <c r="R131" s="492"/>
      <c r="S131" s="492"/>
      <c r="T131" s="492"/>
      <c r="U131" s="492"/>
      <c r="V131" s="492"/>
      <c r="W131" s="492"/>
      <c r="X131" s="492"/>
      <c r="Y131" s="492"/>
    </row>
    <row r="132" spans="1:25" ht="12">
      <c r="A132" s="492"/>
      <c r="B132" s="492"/>
      <c r="C132" s="573" t="s">
        <v>213</v>
      </c>
      <c r="D132" s="573"/>
      <c r="E132" s="573"/>
      <c r="F132" s="573"/>
      <c r="G132" s="492"/>
      <c r="H132" s="571" t="s">
        <v>238</v>
      </c>
      <c r="I132" s="571"/>
      <c r="J132" s="571"/>
      <c r="K132" s="571"/>
      <c r="L132" s="571"/>
      <c r="M132" s="571"/>
      <c r="N132" s="571"/>
      <c r="O132" s="571"/>
      <c r="P132" s="571"/>
      <c r="Q132" s="571"/>
      <c r="R132" s="571"/>
      <c r="S132" s="571"/>
      <c r="T132" s="492"/>
      <c r="U132" s="492"/>
      <c r="V132" s="492"/>
      <c r="W132" s="492"/>
      <c r="X132" s="492"/>
      <c r="Y132" s="492"/>
    </row>
    <row r="133" spans="1:25" ht="11.25" customHeight="1">
      <c r="A133" s="573" t="s">
        <v>215</v>
      </c>
      <c r="B133" s="573"/>
      <c r="C133" s="573"/>
      <c r="D133" s="573"/>
      <c r="E133" s="573"/>
      <c r="F133" s="492"/>
      <c r="G133" s="492"/>
      <c r="H133" s="492"/>
      <c r="I133" s="574" t="s">
        <v>488</v>
      </c>
      <c r="J133" s="574"/>
      <c r="K133" s="574"/>
      <c r="L133" s="574"/>
      <c r="M133" s="574"/>
      <c r="N133" s="574"/>
      <c r="O133" s="575" t="s">
        <v>489</v>
      </c>
      <c r="P133" s="575"/>
      <c r="Q133" s="575"/>
      <c r="R133" s="575"/>
      <c r="S133" s="492"/>
      <c r="T133" s="575" t="s">
        <v>490</v>
      </c>
      <c r="U133" s="575"/>
      <c r="V133" s="575"/>
      <c r="W133" s="492"/>
      <c r="X133" s="576" t="s">
        <v>491</v>
      </c>
      <c r="Y133" s="576"/>
    </row>
    <row r="134" spans="1:25" ht="10.5" customHeight="1">
      <c r="A134" s="492"/>
      <c r="B134" s="492"/>
      <c r="C134" s="492"/>
      <c r="D134" s="492"/>
      <c r="E134" s="492"/>
      <c r="F134" s="492"/>
      <c r="G134" s="492"/>
      <c r="H134" s="492"/>
      <c r="I134" s="492"/>
      <c r="J134" s="492"/>
      <c r="K134" s="492"/>
      <c r="L134" s="492"/>
      <c r="M134" s="492"/>
      <c r="N134" s="492"/>
      <c r="O134" s="492"/>
      <c r="P134" s="492"/>
      <c r="Q134" s="492"/>
      <c r="R134" s="492"/>
      <c r="S134" s="492"/>
      <c r="T134" s="492"/>
      <c r="U134" s="492"/>
      <c r="V134" s="492"/>
      <c r="W134" s="492"/>
      <c r="X134" s="492"/>
      <c r="Y134" s="492"/>
    </row>
    <row r="135" spans="1:25" ht="11.25">
      <c r="A135" s="570" t="s">
        <v>25</v>
      </c>
      <c r="B135" s="570"/>
      <c r="C135" s="570"/>
      <c r="D135" s="570"/>
      <c r="E135" s="570"/>
      <c r="F135" s="570"/>
      <c r="G135" s="570"/>
      <c r="H135" s="570" t="s">
        <v>463</v>
      </c>
      <c r="I135" s="570"/>
      <c r="J135" s="570"/>
      <c r="K135" s="571" t="s">
        <v>226</v>
      </c>
      <c r="L135" s="571"/>
      <c r="M135" s="570" t="s">
        <v>464</v>
      </c>
      <c r="N135" s="570"/>
      <c r="O135" s="492"/>
      <c r="P135" s="568">
        <v>156860</v>
      </c>
      <c r="Q135" s="568"/>
      <c r="R135" s="568"/>
      <c r="S135" s="492"/>
      <c r="T135" s="568">
        <v>0</v>
      </c>
      <c r="U135" s="568"/>
      <c r="V135" s="568"/>
      <c r="W135" s="492"/>
      <c r="X135" s="569">
        <v>156860</v>
      </c>
      <c r="Y135" s="569"/>
    </row>
    <row r="136" spans="1:25" ht="10.5">
      <c r="A136" s="492"/>
      <c r="B136" s="492"/>
      <c r="C136" s="492"/>
      <c r="D136" s="492"/>
      <c r="E136" s="492"/>
      <c r="F136" s="492"/>
      <c r="G136" s="492"/>
      <c r="H136" s="492"/>
      <c r="I136" s="492"/>
      <c r="J136" s="492"/>
      <c r="K136" s="567"/>
      <c r="L136" s="571"/>
      <c r="M136" s="492"/>
      <c r="N136" s="492"/>
      <c r="O136" s="492"/>
      <c r="P136" s="492"/>
      <c r="Q136" s="492"/>
      <c r="R136" s="492"/>
      <c r="S136" s="492"/>
      <c r="T136" s="492"/>
      <c r="U136" s="492"/>
      <c r="V136" s="492"/>
      <c r="W136" s="492"/>
      <c r="X136" s="492"/>
      <c r="Y136" s="492"/>
    </row>
    <row r="137" spans="1:27" ht="10.5" customHeight="1">
      <c r="A137" s="570" t="s">
        <v>26</v>
      </c>
      <c r="B137" s="570"/>
      <c r="C137" s="570"/>
      <c r="D137" s="570"/>
      <c r="E137" s="570"/>
      <c r="F137" s="570"/>
      <c r="G137" s="570"/>
      <c r="H137" s="570" t="s">
        <v>463</v>
      </c>
      <c r="I137" s="570"/>
      <c r="J137" s="570"/>
      <c r="K137" s="571" t="s">
        <v>226</v>
      </c>
      <c r="L137" s="571"/>
      <c r="M137" s="570" t="s">
        <v>464</v>
      </c>
      <c r="N137" s="570"/>
      <c r="O137" s="492"/>
      <c r="P137" s="568">
        <v>120144.19</v>
      </c>
      <c r="Q137" s="568"/>
      <c r="R137" s="568"/>
      <c r="S137" s="492"/>
      <c r="T137" s="568">
        <v>40203.73</v>
      </c>
      <c r="U137" s="568"/>
      <c r="V137" s="568"/>
      <c r="W137" s="492"/>
      <c r="X137" s="569">
        <v>79940.46</v>
      </c>
      <c r="Y137" s="569"/>
      <c r="Z137">
        <v>40203.73</v>
      </c>
      <c r="AA137" s="493">
        <f>T137-Z137</f>
        <v>0</v>
      </c>
    </row>
    <row r="138" spans="1:25" ht="10.5">
      <c r="A138" s="492"/>
      <c r="B138" s="492"/>
      <c r="C138" s="492"/>
      <c r="D138" s="492"/>
      <c r="E138" s="492"/>
      <c r="F138" s="492"/>
      <c r="G138" s="492"/>
      <c r="H138" s="492"/>
      <c r="I138" s="492"/>
      <c r="J138" s="492"/>
      <c r="K138" s="567"/>
      <c r="L138" s="571"/>
      <c r="M138" s="492"/>
      <c r="N138" s="492"/>
      <c r="O138" s="492"/>
      <c r="P138" s="492"/>
      <c r="Q138" s="492"/>
      <c r="R138" s="492"/>
      <c r="S138" s="492"/>
      <c r="T138" s="492"/>
      <c r="U138" s="492"/>
      <c r="V138" s="492"/>
      <c r="W138" s="492"/>
      <c r="X138" s="492"/>
      <c r="Y138" s="492"/>
    </row>
    <row r="139" spans="1:25" ht="12" customHeight="1">
      <c r="A139" s="570" t="s">
        <v>27</v>
      </c>
      <c r="B139" s="570"/>
      <c r="C139" s="570"/>
      <c r="D139" s="570"/>
      <c r="E139" s="570"/>
      <c r="F139" s="570"/>
      <c r="G139" s="570"/>
      <c r="H139" s="570" t="s">
        <v>463</v>
      </c>
      <c r="I139" s="570"/>
      <c r="J139" s="570"/>
      <c r="K139" s="571" t="s">
        <v>226</v>
      </c>
      <c r="L139" s="571"/>
      <c r="M139" s="570" t="s">
        <v>464</v>
      </c>
      <c r="N139" s="570"/>
      <c r="O139" s="492"/>
      <c r="P139" s="568">
        <v>40323</v>
      </c>
      <c r="Q139" s="568"/>
      <c r="R139" s="568"/>
      <c r="S139" s="492"/>
      <c r="T139" s="568">
        <v>0</v>
      </c>
      <c r="U139" s="568"/>
      <c r="V139" s="568"/>
      <c r="W139" s="492"/>
      <c r="X139" s="569">
        <v>40323</v>
      </c>
      <c r="Y139" s="569"/>
    </row>
    <row r="140" spans="1:25" ht="10.5">
      <c r="A140" s="492"/>
      <c r="B140" s="492"/>
      <c r="C140" s="492"/>
      <c r="D140" s="492"/>
      <c r="E140" s="492"/>
      <c r="F140" s="492"/>
      <c r="G140" s="492"/>
      <c r="H140" s="492"/>
      <c r="I140" s="492"/>
      <c r="J140" s="492"/>
      <c r="K140" s="567"/>
      <c r="L140" s="571"/>
      <c r="M140" s="492"/>
      <c r="N140" s="492"/>
      <c r="O140" s="492"/>
      <c r="P140" s="492"/>
      <c r="Q140" s="492"/>
      <c r="R140" s="492"/>
      <c r="S140" s="492"/>
      <c r="T140" s="492"/>
      <c r="U140" s="492"/>
      <c r="V140" s="492"/>
      <c r="W140" s="492"/>
      <c r="X140" s="492"/>
      <c r="Y140" s="492"/>
    </row>
    <row r="141" spans="1:25" ht="11.25" customHeight="1">
      <c r="A141" s="570" t="s">
        <v>349</v>
      </c>
      <c r="B141" s="570"/>
      <c r="C141" s="570"/>
      <c r="D141" s="570"/>
      <c r="E141" s="570"/>
      <c r="F141" s="570"/>
      <c r="G141" s="570"/>
      <c r="H141" s="570" t="s">
        <v>463</v>
      </c>
      <c r="I141" s="570"/>
      <c r="J141" s="570"/>
      <c r="K141" s="571" t="s">
        <v>226</v>
      </c>
      <c r="L141" s="571"/>
      <c r="M141" s="570" t="s">
        <v>464</v>
      </c>
      <c r="N141" s="570"/>
      <c r="O141" s="492"/>
      <c r="P141" s="568">
        <v>27468</v>
      </c>
      <c r="Q141" s="568"/>
      <c r="R141" s="568"/>
      <c r="S141" s="492"/>
      <c r="T141" s="568">
        <v>0</v>
      </c>
      <c r="U141" s="568"/>
      <c r="V141" s="568"/>
      <c r="W141" s="492"/>
      <c r="X141" s="569">
        <v>27468</v>
      </c>
      <c r="Y141" s="569"/>
    </row>
    <row r="142" spans="1:25" ht="10.5" customHeight="1">
      <c r="A142" s="492"/>
      <c r="B142" s="492"/>
      <c r="C142" s="492"/>
      <c r="D142" s="492"/>
      <c r="E142" s="492"/>
      <c r="F142" s="492"/>
      <c r="G142" s="492"/>
      <c r="H142" s="492"/>
      <c r="I142" s="492"/>
      <c r="J142" s="492"/>
      <c r="K142" s="567"/>
      <c r="L142" s="571"/>
      <c r="M142" s="492"/>
      <c r="N142" s="492"/>
      <c r="O142" s="492"/>
      <c r="P142" s="492"/>
      <c r="Q142" s="492"/>
      <c r="R142" s="492"/>
      <c r="S142" s="492"/>
      <c r="T142" s="492"/>
      <c r="U142" s="492"/>
      <c r="V142" s="492"/>
      <c r="W142" s="492"/>
      <c r="X142" s="492"/>
      <c r="Y142" s="492"/>
    </row>
    <row r="143" spans="1:25" ht="11.25" customHeight="1">
      <c r="A143" s="570" t="s">
        <v>29</v>
      </c>
      <c r="B143" s="570"/>
      <c r="C143" s="570"/>
      <c r="D143" s="570"/>
      <c r="E143" s="570"/>
      <c r="F143" s="570"/>
      <c r="G143" s="570"/>
      <c r="H143" s="570" t="s">
        <v>463</v>
      </c>
      <c r="I143" s="570"/>
      <c r="J143" s="570"/>
      <c r="K143" s="571" t="s">
        <v>226</v>
      </c>
      <c r="L143" s="571"/>
      <c r="M143" s="570" t="s">
        <v>464</v>
      </c>
      <c r="N143" s="570"/>
      <c r="O143" s="492"/>
      <c r="P143" s="568">
        <v>358075</v>
      </c>
      <c r="Q143" s="568"/>
      <c r="R143" s="568"/>
      <c r="S143" s="492"/>
      <c r="T143" s="568">
        <v>0</v>
      </c>
      <c r="U143" s="568"/>
      <c r="V143" s="568"/>
      <c r="W143" s="492"/>
      <c r="X143" s="569">
        <v>358075</v>
      </c>
      <c r="Y143" s="569"/>
    </row>
    <row r="144" spans="1:25" ht="10.5" customHeight="1">
      <c r="A144" s="492"/>
      <c r="B144" s="492"/>
      <c r="C144" s="492"/>
      <c r="D144" s="492"/>
      <c r="E144" s="492"/>
      <c r="F144" s="492"/>
      <c r="G144" s="492"/>
      <c r="H144" s="492"/>
      <c r="I144" s="492"/>
      <c r="J144" s="492"/>
      <c r="K144" s="567"/>
      <c r="L144" s="571"/>
      <c r="M144" s="492"/>
      <c r="N144" s="492"/>
      <c r="O144" s="492"/>
      <c r="P144" s="492"/>
      <c r="Q144" s="492"/>
      <c r="R144" s="492"/>
      <c r="S144" s="492"/>
      <c r="T144" s="492"/>
      <c r="U144" s="492"/>
      <c r="V144" s="492"/>
      <c r="W144" s="492"/>
      <c r="X144" s="492"/>
      <c r="Y144" s="492"/>
    </row>
    <row r="145" spans="1:25" ht="11.25">
      <c r="A145" s="570" t="s">
        <v>350</v>
      </c>
      <c r="B145" s="570"/>
      <c r="C145" s="570"/>
      <c r="D145" s="570"/>
      <c r="E145" s="570"/>
      <c r="F145" s="570"/>
      <c r="G145" s="570"/>
      <c r="H145" s="570" t="s">
        <v>463</v>
      </c>
      <c r="I145" s="570"/>
      <c r="J145" s="570"/>
      <c r="K145" s="571" t="s">
        <v>226</v>
      </c>
      <c r="L145" s="571"/>
      <c r="M145" s="570" t="s">
        <v>464</v>
      </c>
      <c r="N145" s="570"/>
      <c r="O145" s="492"/>
      <c r="P145" s="568">
        <v>14310</v>
      </c>
      <c r="Q145" s="568"/>
      <c r="R145" s="568"/>
      <c r="S145" s="492"/>
      <c r="T145" s="568">
        <v>0</v>
      </c>
      <c r="U145" s="568"/>
      <c r="V145" s="568"/>
      <c r="W145" s="492"/>
      <c r="X145" s="569">
        <v>14310</v>
      </c>
      <c r="Y145" s="569"/>
    </row>
    <row r="146" spans="1:25" ht="10.5">
      <c r="A146" s="492"/>
      <c r="B146" s="492"/>
      <c r="C146" s="492"/>
      <c r="D146" s="492"/>
      <c r="E146" s="492"/>
      <c r="F146" s="492"/>
      <c r="G146" s="492"/>
      <c r="H146" s="492"/>
      <c r="I146" s="492"/>
      <c r="J146" s="492"/>
      <c r="K146" s="567"/>
      <c r="L146" s="571"/>
      <c r="M146" s="492"/>
      <c r="N146" s="492"/>
      <c r="O146" s="492"/>
      <c r="P146" s="492"/>
      <c r="Q146" s="492"/>
      <c r="R146" s="492"/>
      <c r="S146" s="492"/>
      <c r="T146" s="492"/>
      <c r="U146" s="492"/>
      <c r="V146" s="492"/>
      <c r="W146" s="492"/>
      <c r="X146" s="492"/>
      <c r="Y146" s="492"/>
    </row>
    <row r="147" spans="1:25" ht="11.25">
      <c r="A147" s="570" t="s">
        <v>30</v>
      </c>
      <c r="B147" s="570"/>
      <c r="C147" s="570"/>
      <c r="D147" s="570"/>
      <c r="E147" s="570"/>
      <c r="F147" s="570"/>
      <c r="G147" s="570"/>
      <c r="H147" s="570" t="s">
        <v>463</v>
      </c>
      <c r="I147" s="570"/>
      <c r="J147" s="570"/>
      <c r="K147" s="571" t="s">
        <v>226</v>
      </c>
      <c r="L147" s="571"/>
      <c r="M147" s="570" t="s">
        <v>464</v>
      </c>
      <c r="N147" s="570"/>
      <c r="O147" s="492"/>
      <c r="P147" s="568">
        <v>14510</v>
      </c>
      <c r="Q147" s="568"/>
      <c r="R147" s="568"/>
      <c r="S147" s="492"/>
      <c r="T147" s="568">
        <v>0</v>
      </c>
      <c r="U147" s="568"/>
      <c r="V147" s="568"/>
      <c r="W147" s="492"/>
      <c r="X147" s="569">
        <v>14510</v>
      </c>
      <c r="Y147" s="569"/>
    </row>
    <row r="148" spans="1:25" ht="10.5">
      <c r="A148" s="492"/>
      <c r="B148" s="492"/>
      <c r="C148" s="492"/>
      <c r="D148" s="492"/>
      <c r="E148" s="492"/>
      <c r="F148" s="492"/>
      <c r="G148" s="492"/>
      <c r="H148" s="492"/>
      <c r="I148" s="492"/>
      <c r="J148" s="492"/>
      <c r="K148" s="567"/>
      <c r="L148" s="571"/>
      <c r="M148" s="492"/>
      <c r="N148" s="492"/>
      <c r="O148" s="492"/>
      <c r="P148" s="492"/>
      <c r="Q148" s="492"/>
      <c r="R148" s="492"/>
      <c r="S148" s="492"/>
      <c r="T148" s="492"/>
      <c r="U148" s="492"/>
      <c r="V148" s="492"/>
      <c r="W148" s="492"/>
      <c r="X148" s="492"/>
      <c r="Y148" s="492"/>
    </row>
    <row r="149" spans="1:25" ht="11.25" customHeight="1">
      <c r="A149" s="570" t="s">
        <v>31</v>
      </c>
      <c r="B149" s="570"/>
      <c r="C149" s="570"/>
      <c r="D149" s="570"/>
      <c r="E149" s="570"/>
      <c r="F149" s="570"/>
      <c r="G149" s="570"/>
      <c r="H149" s="570" t="s">
        <v>463</v>
      </c>
      <c r="I149" s="570"/>
      <c r="J149" s="570"/>
      <c r="K149" s="571" t="s">
        <v>226</v>
      </c>
      <c r="L149" s="571"/>
      <c r="M149" s="570" t="s">
        <v>464</v>
      </c>
      <c r="N149" s="570"/>
      <c r="O149" s="492"/>
      <c r="P149" s="568">
        <v>324293.38</v>
      </c>
      <c r="Q149" s="568"/>
      <c r="R149" s="568"/>
      <c r="S149" s="492"/>
      <c r="T149" s="568">
        <v>0</v>
      </c>
      <c r="U149" s="568"/>
      <c r="V149" s="568"/>
      <c r="W149" s="492"/>
      <c r="X149" s="569">
        <v>324293.38</v>
      </c>
      <c r="Y149" s="569"/>
    </row>
    <row r="150" spans="1:25" ht="10.5" customHeight="1">
      <c r="A150" s="492"/>
      <c r="B150" s="492"/>
      <c r="C150" s="492"/>
      <c r="D150" s="492"/>
      <c r="E150" s="492"/>
      <c r="F150" s="492"/>
      <c r="G150" s="492"/>
      <c r="H150" s="492"/>
      <c r="I150" s="492"/>
      <c r="J150" s="492"/>
      <c r="K150" s="567"/>
      <c r="L150" s="571"/>
      <c r="M150" s="492"/>
      <c r="N150" s="492"/>
      <c r="O150" s="492"/>
      <c r="P150" s="492"/>
      <c r="Q150" s="492"/>
      <c r="R150" s="492"/>
      <c r="S150" s="492"/>
      <c r="T150" s="492"/>
      <c r="U150" s="492"/>
      <c r="V150" s="492"/>
      <c r="W150" s="492"/>
      <c r="X150" s="492"/>
      <c r="Y150" s="492"/>
    </row>
    <row r="151" spans="1:27" ht="11.25">
      <c r="A151" s="570" t="s">
        <v>32</v>
      </c>
      <c r="B151" s="570"/>
      <c r="C151" s="570"/>
      <c r="D151" s="570"/>
      <c r="E151" s="570"/>
      <c r="F151" s="570"/>
      <c r="G151" s="570"/>
      <c r="H151" s="570" t="s">
        <v>463</v>
      </c>
      <c r="I151" s="570"/>
      <c r="J151" s="570"/>
      <c r="K151" s="571" t="s">
        <v>226</v>
      </c>
      <c r="L151" s="571"/>
      <c r="M151" s="570" t="s">
        <v>464</v>
      </c>
      <c r="N151" s="570"/>
      <c r="O151" s="492"/>
      <c r="P151" s="568">
        <v>72648.46</v>
      </c>
      <c r="Q151" s="568"/>
      <c r="R151" s="568"/>
      <c r="S151" s="492"/>
      <c r="T151" s="568">
        <v>19343</v>
      </c>
      <c r="U151" s="568"/>
      <c r="V151" s="568"/>
      <c r="W151" s="492"/>
      <c r="X151" s="569">
        <v>53305.46</v>
      </c>
      <c r="Y151" s="569"/>
      <c r="Z151">
        <v>19343</v>
      </c>
      <c r="AA151" s="493">
        <f>T151-Z151</f>
        <v>0</v>
      </c>
    </row>
    <row r="152" spans="1:25" ht="10.5">
      <c r="A152" s="492"/>
      <c r="B152" s="492"/>
      <c r="C152" s="492"/>
      <c r="D152" s="492"/>
      <c r="E152" s="492"/>
      <c r="F152" s="492"/>
      <c r="G152" s="492"/>
      <c r="H152" s="492"/>
      <c r="I152" s="492"/>
      <c r="J152" s="492"/>
      <c r="K152" s="567"/>
      <c r="L152" s="571"/>
      <c r="M152" s="492"/>
      <c r="N152" s="492"/>
      <c r="O152" s="492"/>
      <c r="P152" s="492"/>
      <c r="Q152" s="492"/>
      <c r="R152" s="492"/>
      <c r="S152" s="492"/>
      <c r="T152" s="492"/>
      <c r="U152" s="492"/>
      <c r="V152" s="492"/>
      <c r="W152" s="492"/>
      <c r="X152" s="492"/>
      <c r="Y152" s="492"/>
    </row>
    <row r="153" spans="1:27" ht="10.5" customHeight="1">
      <c r="A153" s="570" t="s">
        <v>33</v>
      </c>
      <c r="B153" s="570"/>
      <c r="C153" s="570"/>
      <c r="D153" s="570"/>
      <c r="E153" s="570"/>
      <c r="F153" s="570"/>
      <c r="G153" s="570"/>
      <c r="H153" s="570" t="s">
        <v>463</v>
      </c>
      <c r="I153" s="570"/>
      <c r="J153" s="570"/>
      <c r="K153" s="571" t="s">
        <v>226</v>
      </c>
      <c r="L153" s="571"/>
      <c r="M153" s="570" t="s">
        <v>464</v>
      </c>
      <c r="N153" s="570"/>
      <c r="O153" s="492"/>
      <c r="P153" s="568">
        <v>171421</v>
      </c>
      <c r="Q153" s="568"/>
      <c r="R153" s="568"/>
      <c r="S153" s="492"/>
      <c r="T153" s="568">
        <v>7751</v>
      </c>
      <c r="U153" s="568"/>
      <c r="V153" s="568"/>
      <c r="W153" s="492"/>
      <c r="X153" s="569">
        <v>163670</v>
      </c>
      <c r="Y153" s="569"/>
      <c r="Z153">
        <v>7751</v>
      </c>
      <c r="AA153" s="493">
        <f>T153-Z153</f>
        <v>0</v>
      </c>
    </row>
    <row r="154" spans="1:25" ht="10.5">
      <c r="A154" s="492"/>
      <c r="B154" s="492"/>
      <c r="C154" s="492"/>
      <c r="D154" s="492"/>
      <c r="E154" s="492"/>
      <c r="F154" s="492"/>
      <c r="G154" s="492"/>
      <c r="H154" s="492"/>
      <c r="I154" s="492"/>
      <c r="J154" s="492"/>
      <c r="K154" s="567"/>
      <c r="L154" s="571"/>
      <c r="M154" s="492"/>
      <c r="N154" s="492"/>
      <c r="O154" s="492"/>
      <c r="P154" s="492"/>
      <c r="Q154" s="492"/>
      <c r="R154" s="492"/>
      <c r="S154" s="492"/>
      <c r="T154" s="492"/>
      <c r="U154" s="492"/>
      <c r="V154" s="492"/>
      <c r="W154" s="492"/>
      <c r="X154" s="492"/>
      <c r="Y154" s="492"/>
    </row>
    <row r="155" spans="1:27" ht="12" customHeight="1">
      <c r="A155" s="570" t="s">
        <v>41</v>
      </c>
      <c r="B155" s="570"/>
      <c r="C155" s="570"/>
      <c r="D155" s="570"/>
      <c r="E155" s="570"/>
      <c r="F155" s="570"/>
      <c r="G155" s="570"/>
      <c r="H155" s="570" t="s">
        <v>463</v>
      </c>
      <c r="I155" s="570"/>
      <c r="J155" s="570"/>
      <c r="K155" s="571" t="s">
        <v>226</v>
      </c>
      <c r="L155" s="571"/>
      <c r="M155" s="570" t="s">
        <v>464</v>
      </c>
      <c r="N155" s="570"/>
      <c r="O155" s="492"/>
      <c r="P155" s="568">
        <v>105987.67</v>
      </c>
      <c r="Q155" s="568"/>
      <c r="R155" s="568"/>
      <c r="S155" s="492"/>
      <c r="T155" s="568">
        <v>15460.1</v>
      </c>
      <c r="U155" s="568"/>
      <c r="V155" s="568"/>
      <c r="W155" s="492"/>
      <c r="X155" s="569">
        <v>90527.57</v>
      </c>
      <c r="Y155" s="569"/>
      <c r="Z155">
        <v>15460.1</v>
      </c>
      <c r="AA155" s="493">
        <f>T155-Z155</f>
        <v>0</v>
      </c>
    </row>
    <row r="156" spans="1:25" ht="10.5">
      <c r="A156" s="492"/>
      <c r="B156" s="492"/>
      <c r="C156" s="492"/>
      <c r="D156" s="492"/>
      <c r="E156" s="492"/>
      <c r="F156" s="492"/>
      <c r="G156" s="492"/>
      <c r="H156" s="492"/>
      <c r="I156" s="492"/>
      <c r="J156" s="492"/>
      <c r="K156" s="567"/>
      <c r="L156" s="571"/>
      <c r="M156" s="492"/>
      <c r="N156" s="492"/>
      <c r="O156" s="492"/>
      <c r="P156" s="492"/>
      <c r="Q156" s="492"/>
      <c r="R156" s="492"/>
      <c r="S156" s="492"/>
      <c r="T156" s="492"/>
      <c r="U156" s="492"/>
      <c r="V156" s="492"/>
      <c r="W156" s="492"/>
      <c r="X156" s="492"/>
      <c r="Y156" s="492"/>
    </row>
    <row r="157" spans="1:27" ht="11.25" customHeight="1">
      <c r="A157" s="570" t="s">
        <v>34</v>
      </c>
      <c r="B157" s="570"/>
      <c r="C157" s="570"/>
      <c r="D157" s="570"/>
      <c r="E157" s="570"/>
      <c r="F157" s="570"/>
      <c r="G157" s="570"/>
      <c r="H157" s="570" t="s">
        <v>463</v>
      </c>
      <c r="I157" s="570"/>
      <c r="J157" s="570"/>
      <c r="K157" s="571" t="s">
        <v>226</v>
      </c>
      <c r="L157" s="571"/>
      <c r="M157" s="570" t="s">
        <v>464</v>
      </c>
      <c r="N157" s="570"/>
      <c r="O157" s="492"/>
      <c r="P157" s="568">
        <v>163996.75</v>
      </c>
      <c r="Q157" s="568"/>
      <c r="R157" s="568"/>
      <c r="S157" s="492"/>
      <c r="T157" s="568">
        <v>9799</v>
      </c>
      <c r="U157" s="568"/>
      <c r="V157" s="568"/>
      <c r="W157" s="492"/>
      <c r="X157" s="569">
        <v>154197.75</v>
      </c>
      <c r="Y157" s="569"/>
      <c r="Z157">
        <v>9799</v>
      </c>
      <c r="AA157" s="493">
        <f>T157-Z157</f>
        <v>0</v>
      </c>
    </row>
    <row r="158" spans="1:25" ht="10.5" customHeight="1">
      <c r="A158" s="492"/>
      <c r="B158" s="492"/>
      <c r="C158" s="492"/>
      <c r="D158" s="492"/>
      <c r="E158" s="492"/>
      <c r="F158" s="492"/>
      <c r="G158" s="492"/>
      <c r="H158" s="492"/>
      <c r="I158" s="492"/>
      <c r="J158" s="492"/>
      <c r="K158" s="567"/>
      <c r="L158" s="571"/>
      <c r="M158" s="492"/>
      <c r="N158" s="492"/>
      <c r="O158" s="492"/>
      <c r="P158" s="492"/>
      <c r="Q158" s="492"/>
      <c r="R158" s="492"/>
      <c r="S158" s="492"/>
      <c r="T158" s="492"/>
      <c r="U158" s="492"/>
      <c r="V158" s="492"/>
      <c r="W158" s="492"/>
      <c r="X158" s="492"/>
      <c r="Y158" s="492"/>
    </row>
    <row r="159" spans="1:27" ht="11.25">
      <c r="A159" s="570" t="s">
        <v>35</v>
      </c>
      <c r="B159" s="570"/>
      <c r="C159" s="570"/>
      <c r="D159" s="570"/>
      <c r="E159" s="570"/>
      <c r="F159" s="570"/>
      <c r="G159" s="570"/>
      <c r="H159" s="570" t="s">
        <v>463</v>
      </c>
      <c r="I159" s="570"/>
      <c r="J159" s="570"/>
      <c r="K159" s="571" t="s">
        <v>226</v>
      </c>
      <c r="L159" s="571"/>
      <c r="M159" s="570" t="s">
        <v>464</v>
      </c>
      <c r="N159" s="570"/>
      <c r="O159" s="492"/>
      <c r="P159" s="568">
        <v>371842</v>
      </c>
      <c r="Q159" s="568"/>
      <c r="R159" s="568"/>
      <c r="S159" s="492"/>
      <c r="T159" s="568">
        <v>72520</v>
      </c>
      <c r="U159" s="568"/>
      <c r="V159" s="568"/>
      <c r="W159" s="492"/>
      <c r="X159" s="569">
        <v>299322</v>
      </c>
      <c r="Y159" s="569"/>
      <c r="Z159">
        <v>72520</v>
      </c>
      <c r="AA159" s="493">
        <f>T159-Z159</f>
        <v>0</v>
      </c>
    </row>
    <row r="160" spans="1:25" ht="10.5">
      <c r="A160" s="492"/>
      <c r="B160" s="492"/>
      <c r="C160" s="492"/>
      <c r="D160" s="492"/>
      <c r="E160" s="492"/>
      <c r="F160" s="492"/>
      <c r="G160" s="492"/>
      <c r="H160" s="492"/>
      <c r="I160" s="492"/>
      <c r="J160" s="492"/>
      <c r="K160" s="567"/>
      <c r="L160" s="571"/>
      <c r="M160" s="492"/>
      <c r="N160" s="492"/>
      <c r="O160" s="492"/>
      <c r="P160" s="492"/>
      <c r="Q160" s="492"/>
      <c r="R160" s="492"/>
      <c r="S160" s="492"/>
      <c r="T160" s="492"/>
      <c r="U160" s="492"/>
      <c r="V160" s="492"/>
      <c r="W160" s="492"/>
      <c r="X160" s="492"/>
      <c r="Y160" s="492"/>
    </row>
    <row r="161" spans="1:25" ht="10.5">
      <c r="A161" s="492"/>
      <c r="B161" s="492"/>
      <c r="C161" s="492"/>
      <c r="D161" s="492"/>
      <c r="E161" s="492"/>
      <c r="F161" s="492"/>
      <c r="G161" s="492"/>
      <c r="H161" s="492"/>
      <c r="I161" s="492"/>
      <c r="J161" s="492"/>
      <c r="K161" s="492"/>
      <c r="L161" s="492"/>
      <c r="M161" s="492"/>
      <c r="N161" s="492"/>
      <c r="O161" s="492"/>
      <c r="P161" s="492"/>
      <c r="Q161" s="492"/>
      <c r="R161" s="492"/>
      <c r="S161" s="492"/>
      <c r="T161" s="492"/>
      <c r="U161" s="492"/>
      <c r="V161" s="492"/>
      <c r="W161" s="492"/>
      <c r="X161" s="492"/>
      <c r="Y161" s="492"/>
    </row>
    <row r="162" spans="1:26" ht="11.25">
      <c r="A162" s="492"/>
      <c r="B162" s="492"/>
      <c r="C162" s="492"/>
      <c r="D162" s="492"/>
      <c r="E162" s="492"/>
      <c r="F162" s="492"/>
      <c r="G162" s="492"/>
      <c r="H162" s="492"/>
      <c r="I162" s="492"/>
      <c r="J162" s="492"/>
      <c r="K162" s="492"/>
      <c r="L162" s="492"/>
      <c r="M162" s="492"/>
      <c r="N162" s="492"/>
      <c r="O162" s="565">
        <v>1941879.45</v>
      </c>
      <c r="P162" s="565"/>
      <c r="Q162" s="565"/>
      <c r="R162" s="565"/>
      <c r="S162" s="492"/>
      <c r="T162" s="565">
        <v>165076.83</v>
      </c>
      <c r="U162" s="565"/>
      <c r="V162" s="565"/>
      <c r="W162" s="492"/>
      <c r="X162" s="565">
        <v>1776802.62</v>
      </c>
      <c r="Y162" s="565"/>
      <c r="Z162">
        <f>SUM(Z135:Z159)</f>
        <v>165076.83000000002</v>
      </c>
    </row>
    <row r="163" spans="1:25" ht="11.25" customHeight="1">
      <c r="A163" s="492"/>
      <c r="B163" s="492"/>
      <c r="C163" s="492"/>
      <c r="D163" s="492"/>
      <c r="E163" s="492"/>
      <c r="F163" s="492"/>
      <c r="G163" s="492"/>
      <c r="H163" s="492"/>
      <c r="I163" s="492"/>
      <c r="J163" s="492"/>
      <c r="K163" s="492"/>
      <c r="L163" s="492"/>
      <c r="M163" s="492"/>
      <c r="N163" s="492"/>
      <c r="O163" s="492"/>
      <c r="P163" s="492"/>
      <c r="Q163" s="492"/>
      <c r="R163" s="492"/>
      <c r="S163" s="492"/>
      <c r="T163" s="492"/>
      <c r="U163" s="492"/>
      <c r="V163" s="492"/>
      <c r="W163" s="492"/>
      <c r="X163" s="492"/>
      <c r="Y163" s="492"/>
    </row>
    <row r="164" spans="1:25" ht="10.5" customHeight="1">
      <c r="A164" s="492"/>
      <c r="B164" s="492"/>
      <c r="C164" s="492"/>
      <c r="D164" s="492"/>
      <c r="E164" s="492"/>
      <c r="F164" s="492"/>
      <c r="G164" s="492"/>
      <c r="H164" s="492"/>
      <c r="I164" s="492"/>
      <c r="J164" s="492"/>
      <c r="K164" s="492"/>
      <c r="L164" s="492"/>
      <c r="M164" s="492"/>
      <c r="N164" s="492"/>
      <c r="O164" s="492"/>
      <c r="P164" s="492"/>
      <c r="Q164" s="492"/>
      <c r="R164" s="492"/>
      <c r="S164" s="492"/>
      <c r="T164" s="492"/>
      <c r="U164" s="492"/>
      <c r="V164" s="492"/>
      <c r="W164" s="492"/>
      <c r="X164" s="492"/>
      <c r="Y164" s="492"/>
    </row>
    <row r="165" spans="1:25" ht="11.25">
      <c r="A165" s="492"/>
      <c r="B165" s="566" t="s">
        <v>465</v>
      </c>
      <c r="C165" s="566"/>
      <c r="D165" s="566"/>
      <c r="E165" s="566"/>
      <c r="F165" s="566"/>
      <c r="G165" s="566"/>
      <c r="H165" s="566"/>
      <c r="I165" s="566"/>
      <c r="J165" s="566"/>
      <c r="K165" s="566"/>
      <c r="L165" s="566"/>
      <c r="M165" s="566"/>
      <c r="N165" s="492"/>
      <c r="O165" s="572">
        <v>2201899.61</v>
      </c>
      <c r="P165" s="572"/>
      <c r="Q165" s="572"/>
      <c r="R165" s="572"/>
      <c r="S165" s="492"/>
      <c r="T165" s="572">
        <v>170286.9</v>
      </c>
      <c r="U165" s="572"/>
      <c r="V165" s="572"/>
      <c r="W165" s="492"/>
      <c r="X165" s="565">
        <v>2031612.71</v>
      </c>
      <c r="Y165" s="565"/>
    </row>
    <row r="166" spans="1:25" ht="10.5">
      <c r="A166" s="492"/>
      <c r="B166" s="567"/>
      <c r="C166" s="566"/>
      <c r="D166" s="566"/>
      <c r="E166" s="566"/>
      <c r="F166" s="566"/>
      <c r="G166" s="566"/>
      <c r="H166" s="566"/>
      <c r="I166" s="566"/>
      <c r="J166" s="566"/>
      <c r="K166" s="566"/>
      <c r="L166" s="566"/>
      <c r="M166" s="566"/>
      <c r="N166" s="492"/>
      <c r="O166" s="492"/>
      <c r="P166" s="492"/>
      <c r="Q166" s="492"/>
      <c r="R166" s="492"/>
      <c r="S166" s="492"/>
      <c r="T166" s="492"/>
      <c r="U166" s="492"/>
      <c r="V166" s="492"/>
      <c r="W166" s="492"/>
      <c r="X166" s="492"/>
      <c r="Y166" s="492"/>
    </row>
    <row r="167" spans="1:25" ht="10.5" customHeight="1">
      <c r="A167" s="492"/>
      <c r="B167" s="492"/>
      <c r="C167" s="492"/>
      <c r="D167" s="492"/>
      <c r="E167" s="492"/>
      <c r="F167" s="492"/>
      <c r="G167" s="492"/>
      <c r="H167" s="492"/>
      <c r="I167" s="492"/>
      <c r="J167" s="492"/>
      <c r="K167" s="492"/>
      <c r="L167" s="492"/>
      <c r="M167" s="492"/>
      <c r="N167" s="492"/>
      <c r="O167" s="492"/>
      <c r="P167" s="492"/>
      <c r="Q167" s="492"/>
      <c r="R167" s="492"/>
      <c r="S167" s="492"/>
      <c r="T167" s="492"/>
      <c r="U167" s="492"/>
      <c r="V167" s="492"/>
      <c r="W167" s="492"/>
      <c r="X167" s="492"/>
      <c r="Y167" s="492"/>
    </row>
    <row r="168" spans="1:25" ht="12">
      <c r="A168" s="573" t="s">
        <v>211</v>
      </c>
      <c r="B168" s="573"/>
      <c r="C168" s="573"/>
      <c r="D168" s="492"/>
      <c r="E168" s="571" t="s">
        <v>466</v>
      </c>
      <c r="F168" s="571"/>
      <c r="G168" s="571"/>
      <c r="H168" s="571"/>
      <c r="I168" s="571"/>
      <c r="J168" s="571"/>
      <c r="K168" s="571"/>
      <c r="L168" s="571"/>
      <c r="M168" s="571"/>
      <c r="N168" s="571"/>
      <c r="O168" s="571"/>
      <c r="P168" s="571"/>
      <c r="Q168" s="492"/>
      <c r="R168" s="492"/>
      <c r="S168" s="492"/>
      <c r="T168" s="492"/>
      <c r="U168" s="492"/>
      <c r="V168" s="492"/>
      <c r="W168" s="492"/>
      <c r="X168" s="492"/>
      <c r="Y168" s="492"/>
    </row>
    <row r="169" spans="1:25" ht="12" customHeight="1">
      <c r="A169" s="567"/>
      <c r="B169" s="573"/>
      <c r="C169" s="573"/>
      <c r="D169" s="492"/>
      <c r="E169" s="492"/>
      <c r="F169" s="492"/>
      <c r="G169" s="492"/>
      <c r="H169" s="492"/>
      <c r="I169" s="492"/>
      <c r="J169" s="492"/>
      <c r="K169" s="492"/>
      <c r="L169" s="492"/>
      <c r="M169" s="492"/>
      <c r="N169" s="492"/>
      <c r="O169" s="492"/>
      <c r="P169" s="492"/>
      <c r="Q169" s="492"/>
      <c r="R169" s="492"/>
      <c r="S169" s="492"/>
      <c r="T169" s="492"/>
      <c r="U169" s="492"/>
      <c r="V169" s="492"/>
      <c r="W169" s="492"/>
      <c r="X169" s="492"/>
      <c r="Y169" s="492"/>
    </row>
    <row r="170" spans="1:25" ht="12">
      <c r="A170" s="492"/>
      <c r="B170" s="492"/>
      <c r="C170" s="573" t="s">
        <v>213</v>
      </c>
      <c r="D170" s="573"/>
      <c r="E170" s="573"/>
      <c r="F170" s="573"/>
      <c r="G170" s="492"/>
      <c r="H170" s="571" t="s">
        <v>75</v>
      </c>
      <c r="I170" s="571"/>
      <c r="J170" s="571"/>
      <c r="K170" s="571"/>
      <c r="L170" s="571"/>
      <c r="M170" s="571"/>
      <c r="N170" s="571"/>
      <c r="O170" s="571"/>
      <c r="P170" s="571"/>
      <c r="Q170" s="571"/>
      <c r="R170" s="571"/>
      <c r="S170" s="571"/>
      <c r="T170" s="492"/>
      <c r="U170" s="492"/>
      <c r="V170" s="492"/>
      <c r="W170" s="492"/>
      <c r="X170" s="492"/>
      <c r="Y170" s="492"/>
    </row>
    <row r="171" spans="1:25" ht="11.25" customHeight="1">
      <c r="A171" s="573" t="s">
        <v>215</v>
      </c>
      <c r="B171" s="573"/>
      <c r="C171" s="573"/>
      <c r="D171" s="573"/>
      <c r="E171" s="573"/>
      <c r="F171" s="492"/>
      <c r="G171" s="492"/>
      <c r="H171" s="492"/>
      <c r="I171" s="574" t="s">
        <v>488</v>
      </c>
      <c r="J171" s="574"/>
      <c r="K171" s="574"/>
      <c r="L171" s="574"/>
      <c r="M171" s="574"/>
      <c r="N171" s="574"/>
      <c r="O171" s="575" t="s">
        <v>489</v>
      </c>
      <c r="P171" s="575"/>
      <c r="Q171" s="575"/>
      <c r="R171" s="575"/>
      <c r="S171" s="492"/>
      <c r="T171" s="575" t="s">
        <v>490</v>
      </c>
      <c r="U171" s="575"/>
      <c r="V171" s="575"/>
      <c r="W171" s="492"/>
      <c r="X171" s="576" t="s">
        <v>491</v>
      </c>
      <c r="Y171" s="576"/>
    </row>
    <row r="172" spans="1:25" ht="10.5" customHeight="1">
      <c r="A172" s="492"/>
      <c r="B172" s="492"/>
      <c r="C172" s="492"/>
      <c r="D172" s="492"/>
      <c r="E172" s="492"/>
      <c r="F172" s="492"/>
      <c r="G172" s="492"/>
      <c r="H172" s="492"/>
      <c r="I172" s="492"/>
      <c r="J172" s="492"/>
      <c r="K172" s="492"/>
      <c r="L172" s="492"/>
      <c r="M172" s="492"/>
      <c r="N172" s="492"/>
      <c r="O172" s="492"/>
      <c r="P172" s="492"/>
      <c r="Q172" s="492"/>
      <c r="R172" s="492"/>
      <c r="S172" s="492"/>
      <c r="T172" s="492"/>
      <c r="U172" s="492"/>
      <c r="V172" s="492"/>
      <c r="W172" s="492"/>
      <c r="X172" s="492"/>
      <c r="Y172" s="492"/>
    </row>
    <row r="173" spans="1:26" ht="11.25" customHeight="1">
      <c r="A173" s="570" t="s">
        <v>36</v>
      </c>
      <c r="B173" s="570"/>
      <c r="C173" s="570"/>
      <c r="D173" s="570"/>
      <c r="E173" s="570"/>
      <c r="F173" s="570"/>
      <c r="G173" s="570"/>
      <c r="H173" s="570" t="s">
        <v>463</v>
      </c>
      <c r="I173" s="570"/>
      <c r="J173" s="570"/>
      <c r="K173" s="571" t="s">
        <v>226</v>
      </c>
      <c r="L173" s="571"/>
      <c r="M173" s="570" t="s">
        <v>464</v>
      </c>
      <c r="N173" s="570"/>
      <c r="O173" s="492"/>
      <c r="P173" s="568">
        <v>41002</v>
      </c>
      <c r="Q173" s="568"/>
      <c r="R173" s="568"/>
      <c r="S173" s="492"/>
      <c r="T173" s="568">
        <v>10465</v>
      </c>
      <c r="U173" s="568"/>
      <c r="V173" s="568"/>
      <c r="W173" s="492"/>
      <c r="X173" s="569">
        <v>30537</v>
      </c>
      <c r="Y173" s="569"/>
      <c r="Z173">
        <v>10465</v>
      </c>
    </row>
    <row r="174" spans="1:25" ht="10.5" customHeight="1">
      <c r="A174" s="492"/>
      <c r="B174" s="492"/>
      <c r="C174" s="492"/>
      <c r="D174" s="492"/>
      <c r="E174" s="492"/>
      <c r="F174" s="492"/>
      <c r="G174" s="492"/>
      <c r="H174" s="492"/>
      <c r="I174" s="492"/>
      <c r="J174" s="492"/>
      <c r="K174" s="567"/>
      <c r="L174" s="571"/>
      <c r="M174" s="492"/>
      <c r="N174" s="492"/>
      <c r="O174" s="492"/>
      <c r="P174" s="492"/>
      <c r="Q174" s="492"/>
      <c r="R174" s="492"/>
      <c r="S174" s="492"/>
      <c r="T174" s="492"/>
      <c r="U174" s="492"/>
      <c r="V174" s="492"/>
      <c r="W174" s="492"/>
      <c r="X174" s="492"/>
      <c r="Y174" s="492"/>
    </row>
    <row r="175" spans="1:25" ht="11.25" customHeight="1">
      <c r="A175" s="570" t="s">
        <v>37</v>
      </c>
      <c r="B175" s="570"/>
      <c r="C175" s="570"/>
      <c r="D175" s="570"/>
      <c r="E175" s="570"/>
      <c r="F175" s="570"/>
      <c r="G175" s="570"/>
      <c r="H175" s="570" t="s">
        <v>463</v>
      </c>
      <c r="I175" s="570"/>
      <c r="J175" s="570"/>
      <c r="K175" s="571" t="s">
        <v>226</v>
      </c>
      <c r="L175" s="571"/>
      <c r="M175" s="570" t="s">
        <v>464</v>
      </c>
      <c r="N175" s="570"/>
      <c r="O175" s="492"/>
      <c r="P175" s="568">
        <v>75441.82</v>
      </c>
      <c r="Q175" s="568"/>
      <c r="R175" s="568"/>
      <c r="S175" s="492"/>
      <c r="T175" s="568">
        <v>0</v>
      </c>
      <c r="U175" s="568"/>
      <c r="V175" s="568"/>
      <c r="W175" s="492"/>
      <c r="X175" s="569">
        <v>75441.82</v>
      </c>
      <c r="Y175" s="569"/>
    </row>
    <row r="176" spans="1:25" ht="10.5" customHeight="1">
      <c r="A176" s="492"/>
      <c r="B176" s="492"/>
      <c r="C176" s="492"/>
      <c r="D176" s="492"/>
      <c r="E176" s="492"/>
      <c r="F176" s="492"/>
      <c r="G176" s="492"/>
      <c r="H176" s="492"/>
      <c r="I176" s="492"/>
      <c r="J176" s="492"/>
      <c r="K176" s="567"/>
      <c r="L176" s="571"/>
      <c r="M176" s="492"/>
      <c r="N176" s="492"/>
      <c r="O176" s="492"/>
      <c r="P176" s="492"/>
      <c r="Q176" s="492"/>
      <c r="R176" s="492"/>
      <c r="S176" s="492"/>
      <c r="T176" s="492"/>
      <c r="U176" s="492"/>
      <c r="V176" s="492"/>
      <c r="W176" s="492"/>
      <c r="X176" s="492"/>
      <c r="Y176" s="492"/>
    </row>
    <row r="177" spans="1:25" ht="11.25" customHeight="1">
      <c r="A177" s="570" t="s">
        <v>31</v>
      </c>
      <c r="B177" s="570"/>
      <c r="C177" s="570"/>
      <c r="D177" s="570"/>
      <c r="E177" s="570"/>
      <c r="F177" s="570"/>
      <c r="G177" s="570"/>
      <c r="H177" s="570" t="s">
        <v>463</v>
      </c>
      <c r="I177" s="570"/>
      <c r="J177" s="570"/>
      <c r="K177" s="571" t="s">
        <v>226</v>
      </c>
      <c r="L177" s="571"/>
      <c r="M177" s="570" t="s">
        <v>464</v>
      </c>
      <c r="N177" s="570"/>
      <c r="O177" s="492"/>
      <c r="P177" s="568">
        <v>101929.64</v>
      </c>
      <c r="Q177" s="568"/>
      <c r="R177" s="568"/>
      <c r="S177" s="492"/>
      <c r="T177" s="568">
        <v>0</v>
      </c>
      <c r="U177" s="568"/>
      <c r="V177" s="568"/>
      <c r="W177" s="492"/>
      <c r="X177" s="569">
        <v>101929.64</v>
      </c>
      <c r="Y177" s="569"/>
    </row>
    <row r="178" spans="1:25" ht="10.5" customHeight="1">
      <c r="A178" s="492"/>
      <c r="B178" s="492"/>
      <c r="C178" s="492"/>
      <c r="D178" s="492"/>
      <c r="E178" s="492"/>
      <c r="F178" s="492"/>
      <c r="G178" s="492"/>
      <c r="H178" s="492"/>
      <c r="I178" s="492"/>
      <c r="J178" s="492"/>
      <c r="K178" s="567"/>
      <c r="L178" s="571"/>
      <c r="M178" s="492"/>
      <c r="N178" s="492"/>
      <c r="O178" s="492"/>
      <c r="P178" s="492"/>
      <c r="Q178" s="492"/>
      <c r="R178" s="492"/>
      <c r="S178" s="492"/>
      <c r="T178" s="492"/>
      <c r="U178" s="492"/>
      <c r="V178" s="492"/>
      <c r="W178" s="492"/>
      <c r="X178" s="492"/>
      <c r="Y178" s="492"/>
    </row>
    <row r="179" spans="1:25" ht="11.25" customHeight="1">
      <c r="A179" s="570" t="s">
        <v>32</v>
      </c>
      <c r="B179" s="570"/>
      <c r="C179" s="570"/>
      <c r="D179" s="570"/>
      <c r="E179" s="570"/>
      <c r="F179" s="570"/>
      <c r="G179" s="570"/>
      <c r="H179" s="570" t="s">
        <v>463</v>
      </c>
      <c r="I179" s="570"/>
      <c r="J179" s="570"/>
      <c r="K179" s="571" t="s">
        <v>226</v>
      </c>
      <c r="L179" s="571"/>
      <c r="M179" s="570" t="s">
        <v>464</v>
      </c>
      <c r="N179" s="570"/>
      <c r="O179" s="492"/>
      <c r="P179" s="568">
        <v>33381.84</v>
      </c>
      <c r="Q179" s="568"/>
      <c r="R179" s="568"/>
      <c r="S179" s="492"/>
      <c r="T179" s="568">
        <v>0</v>
      </c>
      <c r="U179" s="568"/>
      <c r="V179" s="568"/>
      <c r="W179" s="492"/>
      <c r="X179" s="569">
        <v>33381.84</v>
      </c>
      <c r="Y179" s="569"/>
    </row>
    <row r="180" spans="1:25" ht="10.5" customHeight="1">
      <c r="A180" s="492"/>
      <c r="B180" s="492"/>
      <c r="C180" s="492"/>
      <c r="D180" s="492"/>
      <c r="E180" s="492"/>
      <c r="F180" s="492"/>
      <c r="G180" s="492"/>
      <c r="H180" s="492"/>
      <c r="I180" s="492"/>
      <c r="J180" s="492"/>
      <c r="K180" s="567"/>
      <c r="L180" s="571"/>
      <c r="M180" s="492"/>
      <c r="N180" s="492"/>
      <c r="O180" s="492"/>
      <c r="P180" s="492"/>
      <c r="Q180" s="492"/>
      <c r="R180" s="492"/>
      <c r="S180" s="492"/>
      <c r="T180" s="492"/>
      <c r="U180" s="492"/>
      <c r="V180" s="492"/>
      <c r="W180" s="492"/>
      <c r="X180" s="492"/>
      <c r="Y180" s="492"/>
    </row>
    <row r="181" spans="1:25" ht="11.25" customHeight="1">
      <c r="A181" s="570" t="s">
        <v>38</v>
      </c>
      <c r="B181" s="570"/>
      <c r="C181" s="570"/>
      <c r="D181" s="570"/>
      <c r="E181" s="570"/>
      <c r="F181" s="570"/>
      <c r="G181" s="570"/>
      <c r="H181" s="570" t="s">
        <v>463</v>
      </c>
      <c r="I181" s="570"/>
      <c r="J181" s="570"/>
      <c r="K181" s="571" t="s">
        <v>226</v>
      </c>
      <c r="L181" s="571"/>
      <c r="M181" s="570" t="s">
        <v>464</v>
      </c>
      <c r="N181" s="570"/>
      <c r="O181" s="492"/>
      <c r="P181" s="568">
        <v>4690</v>
      </c>
      <c r="Q181" s="568"/>
      <c r="R181" s="568"/>
      <c r="S181" s="492"/>
      <c r="T181" s="568">
        <v>0</v>
      </c>
      <c r="U181" s="568"/>
      <c r="V181" s="568"/>
      <c r="W181" s="492"/>
      <c r="X181" s="569">
        <v>4690</v>
      </c>
      <c r="Y181" s="569"/>
    </row>
    <row r="182" spans="1:25" ht="10.5" customHeight="1">
      <c r="A182" s="492"/>
      <c r="B182" s="492"/>
      <c r="C182" s="492"/>
      <c r="D182" s="492"/>
      <c r="E182" s="492"/>
      <c r="F182" s="492"/>
      <c r="G182" s="492"/>
      <c r="H182" s="492"/>
      <c r="I182" s="492"/>
      <c r="J182" s="492"/>
      <c r="K182" s="567"/>
      <c r="L182" s="571"/>
      <c r="M182" s="492"/>
      <c r="N182" s="492"/>
      <c r="O182" s="492"/>
      <c r="P182" s="492"/>
      <c r="Q182" s="492"/>
      <c r="R182" s="492"/>
      <c r="S182" s="492"/>
      <c r="T182" s="492"/>
      <c r="U182" s="492"/>
      <c r="V182" s="492"/>
      <c r="W182" s="492"/>
      <c r="X182" s="492"/>
      <c r="Y182" s="492"/>
    </row>
    <row r="183" spans="1:25" ht="11.25" customHeight="1">
      <c r="A183" s="492"/>
      <c r="B183" s="492"/>
      <c r="C183" s="492"/>
      <c r="D183" s="492"/>
      <c r="E183" s="492"/>
      <c r="F183" s="492"/>
      <c r="G183" s="492"/>
      <c r="H183" s="492"/>
      <c r="I183" s="492"/>
      <c r="J183" s="492"/>
      <c r="K183" s="492"/>
      <c r="L183" s="492"/>
      <c r="M183" s="492"/>
      <c r="N183" s="492"/>
      <c r="O183" s="492"/>
      <c r="P183" s="492"/>
      <c r="Q183" s="492"/>
      <c r="R183" s="492"/>
      <c r="S183" s="492"/>
      <c r="T183" s="492"/>
      <c r="U183" s="492"/>
      <c r="V183" s="492"/>
      <c r="W183" s="492"/>
      <c r="X183" s="492"/>
      <c r="Y183" s="492"/>
    </row>
    <row r="184" spans="1:26" ht="10.5" customHeight="1">
      <c r="A184" s="492"/>
      <c r="B184" s="492"/>
      <c r="C184" s="492"/>
      <c r="D184" s="492"/>
      <c r="E184" s="492"/>
      <c r="F184" s="492"/>
      <c r="G184" s="492"/>
      <c r="H184" s="492"/>
      <c r="I184" s="492"/>
      <c r="J184" s="492"/>
      <c r="K184" s="492"/>
      <c r="L184" s="492"/>
      <c r="M184" s="492"/>
      <c r="N184" s="492"/>
      <c r="O184" s="565">
        <v>256445.3</v>
      </c>
      <c r="P184" s="565"/>
      <c r="Q184" s="565"/>
      <c r="R184" s="565"/>
      <c r="S184" s="492"/>
      <c r="T184" s="565">
        <v>10465</v>
      </c>
      <c r="U184" s="565"/>
      <c r="V184" s="565"/>
      <c r="W184" s="492"/>
      <c r="X184" s="565">
        <v>245980.3</v>
      </c>
      <c r="Y184" s="565"/>
      <c r="Z184">
        <f>SUM(Z173:Z181)</f>
        <v>10465</v>
      </c>
    </row>
    <row r="185" spans="1:25" ht="11.25" customHeight="1">
      <c r="A185" s="492"/>
      <c r="B185" s="492"/>
      <c r="C185" s="492"/>
      <c r="D185" s="492"/>
      <c r="E185" s="492"/>
      <c r="F185" s="492"/>
      <c r="G185" s="492"/>
      <c r="H185" s="492"/>
      <c r="I185" s="492"/>
      <c r="J185" s="492"/>
      <c r="K185" s="492"/>
      <c r="L185" s="492"/>
      <c r="M185" s="492"/>
      <c r="N185" s="492"/>
      <c r="O185" s="492"/>
      <c r="P185" s="492"/>
      <c r="Q185" s="492"/>
      <c r="R185" s="492"/>
      <c r="S185" s="492"/>
      <c r="T185" s="492"/>
      <c r="U185" s="492"/>
      <c r="V185" s="492"/>
      <c r="W185" s="492"/>
      <c r="X185" s="492"/>
      <c r="Y185" s="492"/>
    </row>
    <row r="186" spans="1:25" ht="10.5" customHeight="1">
      <c r="A186" s="492"/>
      <c r="B186" s="492"/>
      <c r="C186" s="573" t="s">
        <v>213</v>
      </c>
      <c r="D186" s="573"/>
      <c r="E186" s="573"/>
      <c r="F186" s="573"/>
      <c r="G186" s="492"/>
      <c r="H186" s="571" t="s">
        <v>238</v>
      </c>
      <c r="I186" s="571"/>
      <c r="J186" s="571"/>
      <c r="K186" s="571"/>
      <c r="L186" s="571"/>
      <c r="M186" s="571"/>
      <c r="N186" s="571"/>
      <c r="O186" s="571"/>
      <c r="P186" s="571"/>
      <c r="Q186" s="571"/>
      <c r="R186" s="571"/>
      <c r="S186" s="571"/>
      <c r="T186" s="492"/>
      <c r="U186" s="492"/>
      <c r="V186" s="492"/>
      <c r="W186" s="492"/>
      <c r="X186" s="492"/>
      <c r="Y186" s="492"/>
    </row>
    <row r="187" spans="1:26" ht="11.25" customHeight="1">
      <c r="A187" s="573" t="s">
        <v>215</v>
      </c>
      <c r="B187" s="573"/>
      <c r="C187" s="573"/>
      <c r="D187" s="573"/>
      <c r="E187" s="573"/>
      <c r="F187" s="492"/>
      <c r="G187" s="492"/>
      <c r="H187" s="492"/>
      <c r="I187" s="574" t="s">
        <v>488</v>
      </c>
      <c r="J187" s="574"/>
      <c r="K187" s="574"/>
      <c r="L187" s="574"/>
      <c r="M187" s="574"/>
      <c r="N187" s="574"/>
      <c r="O187" s="575" t="s">
        <v>489</v>
      </c>
      <c r="P187" s="575"/>
      <c r="Q187" s="575"/>
      <c r="R187" s="575"/>
      <c r="S187" s="492"/>
      <c r="T187" s="575" t="s">
        <v>490</v>
      </c>
      <c r="U187" s="575"/>
      <c r="V187" s="575"/>
      <c r="W187" s="492"/>
      <c r="X187" s="576" t="s">
        <v>491</v>
      </c>
      <c r="Y187" s="576"/>
      <c r="Z187" s="496"/>
    </row>
    <row r="188" spans="1:26" ht="10.5" customHeight="1">
      <c r="A188" s="492"/>
      <c r="B188" s="492"/>
      <c r="C188" s="492"/>
      <c r="D188" s="492"/>
      <c r="E188" s="492"/>
      <c r="F188" s="492"/>
      <c r="G188" s="492"/>
      <c r="H188" s="492"/>
      <c r="I188" s="492"/>
      <c r="J188" s="492"/>
      <c r="K188" s="492"/>
      <c r="L188" s="492"/>
      <c r="M188" s="492"/>
      <c r="N188" s="492"/>
      <c r="O188" s="492"/>
      <c r="P188" s="492"/>
      <c r="Q188" s="492"/>
      <c r="R188" s="492"/>
      <c r="S188" s="492"/>
      <c r="T188" s="492"/>
      <c r="U188" s="492"/>
      <c r="V188" s="492"/>
      <c r="W188" s="492"/>
      <c r="X188" s="492"/>
      <c r="Y188" s="492"/>
      <c r="Z188" s="496"/>
    </row>
    <row r="189" spans="1:26" ht="11.25" customHeight="1">
      <c r="A189" s="570" t="s">
        <v>36</v>
      </c>
      <c r="B189" s="570"/>
      <c r="C189" s="570"/>
      <c r="D189" s="570"/>
      <c r="E189" s="570"/>
      <c r="F189" s="570"/>
      <c r="G189" s="570"/>
      <c r="H189" s="570" t="s">
        <v>463</v>
      </c>
      <c r="I189" s="570"/>
      <c r="J189" s="570"/>
      <c r="K189" s="571" t="s">
        <v>226</v>
      </c>
      <c r="L189" s="571"/>
      <c r="M189" s="570" t="s">
        <v>464</v>
      </c>
      <c r="N189" s="570"/>
      <c r="O189" s="492"/>
      <c r="P189" s="568">
        <v>369015</v>
      </c>
      <c r="Q189" s="568"/>
      <c r="R189" s="568"/>
      <c r="S189" s="492"/>
      <c r="T189" s="568">
        <v>161889</v>
      </c>
      <c r="U189" s="568"/>
      <c r="V189" s="568"/>
      <c r="W189" s="492"/>
      <c r="X189" s="569">
        <v>207126</v>
      </c>
      <c r="Y189" s="569"/>
      <c r="Z189" s="496">
        <v>161889</v>
      </c>
    </row>
    <row r="190" spans="1:26" ht="10.5" customHeight="1">
      <c r="A190" s="492"/>
      <c r="B190" s="492"/>
      <c r="C190" s="492"/>
      <c r="D190" s="492"/>
      <c r="E190" s="492"/>
      <c r="F190" s="492"/>
      <c r="G190" s="492"/>
      <c r="H190" s="492"/>
      <c r="I190" s="492"/>
      <c r="J190" s="492"/>
      <c r="K190" s="567"/>
      <c r="L190" s="571"/>
      <c r="M190" s="492"/>
      <c r="N190" s="492"/>
      <c r="O190" s="492"/>
      <c r="P190" s="492"/>
      <c r="Q190" s="492"/>
      <c r="R190" s="492"/>
      <c r="S190" s="492"/>
      <c r="T190" s="492"/>
      <c r="U190" s="492"/>
      <c r="V190" s="492"/>
      <c r="W190" s="492"/>
      <c r="X190" s="492"/>
      <c r="Y190" s="492"/>
      <c r="Z190" s="496"/>
    </row>
    <row r="191" spans="1:26" ht="11.25" customHeight="1">
      <c r="A191" s="570" t="s">
        <v>37</v>
      </c>
      <c r="B191" s="570"/>
      <c r="C191" s="570"/>
      <c r="D191" s="570"/>
      <c r="E191" s="570"/>
      <c r="F191" s="570"/>
      <c r="G191" s="570"/>
      <c r="H191" s="570" t="s">
        <v>463</v>
      </c>
      <c r="I191" s="570"/>
      <c r="J191" s="570"/>
      <c r="K191" s="571" t="s">
        <v>226</v>
      </c>
      <c r="L191" s="571"/>
      <c r="M191" s="570" t="s">
        <v>464</v>
      </c>
      <c r="N191" s="570"/>
      <c r="O191" s="492"/>
      <c r="P191" s="568">
        <v>692025.91</v>
      </c>
      <c r="Q191" s="568"/>
      <c r="R191" s="568"/>
      <c r="S191" s="492"/>
      <c r="T191" s="568">
        <v>0</v>
      </c>
      <c r="U191" s="568"/>
      <c r="V191" s="568"/>
      <c r="W191" s="492"/>
      <c r="X191" s="569">
        <v>692025.91</v>
      </c>
      <c r="Y191" s="569"/>
      <c r="Z191" s="496"/>
    </row>
    <row r="192" spans="1:26" ht="10.5" customHeight="1">
      <c r="A192" s="492"/>
      <c r="B192" s="492"/>
      <c r="C192" s="492"/>
      <c r="D192" s="492"/>
      <c r="E192" s="492"/>
      <c r="F192" s="492"/>
      <c r="G192" s="492"/>
      <c r="H192" s="492"/>
      <c r="I192" s="492"/>
      <c r="J192" s="492"/>
      <c r="K192" s="567"/>
      <c r="L192" s="571"/>
      <c r="M192" s="492"/>
      <c r="N192" s="492"/>
      <c r="O192" s="492"/>
      <c r="P192" s="492"/>
      <c r="Q192" s="492"/>
      <c r="R192" s="492"/>
      <c r="S192" s="492"/>
      <c r="T192" s="492"/>
      <c r="U192" s="492"/>
      <c r="V192" s="492"/>
      <c r="W192" s="492"/>
      <c r="X192" s="492"/>
      <c r="Y192" s="492"/>
      <c r="Z192" s="496"/>
    </row>
    <row r="193" spans="1:26" ht="11.25" customHeight="1">
      <c r="A193" s="570" t="s">
        <v>31</v>
      </c>
      <c r="B193" s="570"/>
      <c r="C193" s="570"/>
      <c r="D193" s="570"/>
      <c r="E193" s="570"/>
      <c r="F193" s="570"/>
      <c r="G193" s="570"/>
      <c r="H193" s="570" t="s">
        <v>463</v>
      </c>
      <c r="I193" s="570"/>
      <c r="J193" s="570"/>
      <c r="K193" s="571" t="s">
        <v>226</v>
      </c>
      <c r="L193" s="571"/>
      <c r="M193" s="570" t="s">
        <v>464</v>
      </c>
      <c r="N193" s="570"/>
      <c r="O193" s="492"/>
      <c r="P193" s="568">
        <v>492365.79</v>
      </c>
      <c r="Q193" s="568"/>
      <c r="R193" s="568"/>
      <c r="S193" s="492"/>
      <c r="T193" s="568">
        <v>0</v>
      </c>
      <c r="U193" s="568"/>
      <c r="V193" s="568"/>
      <c r="W193" s="492"/>
      <c r="X193" s="569">
        <v>492365.79</v>
      </c>
      <c r="Y193" s="569"/>
      <c r="Z193" s="496"/>
    </row>
    <row r="194" spans="1:26" ht="10.5" customHeight="1">
      <c r="A194" s="492"/>
      <c r="B194" s="492"/>
      <c r="C194" s="492"/>
      <c r="D194" s="492"/>
      <c r="E194" s="492"/>
      <c r="F194" s="492"/>
      <c r="G194" s="492"/>
      <c r="H194" s="492"/>
      <c r="I194" s="492"/>
      <c r="J194" s="492"/>
      <c r="K194" s="567"/>
      <c r="L194" s="571"/>
      <c r="M194" s="492"/>
      <c r="N194" s="492"/>
      <c r="O194" s="492"/>
      <c r="P194" s="492"/>
      <c r="Q194" s="492"/>
      <c r="R194" s="492"/>
      <c r="S194" s="492"/>
      <c r="T194" s="492"/>
      <c r="U194" s="492"/>
      <c r="V194" s="492"/>
      <c r="W194" s="492"/>
      <c r="X194" s="492"/>
      <c r="Y194" s="492"/>
      <c r="Z194" s="496"/>
    </row>
    <row r="195" spans="1:26" ht="11.25" customHeight="1">
      <c r="A195" s="570" t="s">
        <v>32</v>
      </c>
      <c r="B195" s="570"/>
      <c r="C195" s="570"/>
      <c r="D195" s="570"/>
      <c r="E195" s="570"/>
      <c r="F195" s="570"/>
      <c r="G195" s="570"/>
      <c r="H195" s="570" t="s">
        <v>463</v>
      </c>
      <c r="I195" s="570"/>
      <c r="J195" s="570"/>
      <c r="K195" s="571" t="s">
        <v>226</v>
      </c>
      <c r="L195" s="571"/>
      <c r="M195" s="570" t="s">
        <v>464</v>
      </c>
      <c r="N195" s="570"/>
      <c r="O195" s="492"/>
      <c r="P195" s="568">
        <v>313627.67</v>
      </c>
      <c r="Q195" s="568"/>
      <c r="R195" s="568"/>
      <c r="S195" s="492"/>
      <c r="T195" s="568">
        <v>45714</v>
      </c>
      <c r="U195" s="568"/>
      <c r="V195" s="568"/>
      <c r="W195" s="492"/>
      <c r="X195" s="569">
        <v>267913.67</v>
      </c>
      <c r="Y195" s="569"/>
      <c r="Z195" s="496">
        <v>45714</v>
      </c>
    </row>
    <row r="196" spans="1:26" ht="10.5" customHeight="1">
      <c r="A196" s="492"/>
      <c r="B196" s="492"/>
      <c r="C196" s="492"/>
      <c r="D196" s="492"/>
      <c r="E196" s="492"/>
      <c r="F196" s="492"/>
      <c r="G196" s="492"/>
      <c r="H196" s="492"/>
      <c r="I196" s="492"/>
      <c r="J196" s="492"/>
      <c r="K196" s="567"/>
      <c r="L196" s="571"/>
      <c r="M196" s="492"/>
      <c r="N196" s="492"/>
      <c r="O196" s="492"/>
      <c r="P196" s="492"/>
      <c r="Q196" s="492"/>
      <c r="R196" s="492"/>
      <c r="S196" s="492"/>
      <c r="T196" s="492"/>
      <c r="U196" s="492"/>
      <c r="V196" s="492"/>
      <c r="W196" s="492"/>
      <c r="X196" s="492"/>
      <c r="Y196" s="492"/>
      <c r="Z196" s="496"/>
    </row>
    <row r="197" spans="1:26" ht="11.25">
      <c r="A197" s="570" t="s">
        <v>38</v>
      </c>
      <c r="B197" s="570"/>
      <c r="C197" s="570"/>
      <c r="D197" s="570"/>
      <c r="E197" s="570"/>
      <c r="F197" s="570"/>
      <c r="G197" s="570"/>
      <c r="H197" s="570" t="s">
        <v>463</v>
      </c>
      <c r="I197" s="570"/>
      <c r="J197" s="570"/>
      <c r="K197" s="571" t="s">
        <v>226</v>
      </c>
      <c r="L197" s="571"/>
      <c r="M197" s="570" t="s">
        <v>464</v>
      </c>
      <c r="N197" s="570"/>
      <c r="O197" s="492"/>
      <c r="P197" s="568">
        <v>42214</v>
      </c>
      <c r="Q197" s="568"/>
      <c r="R197" s="568"/>
      <c r="S197" s="492"/>
      <c r="T197" s="568">
        <v>14855.77</v>
      </c>
      <c r="U197" s="568"/>
      <c r="V197" s="568"/>
      <c r="W197" s="492"/>
      <c r="X197" s="569">
        <v>27358.23</v>
      </c>
      <c r="Y197" s="569"/>
      <c r="Z197" s="496">
        <v>14855.77</v>
      </c>
    </row>
    <row r="198" spans="1:25" ht="10.5">
      <c r="A198" s="492"/>
      <c r="B198" s="492"/>
      <c r="C198" s="492"/>
      <c r="D198" s="492"/>
      <c r="E198" s="492"/>
      <c r="F198" s="492"/>
      <c r="G198" s="492"/>
      <c r="H198" s="492"/>
      <c r="I198" s="492"/>
      <c r="J198" s="492"/>
      <c r="K198" s="567"/>
      <c r="L198" s="571"/>
      <c r="M198" s="492"/>
      <c r="N198" s="492"/>
      <c r="O198" s="492"/>
      <c r="P198" s="492"/>
      <c r="Q198" s="492"/>
      <c r="R198" s="492"/>
      <c r="S198" s="492"/>
      <c r="T198" s="492"/>
      <c r="U198" s="492"/>
      <c r="V198" s="492"/>
      <c r="W198" s="492"/>
      <c r="X198" s="492"/>
      <c r="Y198" s="492"/>
    </row>
    <row r="199" spans="1:25" ht="10.5">
      <c r="A199" s="492"/>
      <c r="B199" s="492"/>
      <c r="C199" s="492"/>
      <c r="D199" s="492"/>
      <c r="E199" s="492"/>
      <c r="F199" s="492"/>
      <c r="G199" s="492"/>
      <c r="H199" s="492"/>
      <c r="I199" s="492"/>
      <c r="J199" s="492"/>
      <c r="K199" s="492"/>
      <c r="L199" s="492"/>
      <c r="M199" s="492"/>
      <c r="N199" s="492"/>
      <c r="O199" s="492"/>
      <c r="P199" s="492"/>
      <c r="Q199" s="492"/>
      <c r="R199" s="492"/>
      <c r="S199" s="492"/>
      <c r="T199" s="492"/>
      <c r="U199" s="492"/>
      <c r="V199" s="492"/>
      <c r="W199" s="492"/>
      <c r="X199" s="492"/>
      <c r="Y199" s="492"/>
    </row>
    <row r="200" spans="1:26" ht="11.25">
      <c r="A200" s="492"/>
      <c r="B200" s="492"/>
      <c r="C200" s="492"/>
      <c r="D200" s="492"/>
      <c r="E200" s="492"/>
      <c r="F200" s="492"/>
      <c r="G200" s="492"/>
      <c r="H200" s="492"/>
      <c r="I200" s="492"/>
      <c r="J200" s="492"/>
      <c r="K200" s="492"/>
      <c r="L200" s="492"/>
      <c r="M200" s="492"/>
      <c r="N200" s="492"/>
      <c r="O200" s="565">
        <v>1909248.37</v>
      </c>
      <c r="P200" s="565"/>
      <c r="Q200" s="565"/>
      <c r="R200" s="565"/>
      <c r="S200" s="492"/>
      <c r="T200" s="565">
        <v>222458.77</v>
      </c>
      <c r="U200" s="565"/>
      <c r="V200" s="565"/>
      <c r="W200" s="492"/>
      <c r="X200" s="565">
        <v>1686789.6</v>
      </c>
      <c r="Y200" s="565"/>
      <c r="Z200">
        <f>SUM(Z189:Z197)</f>
        <v>222458.77</v>
      </c>
    </row>
    <row r="201" spans="1:25" ht="11.25" customHeight="1">
      <c r="A201" s="492"/>
      <c r="B201" s="492"/>
      <c r="C201" s="492"/>
      <c r="D201" s="492"/>
      <c r="E201" s="492"/>
      <c r="F201" s="492"/>
      <c r="G201" s="492"/>
      <c r="H201" s="492"/>
      <c r="I201" s="492"/>
      <c r="J201" s="492"/>
      <c r="K201" s="492"/>
      <c r="L201" s="492"/>
      <c r="M201" s="492"/>
      <c r="N201" s="492"/>
      <c r="O201" s="492"/>
      <c r="P201" s="492"/>
      <c r="Q201" s="492"/>
      <c r="R201" s="492"/>
      <c r="S201" s="492"/>
      <c r="T201" s="492"/>
      <c r="U201" s="492"/>
      <c r="V201" s="492"/>
      <c r="W201" s="492"/>
      <c r="X201" s="492"/>
      <c r="Y201" s="492"/>
    </row>
    <row r="202" spans="1:25" ht="10.5" customHeight="1">
      <c r="A202" s="492"/>
      <c r="B202" s="492"/>
      <c r="C202" s="492"/>
      <c r="D202" s="492"/>
      <c r="E202" s="492"/>
      <c r="F202" s="492"/>
      <c r="G202" s="492"/>
      <c r="H202" s="492"/>
      <c r="I202" s="492"/>
      <c r="J202" s="492"/>
      <c r="K202" s="492"/>
      <c r="L202" s="492"/>
      <c r="M202" s="492"/>
      <c r="N202" s="492"/>
      <c r="O202" s="492"/>
      <c r="P202" s="492"/>
      <c r="Q202" s="492"/>
      <c r="R202" s="492"/>
      <c r="S202" s="492"/>
      <c r="T202" s="492"/>
      <c r="U202" s="492"/>
      <c r="V202" s="492"/>
      <c r="W202" s="492"/>
      <c r="X202" s="492"/>
      <c r="Y202" s="492"/>
    </row>
    <row r="203" spans="1:25" ht="11.25">
      <c r="A203" s="492"/>
      <c r="B203" s="566" t="s">
        <v>467</v>
      </c>
      <c r="C203" s="566"/>
      <c r="D203" s="566"/>
      <c r="E203" s="566"/>
      <c r="F203" s="566"/>
      <c r="G203" s="566"/>
      <c r="H203" s="566"/>
      <c r="I203" s="566"/>
      <c r="J203" s="566"/>
      <c r="K203" s="566"/>
      <c r="L203" s="566"/>
      <c r="M203" s="566"/>
      <c r="N203" s="492"/>
      <c r="O203" s="572">
        <v>2165693.67</v>
      </c>
      <c r="P203" s="572"/>
      <c r="Q203" s="572"/>
      <c r="R203" s="572"/>
      <c r="S203" s="492"/>
      <c r="T203" s="572">
        <v>232923.77</v>
      </c>
      <c r="U203" s="572"/>
      <c r="V203" s="572"/>
      <c r="W203" s="492"/>
      <c r="X203" s="565">
        <v>1932769.9</v>
      </c>
      <c r="Y203" s="565"/>
    </row>
    <row r="204" spans="1:25" ht="10.5">
      <c r="A204" s="492"/>
      <c r="B204" s="567"/>
      <c r="C204" s="566"/>
      <c r="D204" s="566"/>
      <c r="E204" s="566"/>
      <c r="F204" s="566"/>
      <c r="G204" s="566"/>
      <c r="H204" s="566"/>
      <c r="I204" s="566"/>
      <c r="J204" s="566"/>
      <c r="K204" s="566"/>
      <c r="L204" s="566"/>
      <c r="M204" s="566"/>
      <c r="N204" s="492"/>
      <c r="O204" s="492"/>
      <c r="P204" s="492"/>
      <c r="Q204" s="492"/>
      <c r="R204" s="492"/>
      <c r="S204" s="492"/>
      <c r="T204" s="492"/>
      <c r="U204" s="492"/>
      <c r="V204" s="492"/>
      <c r="W204" s="492"/>
      <c r="X204" s="492"/>
      <c r="Y204" s="492"/>
    </row>
    <row r="205" spans="1:25" ht="10.5" customHeight="1">
      <c r="A205" s="492"/>
      <c r="B205" s="492"/>
      <c r="C205" s="492"/>
      <c r="D205" s="492"/>
      <c r="E205" s="492"/>
      <c r="F205" s="492"/>
      <c r="G205" s="492"/>
      <c r="H205" s="492"/>
      <c r="I205" s="492"/>
      <c r="J205" s="492"/>
      <c r="K205" s="492"/>
      <c r="L205" s="492"/>
      <c r="M205" s="492"/>
      <c r="N205" s="492"/>
      <c r="O205" s="492"/>
      <c r="P205" s="492"/>
      <c r="Q205" s="492"/>
      <c r="R205" s="492"/>
      <c r="S205" s="492"/>
      <c r="T205" s="492"/>
      <c r="U205" s="492"/>
      <c r="V205" s="492"/>
      <c r="W205" s="492"/>
      <c r="X205" s="492"/>
      <c r="Y205" s="492"/>
    </row>
    <row r="206" spans="1:25" ht="12">
      <c r="A206" s="573" t="s">
        <v>211</v>
      </c>
      <c r="B206" s="573"/>
      <c r="C206" s="573"/>
      <c r="D206" s="492"/>
      <c r="E206" s="571" t="s">
        <v>480</v>
      </c>
      <c r="F206" s="571"/>
      <c r="G206" s="571"/>
      <c r="H206" s="571"/>
      <c r="I206" s="571"/>
      <c r="J206" s="571"/>
      <c r="K206" s="571"/>
      <c r="L206" s="571"/>
      <c r="M206" s="571"/>
      <c r="N206" s="571"/>
      <c r="O206" s="571"/>
      <c r="P206" s="571"/>
      <c r="Q206" s="492"/>
      <c r="R206" s="492"/>
      <c r="S206" s="492"/>
      <c r="T206" s="492"/>
      <c r="U206" s="492"/>
      <c r="V206" s="492"/>
      <c r="W206" s="492"/>
      <c r="X206" s="492"/>
      <c r="Y206" s="492"/>
    </row>
    <row r="207" spans="1:25" ht="12" customHeight="1">
      <c r="A207" s="567"/>
      <c r="B207" s="573"/>
      <c r="C207" s="573"/>
      <c r="D207" s="492"/>
      <c r="E207" s="492"/>
      <c r="F207" s="492"/>
      <c r="G207" s="492"/>
      <c r="H207" s="492"/>
      <c r="I207" s="492"/>
      <c r="J207" s="492"/>
      <c r="K207" s="492"/>
      <c r="L207" s="492"/>
      <c r="M207" s="492"/>
      <c r="N207" s="492"/>
      <c r="O207" s="492"/>
      <c r="P207" s="492"/>
      <c r="Q207" s="492"/>
      <c r="R207" s="492"/>
      <c r="S207" s="492"/>
      <c r="T207" s="492"/>
      <c r="U207" s="492"/>
      <c r="V207" s="492"/>
      <c r="W207" s="492"/>
      <c r="X207" s="492"/>
      <c r="Y207" s="492"/>
    </row>
    <row r="208" spans="1:25" ht="12">
      <c r="A208" s="492"/>
      <c r="B208" s="492"/>
      <c r="C208" s="573" t="s">
        <v>213</v>
      </c>
      <c r="D208" s="573"/>
      <c r="E208" s="573"/>
      <c r="F208" s="573"/>
      <c r="G208" s="492"/>
      <c r="H208" s="571" t="s">
        <v>235</v>
      </c>
      <c r="I208" s="571"/>
      <c r="J208" s="571"/>
      <c r="K208" s="571"/>
      <c r="L208" s="571"/>
      <c r="M208" s="571"/>
      <c r="N208" s="571"/>
      <c r="O208" s="571"/>
      <c r="P208" s="571"/>
      <c r="Q208" s="571"/>
      <c r="R208" s="571"/>
      <c r="S208" s="571"/>
      <c r="T208" s="492"/>
      <c r="U208" s="492"/>
      <c r="V208" s="492"/>
      <c r="W208" s="492"/>
      <c r="X208" s="492"/>
      <c r="Y208" s="492"/>
    </row>
    <row r="209" spans="1:25" ht="11.25" customHeight="1">
      <c r="A209" s="573" t="s">
        <v>215</v>
      </c>
      <c r="B209" s="573"/>
      <c r="C209" s="573"/>
      <c r="D209" s="573"/>
      <c r="E209" s="573"/>
      <c r="F209" s="492"/>
      <c r="G209" s="492"/>
      <c r="H209" s="492"/>
      <c r="I209" s="574" t="s">
        <v>488</v>
      </c>
      <c r="J209" s="574"/>
      <c r="K209" s="574"/>
      <c r="L209" s="574"/>
      <c r="M209" s="574"/>
      <c r="N209" s="574"/>
      <c r="O209" s="575" t="s">
        <v>489</v>
      </c>
      <c r="P209" s="575"/>
      <c r="Q209" s="575"/>
      <c r="R209" s="575"/>
      <c r="S209" s="492"/>
      <c r="T209" s="575" t="s">
        <v>490</v>
      </c>
      <c r="U209" s="575"/>
      <c r="V209" s="575"/>
      <c r="W209" s="492"/>
      <c r="X209" s="576" t="s">
        <v>491</v>
      </c>
      <c r="Y209" s="576"/>
    </row>
    <row r="210" spans="1:25" ht="10.5" customHeight="1">
      <c r="A210" s="492"/>
      <c r="B210" s="492"/>
      <c r="C210" s="492"/>
      <c r="D210" s="492"/>
      <c r="E210" s="492"/>
      <c r="F210" s="492"/>
      <c r="G210" s="492"/>
      <c r="H210" s="492"/>
      <c r="I210" s="492"/>
      <c r="J210" s="492"/>
      <c r="K210" s="492"/>
      <c r="L210" s="492"/>
      <c r="M210" s="492"/>
      <c r="N210" s="492"/>
      <c r="O210" s="492"/>
      <c r="P210" s="492"/>
      <c r="Q210" s="492"/>
      <c r="R210" s="492"/>
      <c r="S210" s="492"/>
      <c r="T210" s="492"/>
      <c r="U210" s="492"/>
      <c r="V210" s="492"/>
      <c r="W210" s="492"/>
      <c r="X210" s="492"/>
      <c r="Y210" s="492"/>
    </row>
    <row r="211" spans="1:25" ht="11.25" customHeight="1">
      <c r="A211" s="570" t="s">
        <v>39</v>
      </c>
      <c r="B211" s="570"/>
      <c r="C211" s="570"/>
      <c r="D211" s="570"/>
      <c r="E211" s="570"/>
      <c r="F211" s="570"/>
      <c r="G211" s="570"/>
      <c r="H211" s="570" t="s">
        <v>463</v>
      </c>
      <c r="I211" s="570"/>
      <c r="J211" s="570"/>
      <c r="K211" s="571" t="s">
        <v>226</v>
      </c>
      <c r="L211" s="571"/>
      <c r="M211" s="570" t="s">
        <v>464</v>
      </c>
      <c r="N211" s="570"/>
      <c r="O211" s="492"/>
      <c r="P211" s="568">
        <v>10389</v>
      </c>
      <c r="Q211" s="568"/>
      <c r="R211" s="568"/>
      <c r="S211" s="492"/>
      <c r="T211" s="568">
        <v>0</v>
      </c>
      <c r="U211" s="568"/>
      <c r="V211" s="568"/>
      <c r="W211" s="492"/>
      <c r="X211" s="569">
        <v>10389</v>
      </c>
      <c r="Y211" s="569"/>
    </row>
    <row r="212" spans="1:25" ht="10.5" customHeight="1">
      <c r="A212" s="492"/>
      <c r="B212" s="492"/>
      <c r="C212" s="492"/>
      <c r="D212" s="492"/>
      <c r="E212" s="492"/>
      <c r="F212" s="492"/>
      <c r="G212" s="492"/>
      <c r="H212" s="492"/>
      <c r="I212" s="492"/>
      <c r="J212" s="492"/>
      <c r="K212" s="567"/>
      <c r="L212" s="571"/>
      <c r="M212" s="492"/>
      <c r="N212" s="492"/>
      <c r="O212" s="492"/>
      <c r="P212" s="492"/>
      <c r="Q212" s="492"/>
      <c r="R212" s="492"/>
      <c r="S212" s="492"/>
      <c r="T212" s="492"/>
      <c r="U212" s="492"/>
      <c r="V212" s="492"/>
      <c r="W212" s="492"/>
      <c r="X212" s="492"/>
      <c r="Y212" s="492"/>
    </row>
    <row r="213" spans="1:25" ht="11.25" customHeight="1">
      <c r="A213" s="570" t="s">
        <v>32</v>
      </c>
      <c r="B213" s="570"/>
      <c r="C213" s="570"/>
      <c r="D213" s="570"/>
      <c r="E213" s="570"/>
      <c r="F213" s="570"/>
      <c r="G213" s="570"/>
      <c r="H213" s="570" t="s">
        <v>463</v>
      </c>
      <c r="I213" s="570"/>
      <c r="J213" s="570"/>
      <c r="K213" s="571" t="s">
        <v>226</v>
      </c>
      <c r="L213" s="571"/>
      <c r="M213" s="570" t="s">
        <v>464</v>
      </c>
      <c r="N213" s="570"/>
      <c r="O213" s="492"/>
      <c r="P213" s="568">
        <v>424</v>
      </c>
      <c r="Q213" s="568"/>
      <c r="R213" s="568"/>
      <c r="S213" s="492"/>
      <c r="T213" s="568">
        <v>0</v>
      </c>
      <c r="U213" s="568"/>
      <c r="V213" s="568"/>
      <c r="W213" s="492"/>
      <c r="X213" s="569">
        <v>424</v>
      </c>
      <c r="Y213" s="569"/>
    </row>
    <row r="214" spans="1:25" ht="10.5" customHeight="1">
      <c r="A214" s="492"/>
      <c r="B214" s="492"/>
      <c r="C214" s="492"/>
      <c r="D214" s="492"/>
      <c r="E214" s="492"/>
      <c r="F214" s="492"/>
      <c r="G214" s="492"/>
      <c r="H214" s="492"/>
      <c r="I214" s="492"/>
      <c r="J214" s="492"/>
      <c r="K214" s="567"/>
      <c r="L214" s="571"/>
      <c r="M214" s="492"/>
      <c r="N214" s="492"/>
      <c r="O214" s="492"/>
      <c r="P214" s="492"/>
      <c r="Q214" s="492"/>
      <c r="R214" s="492"/>
      <c r="S214" s="492"/>
      <c r="T214" s="492"/>
      <c r="U214" s="492"/>
      <c r="V214" s="492"/>
      <c r="W214" s="492"/>
      <c r="X214" s="492"/>
      <c r="Y214" s="492"/>
    </row>
    <row r="215" spans="1:25" ht="11.25" customHeight="1">
      <c r="A215" s="492"/>
      <c r="B215" s="492"/>
      <c r="C215" s="492"/>
      <c r="D215" s="492"/>
      <c r="E215" s="492"/>
      <c r="F215" s="492"/>
      <c r="G215" s="492"/>
      <c r="H215" s="492"/>
      <c r="I215" s="492"/>
      <c r="J215" s="492"/>
      <c r="K215" s="492"/>
      <c r="L215" s="492"/>
      <c r="M215" s="492"/>
      <c r="N215" s="492"/>
      <c r="O215" s="492"/>
      <c r="P215" s="492"/>
      <c r="Q215" s="492"/>
      <c r="R215" s="492"/>
      <c r="S215" s="492"/>
      <c r="T215" s="492"/>
      <c r="U215" s="492"/>
      <c r="V215" s="492"/>
      <c r="W215" s="492"/>
      <c r="X215" s="492"/>
      <c r="Y215" s="492"/>
    </row>
    <row r="216" spans="1:25" ht="10.5" customHeight="1">
      <c r="A216" s="492"/>
      <c r="B216" s="492"/>
      <c r="C216" s="492"/>
      <c r="D216" s="492"/>
      <c r="E216" s="492"/>
      <c r="F216" s="492"/>
      <c r="G216" s="492"/>
      <c r="H216" s="492"/>
      <c r="I216" s="492"/>
      <c r="J216" s="492"/>
      <c r="K216" s="492"/>
      <c r="L216" s="492"/>
      <c r="M216" s="492"/>
      <c r="N216" s="492"/>
      <c r="O216" s="565">
        <v>10813</v>
      </c>
      <c r="P216" s="565"/>
      <c r="Q216" s="565"/>
      <c r="R216" s="565"/>
      <c r="S216" s="492"/>
      <c r="T216" s="565">
        <v>0</v>
      </c>
      <c r="U216" s="565"/>
      <c r="V216" s="565"/>
      <c r="W216" s="492"/>
      <c r="X216" s="565">
        <v>10813</v>
      </c>
      <c r="Y216" s="565"/>
    </row>
    <row r="217" spans="1:25" ht="11.25" customHeight="1">
      <c r="A217" s="492"/>
      <c r="B217" s="492"/>
      <c r="C217" s="492"/>
      <c r="D217" s="492"/>
      <c r="E217" s="492"/>
      <c r="F217" s="492"/>
      <c r="G217" s="492"/>
      <c r="H217" s="492"/>
      <c r="I217" s="492"/>
      <c r="J217" s="492"/>
      <c r="K217" s="492"/>
      <c r="L217" s="492"/>
      <c r="M217" s="492"/>
      <c r="N217" s="492"/>
      <c r="O217" s="492"/>
      <c r="P217" s="492"/>
      <c r="Q217" s="492"/>
      <c r="R217" s="492"/>
      <c r="S217" s="492"/>
      <c r="T217" s="492"/>
      <c r="U217" s="492"/>
      <c r="V217" s="492"/>
      <c r="W217" s="492"/>
      <c r="X217" s="492"/>
      <c r="Y217" s="492"/>
    </row>
    <row r="218" spans="1:25" ht="10.5" customHeight="1">
      <c r="A218" s="492"/>
      <c r="B218" s="492"/>
      <c r="C218" s="492"/>
      <c r="D218" s="492"/>
      <c r="E218" s="492"/>
      <c r="F218" s="492"/>
      <c r="G218" s="492"/>
      <c r="H218" s="492"/>
      <c r="I218" s="492"/>
      <c r="J218" s="492"/>
      <c r="K218" s="492"/>
      <c r="L218" s="492"/>
      <c r="M218" s="492"/>
      <c r="N218" s="492"/>
      <c r="O218" s="492"/>
      <c r="P218" s="492"/>
      <c r="Q218" s="492"/>
      <c r="R218" s="492"/>
      <c r="S218" s="492"/>
      <c r="T218" s="492"/>
      <c r="U218" s="492"/>
      <c r="V218" s="492"/>
      <c r="W218" s="492"/>
      <c r="X218" s="492"/>
      <c r="Y218" s="492"/>
    </row>
    <row r="219" spans="1:25" ht="11.25">
      <c r="A219" s="492"/>
      <c r="B219" s="566" t="s">
        <v>481</v>
      </c>
      <c r="C219" s="566"/>
      <c r="D219" s="566"/>
      <c r="E219" s="566"/>
      <c r="F219" s="566"/>
      <c r="G219" s="566"/>
      <c r="H219" s="566"/>
      <c r="I219" s="566"/>
      <c r="J219" s="566"/>
      <c r="K219" s="566"/>
      <c r="L219" s="566"/>
      <c r="M219" s="566"/>
      <c r="N219" s="492"/>
      <c r="O219" s="572">
        <v>10813</v>
      </c>
      <c r="P219" s="572"/>
      <c r="Q219" s="572"/>
      <c r="R219" s="572"/>
      <c r="S219" s="492"/>
      <c r="T219" s="572">
        <v>0</v>
      </c>
      <c r="U219" s="572"/>
      <c r="V219" s="572"/>
      <c r="W219" s="492"/>
      <c r="X219" s="565">
        <v>10813</v>
      </c>
      <c r="Y219" s="565"/>
    </row>
    <row r="220" spans="1:25" ht="10.5">
      <c r="A220" s="492"/>
      <c r="B220" s="567"/>
      <c r="C220" s="566"/>
      <c r="D220" s="566"/>
      <c r="E220" s="566"/>
      <c r="F220" s="566"/>
      <c r="G220" s="566"/>
      <c r="H220" s="566"/>
      <c r="I220" s="566"/>
      <c r="J220" s="566"/>
      <c r="K220" s="566"/>
      <c r="L220" s="566"/>
      <c r="M220" s="566"/>
      <c r="N220" s="492"/>
      <c r="O220" s="492"/>
      <c r="P220" s="492"/>
      <c r="Q220" s="492"/>
      <c r="R220" s="492"/>
      <c r="S220" s="492"/>
      <c r="T220" s="492"/>
      <c r="U220" s="492"/>
      <c r="V220" s="492"/>
      <c r="W220" s="492"/>
      <c r="X220" s="492"/>
      <c r="Y220" s="492"/>
    </row>
    <row r="221" spans="1:25" ht="10.5">
      <c r="A221" s="492"/>
      <c r="B221" s="492"/>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row>
    <row r="222" spans="1:25" ht="12">
      <c r="A222" s="573" t="s">
        <v>211</v>
      </c>
      <c r="B222" s="573"/>
      <c r="C222" s="573"/>
      <c r="D222" s="492"/>
      <c r="E222" s="571" t="s">
        <v>482</v>
      </c>
      <c r="F222" s="571"/>
      <c r="G222" s="571"/>
      <c r="H222" s="571"/>
      <c r="I222" s="571"/>
      <c r="J222" s="571"/>
      <c r="K222" s="571"/>
      <c r="L222" s="571"/>
      <c r="M222" s="571"/>
      <c r="N222" s="571"/>
      <c r="O222" s="571"/>
      <c r="P222" s="571"/>
      <c r="Q222" s="492"/>
      <c r="R222" s="492"/>
      <c r="S222" s="492"/>
      <c r="T222" s="492"/>
      <c r="U222" s="492"/>
      <c r="V222" s="492"/>
      <c r="W222" s="492"/>
      <c r="X222" s="492"/>
      <c r="Y222" s="492"/>
    </row>
    <row r="223" spans="1:25" ht="11.25" customHeight="1">
      <c r="A223" s="567"/>
      <c r="B223" s="573"/>
      <c r="C223" s="573"/>
      <c r="D223" s="492"/>
      <c r="E223" s="492"/>
      <c r="F223" s="492"/>
      <c r="G223" s="492"/>
      <c r="H223" s="492"/>
      <c r="I223" s="492"/>
      <c r="J223" s="492"/>
      <c r="K223" s="492"/>
      <c r="L223" s="492"/>
      <c r="M223" s="492"/>
      <c r="N223" s="492"/>
      <c r="O223" s="492"/>
      <c r="P223" s="492"/>
      <c r="Q223" s="492"/>
      <c r="R223" s="492"/>
      <c r="S223" s="492"/>
      <c r="T223" s="492"/>
      <c r="U223" s="492"/>
      <c r="V223" s="492"/>
      <c r="W223" s="492"/>
      <c r="X223" s="492"/>
      <c r="Y223" s="492"/>
    </row>
    <row r="224" spans="1:25" ht="10.5" customHeight="1">
      <c r="A224" s="492"/>
      <c r="B224" s="492"/>
      <c r="C224" s="573" t="s">
        <v>213</v>
      </c>
      <c r="D224" s="573"/>
      <c r="E224" s="573"/>
      <c r="F224" s="573"/>
      <c r="G224" s="492"/>
      <c r="H224" s="571" t="s">
        <v>75</v>
      </c>
      <c r="I224" s="571"/>
      <c r="J224" s="571"/>
      <c r="K224" s="571"/>
      <c r="L224" s="571"/>
      <c r="M224" s="571"/>
      <c r="N224" s="571"/>
      <c r="O224" s="571"/>
      <c r="P224" s="571"/>
      <c r="Q224" s="571"/>
      <c r="R224" s="571"/>
      <c r="S224" s="571"/>
      <c r="T224" s="492"/>
      <c r="U224" s="492"/>
      <c r="V224" s="492"/>
      <c r="W224" s="492"/>
      <c r="X224" s="492"/>
      <c r="Y224" s="492"/>
    </row>
    <row r="225" spans="1:25" ht="12">
      <c r="A225" s="573" t="s">
        <v>215</v>
      </c>
      <c r="B225" s="573"/>
      <c r="C225" s="573"/>
      <c r="D225" s="573"/>
      <c r="E225" s="573"/>
      <c r="F225" s="492"/>
      <c r="G225" s="492"/>
      <c r="H225" s="492"/>
      <c r="I225" s="574" t="s">
        <v>488</v>
      </c>
      <c r="J225" s="574"/>
      <c r="K225" s="574"/>
      <c r="L225" s="574"/>
      <c r="M225" s="574"/>
      <c r="N225" s="574"/>
      <c r="O225" s="575" t="s">
        <v>489</v>
      </c>
      <c r="P225" s="575"/>
      <c r="Q225" s="575"/>
      <c r="R225" s="575"/>
      <c r="S225" s="492"/>
      <c r="T225" s="575" t="s">
        <v>490</v>
      </c>
      <c r="U225" s="575"/>
      <c r="V225" s="575"/>
      <c r="W225" s="492"/>
      <c r="X225" s="576" t="s">
        <v>491</v>
      </c>
      <c r="Y225" s="576"/>
    </row>
    <row r="226" spans="1:25" ht="10.5">
      <c r="A226" s="492"/>
      <c r="B226" s="492"/>
      <c r="C226" s="492"/>
      <c r="D226" s="492"/>
      <c r="E226" s="492"/>
      <c r="F226" s="492"/>
      <c r="G226" s="492"/>
      <c r="H226" s="492"/>
      <c r="I226" s="492"/>
      <c r="J226" s="492"/>
      <c r="K226" s="492"/>
      <c r="L226" s="492"/>
      <c r="M226" s="492"/>
      <c r="N226" s="492"/>
      <c r="O226" s="492"/>
      <c r="P226" s="492"/>
      <c r="Q226" s="492"/>
      <c r="R226" s="492"/>
      <c r="S226" s="492"/>
      <c r="T226" s="492"/>
      <c r="U226" s="492"/>
      <c r="V226" s="492"/>
      <c r="W226" s="492"/>
      <c r="X226" s="492"/>
      <c r="Y226" s="492"/>
    </row>
    <row r="227" spans="1:25" ht="11.25">
      <c r="A227" s="570" t="s">
        <v>39</v>
      </c>
      <c r="B227" s="570"/>
      <c r="C227" s="570"/>
      <c r="D227" s="570"/>
      <c r="E227" s="570"/>
      <c r="F227" s="570"/>
      <c r="G227" s="570"/>
      <c r="H227" s="570" t="s">
        <v>463</v>
      </c>
      <c r="I227" s="570"/>
      <c r="J227" s="570"/>
      <c r="K227" s="571" t="s">
        <v>226</v>
      </c>
      <c r="L227" s="571"/>
      <c r="M227" s="570" t="s">
        <v>464</v>
      </c>
      <c r="N227" s="570"/>
      <c r="O227" s="492"/>
      <c r="P227" s="568">
        <v>40865</v>
      </c>
      <c r="Q227" s="568"/>
      <c r="R227" s="568"/>
      <c r="S227" s="492"/>
      <c r="T227" s="568">
        <v>0</v>
      </c>
      <c r="U227" s="568"/>
      <c r="V227" s="568"/>
      <c r="W227" s="492"/>
      <c r="X227" s="569">
        <v>40865</v>
      </c>
      <c r="Y227" s="569"/>
    </row>
    <row r="228" spans="1:25" ht="10.5">
      <c r="A228" s="492"/>
      <c r="B228" s="492"/>
      <c r="C228" s="492"/>
      <c r="D228" s="492"/>
      <c r="E228" s="492"/>
      <c r="F228" s="492"/>
      <c r="G228" s="492"/>
      <c r="H228" s="492"/>
      <c r="I228" s="492"/>
      <c r="J228" s="492"/>
      <c r="K228" s="567"/>
      <c r="L228" s="571"/>
      <c r="M228" s="492"/>
      <c r="N228" s="492"/>
      <c r="O228" s="492"/>
      <c r="P228" s="492"/>
      <c r="Q228" s="492"/>
      <c r="R228" s="492"/>
      <c r="S228" s="492"/>
      <c r="T228" s="492"/>
      <c r="U228" s="492"/>
      <c r="V228" s="492"/>
      <c r="W228" s="492"/>
      <c r="X228" s="492"/>
      <c r="Y228" s="492"/>
    </row>
    <row r="229" spans="1:25" ht="10.5">
      <c r="A229" s="492"/>
      <c r="B229" s="492"/>
      <c r="C229" s="492"/>
      <c r="D229" s="492"/>
      <c r="E229" s="492"/>
      <c r="F229" s="492"/>
      <c r="G229" s="492"/>
      <c r="H229" s="492"/>
      <c r="I229" s="492"/>
      <c r="J229" s="492"/>
      <c r="K229" s="492"/>
      <c r="L229" s="492"/>
      <c r="M229" s="492"/>
      <c r="N229" s="492"/>
      <c r="O229" s="492"/>
      <c r="P229" s="492"/>
      <c r="Q229" s="492"/>
      <c r="R229" s="492"/>
      <c r="S229" s="492"/>
      <c r="T229" s="492"/>
      <c r="U229" s="492"/>
      <c r="V229" s="492"/>
      <c r="W229" s="492"/>
      <c r="X229" s="492"/>
      <c r="Y229" s="492"/>
    </row>
    <row r="230" spans="1:25" ht="11.25">
      <c r="A230" s="492"/>
      <c r="B230" s="492"/>
      <c r="C230" s="492"/>
      <c r="D230" s="492"/>
      <c r="E230" s="492"/>
      <c r="F230" s="492"/>
      <c r="G230" s="492"/>
      <c r="H230" s="492"/>
      <c r="I230" s="492"/>
      <c r="J230" s="492"/>
      <c r="K230" s="492"/>
      <c r="L230" s="492"/>
      <c r="M230" s="492"/>
      <c r="N230" s="492"/>
      <c r="O230" s="565">
        <v>40865</v>
      </c>
      <c r="P230" s="565"/>
      <c r="Q230" s="565"/>
      <c r="R230" s="565"/>
      <c r="S230" s="492"/>
      <c r="T230" s="565">
        <v>0</v>
      </c>
      <c r="U230" s="565"/>
      <c r="V230" s="565"/>
      <c r="W230" s="492"/>
      <c r="X230" s="565">
        <v>40865</v>
      </c>
      <c r="Y230" s="565"/>
    </row>
    <row r="231" spans="1:25" ht="10.5">
      <c r="A231" s="492"/>
      <c r="B231" s="492"/>
      <c r="C231" s="492"/>
      <c r="D231" s="492"/>
      <c r="E231" s="492"/>
      <c r="F231" s="492"/>
      <c r="G231" s="492"/>
      <c r="H231" s="492"/>
      <c r="I231" s="492"/>
      <c r="J231" s="492"/>
      <c r="K231" s="492"/>
      <c r="L231" s="492"/>
      <c r="M231" s="492"/>
      <c r="N231" s="492"/>
      <c r="O231" s="492"/>
      <c r="P231" s="492"/>
      <c r="Q231" s="492"/>
      <c r="R231" s="492"/>
      <c r="S231" s="492"/>
      <c r="T231" s="492"/>
      <c r="U231" s="492"/>
      <c r="V231" s="492"/>
      <c r="W231" s="492"/>
      <c r="X231" s="492"/>
      <c r="Y231" s="492"/>
    </row>
    <row r="232" spans="1:25" ht="10.5">
      <c r="A232" s="492"/>
      <c r="B232" s="492"/>
      <c r="C232" s="492"/>
      <c r="D232" s="492"/>
      <c r="E232" s="492"/>
      <c r="F232" s="492"/>
      <c r="G232" s="492"/>
      <c r="H232" s="492"/>
      <c r="I232" s="492"/>
      <c r="J232" s="492"/>
      <c r="K232" s="492"/>
      <c r="L232" s="492"/>
      <c r="M232" s="492"/>
      <c r="N232" s="492"/>
      <c r="O232" s="492"/>
      <c r="P232" s="492"/>
      <c r="Q232" s="492"/>
      <c r="R232" s="492"/>
      <c r="S232" s="492"/>
      <c r="T232" s="492"/>
      <c r="U232" s="492"/>
      <c r="V232" s="492"/>
      <c r="W232" s="492"/>
      <c r="X232" s="492"/>
      <c r="Y232" s="492"/>
    </row>
    <row r="233" spans="1:25" ht="11.25">
      <c r="A233" s="492"/>
      <c r="B233" s="566" t="s">
        <v>483</v>
      </c>
      <c r="C233" s="566"/>
      <c r="D233" s="566"/>
      <c r="E233" s="566"/>
      <c r="F233" s="566"/>
      <c r="G233" s="566"/>
      <c r="H233" s="566"/>
      <c r="I233" s="566"/>
      <c r="J233" s="566"/>
      <c r="K233" s="566"/>
      <c r="L233" s="566"/>
      <c r="M233" s="566"/>
      <c r="N233" s="492"/>
      <c r="O233" s="572">
        <v>40865</v>
      </c>
      <c r="P233" s="572"/>
      <c r="Q233" s="572"/>
      <c r="R233" s="572"/>
      <c r="S233" s="492"/>
      <c r="T233" s="572">
        <v>0</v>
      </c>
      <c r="U233" s="572"/>
      <c r="V233" s="572"/>
      <c r="W233" s="492"/>
      <c r="X233" s="565">
        <v>40865</v>
      </c>
      <c r="Y233" s="565"/>
    </row>
    <row r="234" spans="1:25" ht="10.5">
      <c r="A234" s="492"/>
      <c r="B234" s="567"/>
      <c r="C234" s="566"/>
      <c r="D234" s="566"/>
      <c r="E234" s="566"/>
      <c r="F234" s="566"/>
      <c r="G234" s="566"/>
      <c r="H234" s="566"/>
      <c r="I234" s="566"/>
      <c r="J234" s="566"/>
      <c r="K234" s="566"/>
      <c r="L234" s="566"/>
      <c r="M234" s="566"/>
      <c r="N234" s="492"/>
      <c r="O234" s="492"/>
      <c r="P234" s="492"/>
      <c r="Q234" s="492"/>
      <c r="R234" s="492"/>
      <c r="S234" s="492"/>
      <c r="T234" s="492"/>
      <c r="U234" s="492"/>
      <c r="V234" s="492"/>
      <c r="W234" s="492"/>
      <c r="X234" s="492"/>
      <c r="Y234" s="492"/>
    </row>
    <row r="235" spans="1:25" ht="10.5">
      <c r="A235" s="492"/>
      <c r="B235" s="492"/>
      <c r="C235" s="492"/>
      <c r="D235" s="492"/>
      <c r="E235" s="492"/>
      <c r="F235" s="492"/>
      <c r="G235" s="492"/>
      <c r="H235" s="492"/>
      <c r="I235" s="492"/>
      <c r="J235" s="492"/>
      <c r="K235" s="492"/>
      <c r="L235" s="492"/>
      <c r="M235" s="492"/>
      <c r="N235" s="492"/>
      <c r="O235" s="492"/>
      <c r="P235" s="492"/>
      <c r="Q235" s="492"/>
      <c r="R235" s="492"/>
      <c r="S235" s="492"/>
      <c r="T235" s="492"/>
      <c r="U235" s="492"/>
      <c r="V235" s="492"/>
      <c r="W235" s="492"/>
      <c r="X235" s="492"/>
      <c r="Y235" s="492"/>
    </row>
    <row r="236" spans="1:25" ht="12">
      <c r="A236" s="573" t="s">
        <v>211</v>
      </c>
      <c r="B236" s="573"/>
      <c r="C236" s="573"/>
      <c r="D236" s="492"/>
      <c r="E236" s="571" t="s">
        <v>484</v>
      </c>
      <c r="F236" s="571"/>
      <c r="G236" s="571"/>
      <c r="H236" s="571"/>
      <c r="I236" s="571"/>
      <c r="J236" s="571"/>
      <c r="K236" s="571"/>
      <c r="L236" s="571"/>
      <c r="M236" s="571"/>
      <c r="N236" s="571"/>
      <c r="O236" s="571"/>
      <c r="P236" s="571"/>
      <c r="Q236" s="492"/>
      <c r="R236" s="492"/>
      <c r="S236" s="492"/>
      <c r="T236" s="492"/>
      <c r="U236" s="492"/>
      <c r="V236" s="492"/>
      <c r="W236" s="492"/>
      <c r="X236" s="492"/>
      <c r="Y236" s="492"/>
    </row>
    <row r="237" spans="1:25" ht="10.5">
      <c r="A237" s="567"/>
      <c r="B237" s="573"/>
      <c r="C237" s="573"/>
      <c r="D237" s="492"/>
      <c r="E237" s="492"/>
      <c r="F237" s="492"/>
      <c r="G237" s="492"/>
      <c r="H237" s="492"/>
      <c r="I237" s="492"/>
      <c r="J237" s="492"/>
      <c r="K237" s="492"/>
      <c r="L237" s="492"/>
      <c r="M237" s="492"/>
      <c r="N237" s="492"/>
      <c r="O237" s="492"/>
      <c r="P237" s="492"/>
      <c r="Q237" s="492"/>
      <c r="R237" s="492"/>
      <c r="S237" s="492"/>
      <c r="T237" s="492"/>
      <c r="U237" s="492"/>
      <c r="V237" s="492"/>
      <c r="W237" s="492"/>
      <c r="X237" s="492"/>
      <c r="Y237" s="492"/>
    </row>
    <row r="238" spans="1:25" ht="12">
      <c r="A238" s="492"/>
      <c r="B238" s="492"/>
      <c r="C238" s="573" t="s">
        <v>213</v>
      </c>
      <c r="D238" s="573"/>
      <c r="E238" s="573"/>
      <c r="F238" s="573"/>
      <c r="G238" s="492"/>
      <c r="H238" s="571" t="s">
        <v>235</v>
      </c>
      <c r="I238" s="571"/>
      <c r="J238" s="571"/>
      <c r="K238" s="571"/>
      <c r="L238" s="571"/>
      <c r="M238" s="571"/>
      <c r="N238" s="571"/>
      <c r="O238" s="571"/>
      <c r="P238" s="571"/>
      <c r="Q238" s="571"/>
      <c r="R238" s="571"/>
      <c r="S238" s="571"/>
      <c r="T238" s="492"/>
      <c r="U238" s="492"/>
      <c r="V238" s="492"/>
      <c r="W238" s="492"/>
      <c r="X238" s="492"/>
      <c r="Y238" s="492"/>
    </row>
    <row r="239" spans="1:25" ht="12">
      <c r="A239" s="573" t="s">
        <v>215</v>
      </c>
      <c r="B239" s="573"/>
      <c r="C239" s="573"/>
      <c r="D239" s="573"/>
      <c r="E239" s="573"/>
      <c r="F239" s="492"/>
      <c r="G239" s="492"/>
      <c r="H239" s="492"/>
      <c r="I239" s="574" t="s">
        <v>488</v>
      </c>
      <c r="J239" s="574"/>
      <c r="K239" s="574"/>
      <c r="L239" s="574"/>
      <c r="M239" s="574"/>
      <c r="N239" s="574"/>
      <c r="O239" s="575" t="s">
        <v>489</v>
      </c>
      <c r="P239" s="575"/>
      <c r="Q239" s="575"/>
      <c r="R239" s="575"/>
      <c r="S239" s="492"/>
      <c r="T239" s="575" t="s">
        <v>490</v>
      </c>
      <c r="U239" s="575"/>
      <c r="V239" s="575"/>
      <c r="W239" s="492"/>
      <c r="X239" s="576" t="s">
        <v>491</v>
      </c>
      <c r="Y239" s="576"/>
    </row>
    <row r="240" spans="1:25" ht="10.5">
      <c r="A240" s="492"/>
      <c r="B240" s="492"/>
      <c r="C240" s="492"/>
      <c r="D240" s="492"/>
      <c r="E240" s="492"/>
      <c r="F240" s="492"/>
      <c r="G240" s="492"/>
      <c r="H240" s="492"/>
      <c r="I240" s="492"/>
      <c r="J240" s="492"/>
      <c r="K240" s="492"/>
      <c r="L240" s="492"/>
      <c r="M240" s="492"/>
      <c r="N240" s="492"/>
      <c r="O240" s="492"/>
      <c r="P240" s="492"/>
      <c r="Q240" s="492"/>
      <c r="R240" s="492"/>
      <c r="S240" s="492"/>
      <c r="T240" s="492"/>
      <c r="U240" s="492"/>
      <c r="V240" s="492"/>
      <c r="W240" s="492"/>
      <c r="X240" s="492"/>
      <c r="Y240" s="492"/>
    </row>
    <row r="241" spans="1:25" ht="11.25">
      <c r="A241" s="570" t="s">
        <v>25</v>
      </c>
      <c r="B241" s="570"/>
      <c r="C241" s="570"/>
      <c r="D241" s="570"/>
      <c r="E241" s="570"/>
      <c r="F241" s="570"/>
      <c r="G241" s="570"/>
      <c r="H241" s="570" t="s">
        <v>463</v>
      </c>
      <c r="I241" s="570"/>
      <c r="J241" s="570"/>
      <c r="K241" s="571" t="s">
        <v>226</v>
      </c>
      <c r="L241" s="571"/>
      <c r="M241" s="570" t="s">
        <v>464</v>
      </c>
      <c r="N241" s="570"/>
      <c r="O241" s="492"/>
      <c r="P241" s="568">
        <v>6972</v>
      </c>
      <c r="Q241" s="568"/>
      <c r="R241" s="568"/>
      <c r="S241" s="492"/>
      <c r="T241" s="568">
        <v>0</v>
      </c>
      <c r="U241" s="568"/>
      <c r="V241" s="568"/>
      <c r="W241" s="492"/>
      <c r="X241" s="569">
        <v>6972</v>
      </c>
      <c r="Y241" s="569"/>
    </row>
    <row r="242" spans="1:25" ht="10.5">
      <c r="A242" s="492"/>
      <c r="B242" s="492"/>
      <c r="C242" s="492"/>
      <c r="D242" s="492"/>
      <c r="E242" s="492"/>
      <c r="F242" s="492"/>
      <c r="G242" s="492"/>
      <c r="H242" s="492"/>
      <c r="I242" s="492"/>
      <c r="J242" s="492"/>
      <c r="K242" s="567"/>
      <c r="L242" s="571"/>
      <c r="M242" s="492"/>
      <c r="N242" s="492"/>
      <c r="O242" s="492"/>
      <c r="P242" s="492"/>
      <c r="Q242" s="492"/>
      <c r="R242" s="492"/>
      <c r="S242" s="492"/>
      <c r="T242" s="492"/>
      <c r="U242" s="492"/>
      <c r="V242" s="492"/>
      <c r="W242" s="492"/>
      <c r="X242" s="492"/>
      <c r="Y242" s="492"/>
    </row>
    <row r="243" spans="1:25" ht="11.25">
      <c r="A243" s="570" t="s">
        <v>26</v>
      </c>
      <c r="B243" s="570"/>
      <c r="C243" s="570"/>
      <c r="D243" s="570"/>
      <c r="E243" s="570"/>
      <c r="F243" s="570"/>
      <c r="G243" s="570"/>
      <c r="H243" s="570" t="s">
        <v>463</v>
      </c>
      <c r="I243" s="570"/>
      <c r="J243" s="570"/>
      <c r="K243" s="571" t="s">
        <v>226</v>
      </c>
      <c r="L243" s="571"/>
      <c r="M243" s="570" t="s">
        <v>464</v>
      </c>
      <c r="N243" s="570"/>
      <c r="O243" s="492"/>
      <c r="P243" s="568">
        <v>1960</v>
      </c>
      <c r="Q243" s="568"/>
      <c r="R243" s="568"/>
      <c r="S243" s="492"/>
      <c r="T243" s="568">
        <v>0</v>
      </c>
      <c r="U243" s="568"/>
      <c r="V243" s="568"/>
      <c r="W243" s="492"/>
      <c r="X243" s="569">
        <v>1960</v>
      </c>
      <c r="Y243" s="569"/>
    </row>
    <row r="244" spans="1:25" ht="10.5">
      <c r="A244" s="492"/>
      <c r="B244" s="492"/>
      <c r="C244" s="492"/>
      <c r="D244" s="492"/>
      <c r="E244" s="492"/>
      <c r="F244" s="492"/>
      <c r="G244" s="492"/>
      <c r="H244" s="492"/>
      <c r="I244" s="492"/>
      <c r="J244" s="492"/>
      <c r="K244" s="567"/>
      <c r="L244" s="571"/>
      <c r="M244" s="492"/>
      <c r="N244" s="492"/>
      <c r="O244" s="492"/>
      <c r="P244" s="492"/>
      <c r="Q244" s="492"/>
      <c r="R244" s="492"/>
      <c r="S244" s="492"/>
      <c r="T244" s="492"/>
      <c r="U244" s="492"/>
      <c r="V244" s="492"/>
      <c r="W244" s="492"/>
      <c r="X244" s="492"/>
      <c r="Y244" s="492"/>
    </row>
    <row r="245" spans="1:25" ht="11.25">
      <c r="A245" s="570" t="s">
        <v>27</v>
      </c>
      <c r="B245" s="570"/>
      <c r="C245" s="570"/>
      <c r="D245" s="570"/>
      <c r="E245" s="570"/>
      <c r="F245" s="570"/>
      <c r="G245" s="570"/>
      <c r="H245" s="570" t="s">
        <v>463</v>
      </c>
      <c r="I245" s="570"/>
      <c r="J245" s="570"/>
      <c r="K245" s="571" t="s">
        <v>226</v>
      </c>
      <c r="L245" s="571"/>
      <c r="M245" s="570" t="s">
        <v>464</v>
      </c>
      <c r="N245" s="570"/>
      <c r="O245" s="492"/>
      <c r="P245" s="568">
        <v>2688</v>
      </c>
      <c r="Q245" s="568"/>
      <c r="R245" s="568"/>
      <c r="S245" s="492"/>
      <c r="T245" s="568">
        <v>0</v>
      </c>
      <c r="U245" s="568"/>
      <c r="V245" s="568"/>
      <c r="W245" s="492"/>
      <c r="X245" s="569">
        <v>2688</v>
      </c>
      <c r="Y245" s="569"/>
    </row>
    <row r="246" spans="1:25" ht="10.5">
      <c r="A246" s="492"/>
      <c r="B246" s="492"/>
      <c r="C246" s="492"/>
      <c r="D246" s="492"/>
      <c r="E246" s="492"/>
      <c r="F246" s="492"/>
      <c r="G246" s="492"/>
      <c r="H246" s="492"/>
      <c r="I246" s="492"/>
      <c r="J246" s="492"/>
      <c r="K246" s="567"/>
      <c r="L246" s="571"/>
      <c r="M246" s="492"/>
      <c r="N246" s="492"/>
      <c r="O246" s="492"/>
      <c r="P246" s="492"/>
      <c r="Q246" s="492"/>
      <c r="R246" s="492"/>
      <c r="S246" s="492"/>
      <c r="T246" s="492"/>
      <c r="U246" s="492"/>
      <c r="V246" s="492"/>
      <c r="W246" s="492"/>
      <c r="X246" s="492"/>
      <c r="Y246" s="492"/>
    </row>
    <row r="247" spans="1:25" ht="11.25">
      <c r="A247" s="570" t="s">
        <v>349</v>
      </c>
      <c r="B247" s="570"/>
      <c r="C247" s="570"/>
      <c r="D247" s="570"/>
      <c r="E247" s="570"/>
      <c r="F247" s="570"/>
      <c r="G247" s="570"/>
      <c r="H247" s="570" t="s">
        <v>463</v>
      </c>
      <c r="I247" s="570"/>
      <c r="J247" s="570"/>
      <c r="K247" s="571" t="s">
        <v>226</v>
      </c>
      <c r="L247" s="571"/>
      <c r="M247" s="570" t="s">
        <v>464</v>
      </c>
      <c r="N247" s="570"/>
      <c r="O247" s="492"/>
      <c r="P247" s="568">
        <v>522</v>
      </c>
      <c r="Q247" s="568"/>
      <c r="R247" s="568"/>
      <c r="S247" s="492"/>
      <c r="T247" s="568">
        <v>0</v>
      </c>
      <c r="U247" s="568"/>
      <c r="V247" s="568"/>
      <c r="W247" s="492"/>
      <c r="X247" s="569">
        <v>522</v>
      </c>
      <c r="Y247" s="569"/>
    </row>
    <row r="248" spans="1:25" ht="10.5">
      <c r="A248" s="492"/>
      <c r="B248" s="492"/>
      <c r="C248" s="492"/>
      <c r="D248" s="492"/>
      <c r="E248" s="492"/>
      <c r="F248" s="492"/>
      <c r="G248" s="492"/>
      <c r="H248" s="492"/>
      <c r="I248" s="492"/>
      <c r="J248" s="492"/>
      <c r="K248" s="567"/>
      <c r="L248" s="571"/>
      <c r="M248" s="492"/>
      <c r="N248" s="492"/>
      <c r="O248" s="492"/>
      <c r="P248" s="492"/>
      <c r="Q248" s="492"/>
      <c r="R248" s="492"/>
      <c r="S248" s="492"/>
      <c r="T248" s="492"/>
      <c r="U248" s="492"/>
      <c r="V248" s="492"/>
      <c r="W248" s="492"/>
      <c r="X248" s="492"/>
      <c r="Y248" s="492"/>
    </row>
    <row r="249" spans="1:25" ht="11.25">
      <c r="A249" s="570" t="s">
        <v>29</v>
      </c>
      <c r="B249" s="570"/>
      <c r="C249" s="570"/>
      <c r="D249" s="570"/>
      <c r="E249" s="570"/>
      <c r="F249" s="570"/>
      <c r="G249" s="570"/>
      <c r="H249" s="570" t="s">
        <v>463</v>
      </c>
      <c r="I249" s="570"/>
      <c r="J249" s="570"/>
      <c r="K249" s="571" t="s">
        <v>226</v>
      </c>
      <c r="L249" s="571"/>
      <c r="M249" s="570" t="s">
        <v>464</v>
      </c>
      <c r="N249" s="570"/>
      <c r="O249" s="492"/>
      <c r="P249" s="568">
        <v>7240</v>
      </c>
      <c r="Q249" s="568"/>
      <c r="R249" s="568"/>
      <c r="S249" s="492"/>
      <c r="T249" s="568">
        <v>0</v>
      </c>
      <c r="U249" s="568"/>
      <c r="V249" s="568"/>
      <c r="W249" s="492"/>
      <c r="X249" s="569">
        <v>7240</v>
      </c>
      <c r="Y249" s="569"/>
    </row>
    <row r="250" spans="1:25" ht="10.5">
      <c r="A250" s="492"/>
      <c r="B250" s="492"/>
      <c r="C250" s="492"/>
      <c r="D250" s="492"/>
      <c r="E250" s="492"/>
      <c r="F250" s="492"/>
      <c r="G250" s="492"/>
      <c r="H250" s="492"/>
      <c r="I250" s="492"/>
      <c r="J250" s="492"/>
      <c r="K250" s="567"/>
      <c r="L250" s="571"/>
      <c r="M250" s="492"/>
      <c r="N250" s="492"/>
      <c r="O250" s="492"/>
      <c r="P250" s="492"/>
      <c r="Q250" s="492"/>
      <c r="R250" s="492"/>
      <c r="S250" s="492"/>
      <c r="T250" s="492"/>
      <c r="U250" s="492"/>
      <c r="V250" s="492"/>
      <c r="W250" s="492"/>
      <c r="X250" s="492"/>
      <c r="Y250" s="492"/>
    </row>
    <row r="251" spans="1:25" ht="11.25">
      <c r="A251" s="570" t="s">
        <v>30</v>
      </c>
      <c r="B251" s="570"/>
      <c r="C251" s="570"/>
      <c r="D251" s="570"/>
      <c r="E251" s="570"/>
      <c r="F251" s="570"/>
      <c r="G251" s="570"/>
      <c r="H251" s="570" t="s">
        <v>463</v>
      </c>
      <c r="I251" s="570"/>
      <c r="J251" s="570"/>
      <c r="K251" s="571" t="s">
        <v>226</v>
      </c>
      <c r="L251" s="571"/>
      <c r="M251" s="570" t="s">
        <v>464</v>
      </c>
      <c r="N251" s="570"/>
      <c r="O251" s="492"/>
      <c r="P251" s="568">
        <v>967</v>
      </c>
      <c r="Q251" s="568"/>
      <c r="R251" s="568"/>
      <c r="S251" s="492"/>
      <c r="T251" s="568">
        <v>0</v>
      </c>
      <c r="U251" s="568"/>
      <c r="V251" s="568"/>
      <c r="W251" s="492"/>
      <c r="X251" s="569">
        <v>967</v>
      </c>
      <c r="Y251" s="569"/>
    </row>
    <row r="252" spans="1:25" ht="10.5">
      <c r="A252" s="492"/>
      <c r="B252" s="492"/>
      <c r="C252" s="492"/>
      <c r="D252" s="492"/>
      <c r="E252" s="492"/>
      <c r="F252" s="492"/>
      <c r="G252" s="492"/>
      <c r="H252" s="492"/>
      <c r="I252" s="492"/>
      <c r="J252" s="492"/>
      <c r="K252" s="567"/>
      <c r="L252" s="571"/>
      <c r="M252" s="492"/>
      <c r="N252" s="492"/>
      <c r="O252" s="492"/>
      <c r="P252" s="492"/>
      <c r="Q252" s="492"/>
      <c r="R252" s="492"/>
      <c r="S252" s="492"/>
      <c r="T252" s="492"/>
      <c r="U252" s="492"/>
      <c r="V252" s="492"/>
      <c r="W252" s="492"/>
      <c r="X252" s="492"/>
      <c r="Y252" s="492"/>
    </row>
    <row r="253" spans="1:25" ht="11.25">
      <c r="A253" s="570" t="s">
        <v>31</v>
      </c>
      <c r="B253" s="570"/>
      <c r="C253" s="570"/>
      <c r="D253" s="570"/>
      <c r="E253" s="570"/>
      <c r="F253" s="570"/>
      <c r="G253" s="570"/>
      <c r="H253" s="570" t="s">
        <v>463</v>
      </c>
      <c r="I253" s="570"/>
      <c r="J253" s="570"/>
      <c r="K253" s="571" t="s">
        <v>226</v>
      </c>
      <c r="L253" s="571"/>
      <c r="M253" s="570" t="s">
        <v>464</v>
      </c>
      <c r="N253" s="570"/>
      <c r="O253" s="492"/>
      <c r="P253" s="568">
        <v>6123</v>
      </c>
      <c r="Q253" s="568"/>
      <c r="R253" s="568"/>
      <c r="S253" s="492"/>
      <c r="T253" s="568">
        <v>0</v>
      </c>
      <c r="U253" s="568"/>
      <c r="V253" s="568"/>
      <c r="W253" s="492"/>
      <c r="X253" s="569">
        <v>6123</v>
      </c>
      <c r="Y253" s="569"/>
    </row>
    <row r="254" spans="1:25" ht="10.5">
      <c r="A254" s="492"/>
      <c r="B254" s="492"/>
      <c r="C254" s="492"/>
      <c r="D254" s="492"/>
      <c r="E254" s="492"/>
      <c r="F254" s="492"/>
      <c r="G254" s="492"/>
      <c r="H254" s="492"/>
      <c r="I254" s="492"/>
      <c r="J254" s="492"/>
      <c r="K254" s="567"/>
      <c r="L254" s="571"/>
      <c r="M254" s="492"/>
      <c r="N254" s="492"/>
      <c r="O254" s="492"/>
      <c r="P254" s="492"/>
      <c r="Q254" s="492"/>
      <c r="R254" s="492"/>
      <c r="S254" s="492"/>
      <c r="T254" s="492"/>
      <c r="U254" s="492"/>
      <c r="V254" s="492"/>
      <c r="W254" s="492"/>
      <c r="X254" s="492"/>
      <c r="Y254" s="492"/>
    </row>
    <row r="255" spans="1:25" ht="11.25">
      <c r="A255" s="570" t="s">
        <v>32</v>
      </c>
      <c r="B255" s="570"/>
      <c r="C255" s="570"/>
      <c r="D255" s="570"/>
      <c r="E255" s="570"/>
      <c r="F255" s="570"/>
      <c r="G255" s="570"/>
      <c r="H255" s="570" t="s">
        <v>463</v>
      </c>
      <c r="I255" s="570"/>
      <c r="J255" s="570"/>
      <c r="K255" s="571" t="s">
        <v>226</v>
      </c>
      <c r="L255" s="571"/>
      <c r="M255" s="570" t="s">
        <v>464</v>
      </c>
      <c r="N255" s="570"/>
      <c r="O255" s="492"/>
      <c r="P255" s="568">
        <v>3017</v>
      </c>
      <c r="Q255" s="568"/>
      <c r="R255" s="568"/>
      <c r="S255" s="492"/>
      <c r="T255" s="568">
        <v>0</v>
      </c>
      <c r="U255" s="568"/>
      <c r="V255" s="568"/>
      <c r="W255" s="492"/>
      <c r="X255" s="569">
        <v>3017</v>
      </c>
      <c r="Y255" s="569"/>
    </row>
    <row r="256" spans="1:25" ht="10.5">
      <c r="A256" s="492"/>
      <c r="B256" s="492"/>
      <c r="C256" s="492"/>
      <c r="D256" s="492"/>
      <c r="E256" s="492"/>
      <c r="F256" s="492"/>
      <c r="G256" s="492"/>
      <c r="H256" s="492"/>
      <c r="I256" s="492"/>
      <c r="J256" s="492"/>
      <c r="K256" s="567"/>
      <c r="L256" s="571"/>
      <c r="M256" s="492"/>
      <c r="N256" s="492"/>
      <c r="O256" s="492"/>
      <c r="P256" s="492"/>
      <c r="Q256" s="492"/>
      <c r="R256" s="492"/>
      <c r="S256" s="492"/>
      <c r="T256" s="492"/>
      <c r="U256" s="492"/>
      <c r="V256" s="492"/>
      <c r="W256" s="492"/>
      <c r="X256" s="492"/>
      <c r="Y256" s="492"/>
    </row>
    <row r="257" spans="1:25" ht="11.25">
      <c r="A257" s="570" t="s">
        <v>33</v>
      </c>
      <c r="B257" s="570"/>
      <c r="C257" s="570"/>
      <c r="D257" s="570"/>
      <c r="E257" s="570"/>
      <c r="F257" s="570"/>
      <c r="G257" s="570"/>
      <c r="H257" s="570" t="s">
        <v>463</v>
      </c>
      <c r="I257" s="570"/>
      <c r="J257" s="570"/>
      <c r="K257" s="571" t="s">
        <v>226</v>
      </c>
      <c r="L257" s="571"/>
      <c r="M257" s="570" t="s">
        <v>464</v>
      </c>
      <c r="N257" s="570"/>
      <c r="O257" s="492"/>
      <c r="P257" s="568">
        <v>5630</v>
      </c>
      <c r="Q257" s="568"/>
      <c r="R257" s="568"/>
      <c r="S257" s="492"/>
      <c r="T257" s="568">
        <v>0</v>
      </c>
      <c r="U257" s="568"/>
      <c r="V257" s="568"/>
      <c r="W257" s="492"/>
      <c r="X257" s="569">
        <v>5630</v>
      </c>
      <c r="Y257" s="569"/>
    </row>
    <row r="258" spans="1:25" ht="10.5">
      <c r="A258" s="492"/>
      <c r="B258" s="492"/>
      <c r="C258" s="492"/>
      <c r="D258" s="492"/>
      <c r="E258" s="492"/>
      <c r="F258" s="492"/>
      <c r="G258" s="492"/>
      <c r="H258" s="492"/>
      <c r="I258" s="492"/>
      <c r="J258" s="492"/>
      <c r="K258" s="567"/>
      <c r="L258" s="571"/>
      <c r="M258" s="492"/>
      <c r="N258" s="492"/>
      <c r="O258" s="492"/>
      <c r="P258" s="492"/>
      <c r="Q258" s="492"/>
      <c r="R258" s="492"/>
      <c r="S258" s="492"/>
      <c r="T258" s="492"/>
      <c r="U258" s="492"/>
      <c r="V258" s="492"/>
      <c r="W258" s="492"/>
      <c r="X258" s="492"/>
      <c r="Y258" s="492"/>
    </row>
    <row r="259" spans="1:25" ht="11.25">
      <c r="A259" s="570" t="s">
        <v>41</v>
      </c>
      <c r="B259" s="570"/>
      <c r="C259" s="570"/>
      <c r="D259" s="570"/>
      <c r="E259" s="570"/>
      <c r="F259" s="570"/>
      <c r="G259" s="570"/>
      <c r="H259" s="570" t="s">
        <v>463</v>
      </c>
      <c r="I259" s="570"/>
      <c r="J259" s="570"/>
      <c r="K259" s="571" t="s">
        <v>226</v>
      </c>
      <c r="L259" s="571"/>
      <c r="M259" s="570" t="s">
        <v>464</v>
      </c>
      <c r="N259" s="570"/>
      <c r="O259" s="492"/>
      <c r="P259" s="568">
        <v>4057</v>
      </c>
      <c r="Q259" s="568"/>
      <c r="R259" s="568"/>
      <c r="S259" s="492"/>
      <c r="T259" s="568">
        <v>0</v>
      </c>
      <c r="U259" s="568"/>
      <c r="V259" s="568"/>
      <c r="W259" s="492"/>
      <c r="X259" s="569">
        <v>4057</v>
      </c>
      <c r="Y259" s="569"/>
    </row>
    <row r="260" spans="1:25" ht="10.5">
      <c r="A260" s="492"/>
      <c r="B260" s="492"/>
      <c r="C260" s="492"/>
      <c r="D260" s="492"/>
      <c r="E260" s="492"/>
      <c r="F260" s="492"/>
      <c r="G260" s="492"/>
      <c r="H260" s="492"/>
      <c r="I260" s="492"/>
      <c r="J260" s="492"/>
      <c r="K260" s="567"/>
      <c r="L260" s="571"/>
      <c r="M260" s="492"/>
      <c r="N260" s="492"/>
      <c r="O260" s="492"/>
      <c r="P260" s="492"/>
      <c r="Q260" s="492"/>
      <c r="R260" s="492"/>
      <c r="S260" s="492"/>
      <c r="T260" s="492"/>
      <c r="U260" s="492"/>
      <c r="V260" s="492"/>
      <c r="W260" s="492"/>
      <c r="X260" s="492"/>
      <c r="Y260" s="492"/>
    </row>
    <row r="261" spans="1:25" ht="11.25">
      <c r="A261" s="570" t="s">
        <v>34</v>
      </c>
      <c r="B261" s="570"/>
      <c r="C261" s="570"/>
      <c r="D261" s="570"/>
      <c r="E261" s="570"/>
      <c r="F261" s="570"/>
      <c r="G261" s="570"/>
      <c r="H261" s="570" t="s">
        <v>463</v>
      </c>
      <c r="I261" s="570"/>
      <c r="J261" s="570"/>
      <c r="K261" s="571" t="s">
        <v>226</v>
      </c>
      <c r="L261" s="571"/>
      <c r="M261" s="570" t="s">
        <v>464</v>
      </c>
      <c r="N261" s="570"/>
      <c r="O261" s="492"/>
      <c r="P261" s="568">
        <v>2899</v>
      </c>
      <c r="Q261" s="568"/>
      <c r="R261" s="568"/>
      <c r="S261" s="492"/>
      <c r="T261" s="568">
        <v>0</v>
      </c>
      <c r="U261" s="568"/>
      <c r="V261" s="568"/>
      <c r="W261" s="492"/>
      <c r="X261" s="569">
        <v>2899</v>
      </c>
      <c r="Y261" s="569"/>
    </row>
    <row r="262" spans="1:25" ht="10.5">
      <c r="A262" s="492"/>
      <c r="B262" s="492"/>
      <c r="C262" s="492"/>
      <c r="D262" s="492"/>
      <c r="E262" s="492"/>
      <c r="F262" s="492"/>
      <c r="G262" s="492"/>
      <c r="H262" s="492"/>
      <c r="I262" s="492"/>
      <c r="J262" s="492"/>
      <c r="K262" s="567"/>
      <c r="L262" s="571"/>
      <c r="M262" s="492"/>
      <c r="N262" s="492"/>
      <c r="O262" s="492"/>
      <c r="P262" s="492"/>
      <c r="Q262" s="492"/>
      <c r="R262" s="492"/>
      <c r="S262" s="492"/>
      <c r="T262" s="492"/>
      <c r="U262" s="492"/>
      <c r="V262" s="492"/>
      <c r="W262" s="492"/>
      <c r="X262" s="492"/>
      <c r="Y262" s="492"/>
    </row>
    <row r="263" spans="1:25" ht="11.25">
      <c r="A263" s="570" t="s">
        <v>35</v>
      </c>
      <c r="B263" s="570"/>
      <c r="C263" s="570"/>
      <c r="D263" s="570"/>
      <c r="E263" s="570"/>
      <c r="F263" s="570"/>
      <c r="G263" s="570"/>
      <c r="H263" s="570" t="s">
        <v>463</v>
      </c>
      <c r="I263" s="570"/>
      <c r="J263" s="570"/>
      <c r="K263" s="571" t="s">
        <v>226</v>
      </c>
      <c r="L263" s="571"/>
      <c r="M263" s="570" t="s">
        <v>464</v>
      </c>
      <c r="N263" s="570"/>
      <c r="O263" s="492"/>
      <c r="P263" s="568">
        <v>6442</v>
      </c>
      <c r="Q263" s="568"/>
      <c r="R263" s="568"/>
      <c r="S263" s="492"/>
      <c r="T263" s="568">
        <v>0</v>
      </c>
      <c r="U263" s="568"/>
      <c r="V263" s="568"/>
      <c r="W263" s="492"/>
      <c r="X263" s="569">
        <v>6442</v>
      </c>
      <c r="Y263" s="569"/>
    </row>
    <row r="264" spans="1:25" ht="10.5">
      <c r="A264" s="492"/>
      <c r="B264" s="492"/>
      <c r="C264" s="492"/>
      <c r="D264" s="492"/>
      <c r="E264" s="492"/>
      <c r="F264" s="492"/>
      <c r="G264" s="492"/>
      <c r="H264" s="492"/>
      <c r="I264" s="492"/>
      <c r="J264" s="492"/>
      <c r="K264" s="567"/>
      <c r="L264" s="571"/>
      <c r="M264" s="492"/>
      <c r="N264" s="492"/>
      <c r="O264" s="492"/>
      <c r="P264" s="492"/>
      <c r="Q264" s="492"/>
      <c r="R264" s="492"/>
      <c r="S264" s="492"/>
      <c r="T264" s="492"/>
      <c r="U264" s="492"/>
      <c r="V264" s="492"/>
      <c r="W264" s="492"/>
      <c r="X264" s="492"/>
      <c r="Y264" s="492"/>
    </row>
    <row r="265" spans="1:25" ht="10.5">
      <c r="A265" s="492"/>
      <c r="B265" s="492"/>
      <c r="C265" s="492"/>
      <c r="D265" s="492"/>
      <c r="E265" s="492"/>
      <c r="F265" s="492"/>
      <c r="G265" s="492"/>
      <c r="H265" s="492"/>
      <c r="I265" s="492"/>
      <c r="J265" s="492"/>
      <c r="K265" s="492"/>
      <c r="L265" s="492"/>
      <c r="M265" s="492"/>
      <c r="N265" s="492"/>
      <c r="O265" s="492"/>
      <c r="P265" s="492"/>
      <c r="Q265" s="492"/>
      <c r="R265" s="492"/>
      <c r="S265" s="492"/>
      <c r="T265" s="492"/>
      <c r="U265" s="492"/>
      <c r="V265" s="492"/>
      <c r="W265" s="492"/>
      <c r="X265" s="492"/>
      <c r="Y265" s="492"/>
    </row>
    <row r="266" spans="1:25" ht="11.25">
      <c r="A266" s="492"/>
      <c r="B266" s="492"/>
      <c r="C266" s="492"/>
      <c r="D266" s="492"/>
      <c r="E266" s="492"/>
      <c r="F266" s="492"/>
      <c r="G266" s="492"/>
      <c r="H266" s="492"/>
      <c r="I266" s="492"/>
      <c r="J266" s="492"/>
      <c r="K266" s="492"/>
      <c r="L266" s="492"/>
      <c r="M266" s="492"/>
      <c r="N266" s="492"/>
      <c r="O266" s="565">
        <v>48517</v>
      </c>
      <c r="P266" s="565"/>
      <c r="Q266" s="565"/>
      <c r="R266" s="565"/>
      <c r="S266" s="492"/>
      <c r="T266" s="565">
        <v>0</v>
      </c>
      <c r="U266" s="565"/>
      <c r="V266" s="565"/>
      <c r="W266" s="492"/>
      <c r="X266" s="565">
        <v>48517</v>
      </c>
      <c r="Y266" s="565"/>
    </row>
    <row r="267" spans="1:25" ht="10.5">
      <c r="A267" s="492"/>
      <c r="B267" s="492"/>
      <c r="C267" s="492"/>
      <c r="D267" s="492"/>
      <c r="E267" s="492"/>
      <c r="F267" s="492"/>
      <c r="G267" s="492"/>
      <c r="H267" s="492"/>
      <c r="I267" s="492"/>
      <c r="J267" s="492"/>
      <c r="K267" s="492"/>
      <c r="L267" s="492"/>
      <c r="M267" s="492"/>
      <c r="N267" s="492"/>
      <c r="O267" s="492"/>
      <c r="P267" s="492"/>
      <c r="Q267" s="492"/>
      <c r="R267" s="492"/>
      <c r="S267" s="492"/>
      <c r="T267" s="492"/>
      <c r="U267" s="492"/>
      <c r="V267" s="492"/>
      <c r="W267" s="492"/>
      <c r="X267" s="492"/>
      <c r="Y267" s="492"/>
    </row>
    <row r="268" spans="1:25" ht="10.5">
      <c r="A268" s="492"/>
      <c r="B268" s="492"/>
      <c r="C268" s="492"/>
      <c r="D268" s="492"/>
      <c r="E268" s="492"/>
      <c r="F268" s="492"/>
      <c r="G268" s="492"/>
      <c r="H268" s="492"/>
      <c r="I268" s="492"/>
      <c r="J268" s="492"/>
      <c r="K268" s="492"/>
      <c r="L268" s="492"/>
      <c r="M268" s="492"/>
      <c r="N268" s="492"/>
      <c r="O268" s="492"/>
      <c r="P268" s="492"/>
      <c r="Q268" s="492"/>
      <c r="R268" s="492"/>
      <c r="S268" s="492"/>
      <c r="T268" s="492"/>
      <c r="U268" s="492"/>
      <c r="V268" s="492"/>
      <c r="W268" s="492"/>
      <c r="X268" s="492"/>
      <c r="Y268" s="492"/>
    </row>
    <row r="269" spans="1:25" ht="11.25">
      <c r="A269" s="492"/>
      <c r="B269" s="566" t="s">
        <v>485</v>
      </c>
      <c r="C269" s="566"/>
      <c r="D269" s="566"/>
      <c r="E269" s="566"/>
      <c r="F269" s="566"/>
      <c r="G269" s="566"/>
      <c r="H269" s="566"/>
      <c r="I269" s="566"/>
      <c r="J269" s="566"/>
      <c r="K269" s="566"/>
      <c r="L269" s="566"/>
      <c r="M269" s="566"/>
      <c r="N269" s="492"/>
      <c r="O269" s="572">
        <v>48517</v>
      </c>
      <c r="P269" s="572"/>
      <c r="Q269" s="572"/>
      <c r="R269" s="572"/>
      <c r="S269" s="492"/>
      <c r="T269" s="572">
        <v>0</v>
      </c>
      <c r="U269" s="572"/>
      <c r="V269" s="572"/>
      <c r="W269" s="492"/>
      <c r="X269" s="565">
        <v>48517</v>
      </c>
      <c r="Y269" s="565"/>
    </row>
    <row r="270" spans="1:25" ht="10.5">
      <c r="A270" s="492"/>
      <c r="B270" s="567"/>
      <c r="C270" s="566"/>
      <c r="D270" s="566"/>
      <c r="E270" s="566"/>
      <c r="F270" s="566"/>
      <c r="G270" s="566"/>
      <c r="H270" s="566"/>
      <c r="I270" s="566"/>
      <c r="J270" s="566"/>
      <c r="K270" s="566"/>
      <c r="L270" s="566"/>
      <c r="M270" s="566"/>
      <c r="N270" s="492"/>
      <c r="O270" s="492"/>
      <c r="P270" s="492"/>
      <c r="Q270" s="492"/>
      <c r="R270" s="492"/>
      <c r="S270" s="492"/>
      <c r="T270" s="492"/>
      <c r="U270" s="492"/>
      <c r="V270" s="492"/>
      <c r="W270" s="492"/>
      <c r="X270" s="492"/>
      <c r="Y270" s="492"/>
    </row>
    <row r="271" spans="1:25" ht="10.5">
      <c r="A271" s="492"/>
      <c r="B271" s="492"/>
      <c r="C271" s="492"/>
      <c r="D271" s="492"/>
      <c r="E271" s="492"/>
      <c r="F271" s="492"/>
      <c r="G271" s="492"/>
      <c r="H271" s="492"/>
      <c r="I271" s="492"/>
      <c r="J271" s="492"/>
      <c r="K271" s="492"/>
      <c r="L271" s="492"/>
      <c r="M271" s="492"/>
      <c r="N271" s="492"/>
      <c r="O271" s="492"/>
      <c r="P271" s="492"/>
      <c r="Q271" s="492"/>
      <c r="R271" s="492"/>
      <c r="S271" s="492"/>
      <c r="T271" s="492"/>
      <c r="U271" s="492"/>
      <c r="V271" s="492"/>
      <c r="W271" s="492"/>
      <c r="X271" s="492"/>
      <c r="Y271" s="492"/>
    </row>
    <row r="272" spans="1:25" ht="12">
      <c r="A272" s="573" t="s">
        <v>211</v>
      </c>
      <c r="B272" s="573"/>
      <c r="C272" s="573"/>
      <c r="D272" s="492"/>
      <c r="E272" s="571" t="s">
        <v>486</v>
      </c>
      <c r="F272" s="571"/>
      <c r="G272" s="571"/>
      <c r="H272" s="571"/>
      <c r="I272" s="571"/>
      <c r="J272" s="571"/>
      <c r="K272" s="571"/>
      <c r="L272" s="571"/>
      <c r="M272" s="571"/>
      <c r="N272" s="571"/>
      <c r="O272" s="571"/>
      <c r="P272" s="571"/>
      <c r="Q272" s="492"/>
      <c r="R272" s="492"/>
      <c r="S272" s="492"/>
      <c r="T272" s="492"/>
      <c r="U272" s="492"/>
      <c r="V272" s="492"/>
      <c r="W272" s="492"/>
      <c r="X272" s="492"/>
      <c r="Y272" s="492"/>
    </row>
    <row r="273" spans="1:25" ht="10.5">
      <c r="A273" s="567"/>
      <c r="B273" s="573"/>
      <c r="C273" s="573"/>
      <c r="D273" s="492"/>
      <c r="E273" s="492"/>
      <c r="F273" s="492"/>
      <c r="G273" s="492"/>
      <c r="H273" s="492"/>
      <c r="I273" s="492"/>
      <c r="J273" s="492"/>
      <c r="K273" s="492"/>
      <c r="L273" s="492"/>
      <c r="M273" s="492"/>
      <c r="N273" s="492"/>
      <c r="O273" s="492"/>
      <c r="P273" s="492"/>
      <c r="Q273" s="492"/>
      <c r="R273" s="492"/>
      <c r="S273" s="492"/>
      <c r="T273" s="492"/>
      <c r="U273" s="492"/>
      <c r="V273" s="492"/>
      <c r="W273" s="492"/>
      <c r="X273" s="492"/>
      <c r="Y273" s="492"/>
    </row>
    <row r="274" spans="1:25" ht="12">
      <c r="A274" s="492"/>
      <c r="B274" s="492"/>
      <c r="C274" s="573" t="s">
        <v>213</v>
      </c>
      <c r="D274" s="573"/>
      <c r="E274" s="573"/>
      <c r="F274" s="573"/>
      <c r="G274" s="492"/>
      <c r="H274" s="571" t="s">
        <v>235</v>
      </c>
      <c r="I274" s="571"/>
      <c r="J274" s="571"/>
      <c r="K274" s="571"/>
      <c r="L274" s="571"/>
      <c r="M274" s="571"/>
      <c r="N274" s="571"/>
      <c r="O274" s="571"/>
      <c r="P274" s="571"/>
      <c r="Q274" s="571"/>
      <c r="R274" s="571"/>
      <c r="S274" s="571"/>
      <c r="T274" s="492"/>
      <c r="U274" s="492"/>
      <c r="V274" s="492"/>
      <c r="W274" s="492"/>
      <c r="X274" s="492"/>
      <c r="Y274" s="492"/>
    </row>
    <row r="275" spans="1:25" ht="12">
      <c r="A275" s="573" t="s">
        <v>215</v>
      </c>
      <c r="B275" s="573"/>
      <c r="C275" s="573"/>
      <c r="D275" s="573"/>
      <c r="E275" s="573"/>
      <c r="F275" s="492"/>
      <c r="G275" s="492"/>
      <c r="H275" s="492"/>
      <c r="I275" s="574" t="s">
        <v>488</v>
      </c>
      <c r="J275" s="574"/>
      <c r="K275" s="574"/>
      <c r="L275" s="574"/>
      <c r="M275" s="574"/>
      <c r="N275" s="574"/>
      <c r="O275" s="575" t="s">
        <v>489</v>
      </c>
      <c r="P275" s="575"/>
      <c r="Q275" s="575"/>
      <c r="R275" s="575"/>
      <c r="S275" s="492"/>
      <c r="T275" s="575" t="s">
        <v>490</v>
      </c>
      <c r="U275" s="575"/>
      <c r="V275" s="575"/>
      <c r="W275" s="492"/>
      <c r="X275" s="576" t="s">
        <v>491</v>
      </c>
      <c r="Y275" s="576"/>
    </row>
    <row r="276" spans="1:25" ht="10.5">
      <c r="A276" s="492"/>
      <c r="B276" s="492"/>
      <c r="C276" s="492"/>
      <c r="D276" s="492"/>
      <c r="E276" s="492"/>
      <c r="F276" s="492"/>
      <c r="G276" s="492"/>
      <c r="H276" s="492"/>
      <c r="I276" s="492"/>
      <c r="J276" s="492"/>
      <c r="K276" s="492"/>
      <c r="L276" s="492"/>
      <c r="M276" s="492"/>
      <c r="N276" s="492"/>
      <c r="O276" s="492"/>
      <c r="P276" s="492"/>
      <c r="Q276" s="492"/>
      <c r="R276" s="492"/>
      <c r="S276" s="492"/>
      <c r="T276" s="492"/>
      <c r="U276" s="492"/>
      <c r="V276" s="492"/>
      <c r="W276" s="492"/>
      <c r="X276" s="492"/>
      <c r="Y276" s="492"/>
    </row>
    <row r="277" spans="1:25" ht="11.25">
      <c r="A277" s="570" t="s">
        <v>36</v>
      </c>
      <c r="B277" s="570"/>
      <c r="C277" s="570"/>
      <c r="D277" s="570"/>
      <c r="E277" s="570"/>
      <c r="F277" s="570"/>
      <c r="G277" s="570"/>
      <c r="H277" s="570" t="s">
        <v>463</v>
      </c>
      <c r="I277" s="570"/>
      <c r="J277" s="570"/>
      <c r="K277" s="571" t="s">
        <v>226</v>
      </c>
      <c r="L277" s="571"/>
      <c r="M277" s="570" t="s">
        <v>464</v>
      </c>
      <c r="N277" s="570"/>
      <c r="O277" s="492"/>
      <c r="P277" s="568">
        <v>16400</v>
      </c>
      <c r="Q277" s="568"/>
      <c r="R277" s="568"/>
      <c r="S277" s="492"/>
      <c r="T277" s="568">
        <v>0</v>
      </c>
      <c r="U277" s="568"/>
      <c r="V277" s="568"/>
      <c r="W277" s="492"/>
      <c r="X277" s="569">
        <v>16400</v>
      </c>
      <c r="Y277" s="569"/>
    </row>
    <row r="278" spans="1:25" ht="10.5">
      <c r="A278" s="492"/>
      <c r="B278" s="492"/>
      <c r="C278" s="492"/>
      <c r="D278" s="492"/>
      <c r="E278" s="492"/>
      <c r="F278" s="492"/>
      <c r="G278" s="492"/>
      <c r="H278" s="492"/>
      <c r="I278" s="492"/>
      <c r="J278" s="492"/>
      <c r="K278" s="567"/>
      <c r="L278" s="571"/>
      <c r="M278" s="492"/>
      <c r="N278" s="492"/>
      <c r="O278" s="492"/>
      <c r="P278" s="492"/>
      <c r="Q278" s="492"/>
      <c r="R278" s="492"/>
      <c r="S278" s="492"/>
      <c r="T278" s="492"/>
      <c r="U278" s="492"/>
      <c r="V278" s="492"/>
      <c r="W278" s="492"/>
      <c r="X278" s="492"/>
      <c r="Y278" s="492"/>
    </row>
    <row r="279" spans="1:25" ht="11.25">
      <c r="A279" s="570" t="s">
        <v>37</v>
      </c>
      <c r="B279" s="570"/>
      <c r="C279" s="570"/>
      <c r="D279" s="570"/>
      <c r="E279" s="570"/>
      <c r="F279" s="570"/>
      <c r="G279" s="570"/>
      <c r="H279" s="570" t="s">
        <v>463</v>
      </c>
      <c r="I279" s="570"/>
      <c r="J279" s="570"/>
      <c r="K279" s="571" t="s">
        <v>226</v>
      </c>
      <c r="L279" s="571"/>
      <c r="M279" s="570" t="s">
        <v>464</v>
      </c>
      <c r="N279" s="570"/>
      <c r="O279" s="492"/>
      <c r="P279" s="568">
        <v>33986.49</v>
      </c>
      <c r="Q279" s="568"/>
      <c r="R279" s="568"/>
      <c r="S279" s="492"/>
      <c r="T279" s="568">
        <v>0</v>
      </c>
      <c r="U279" s="568"/>
      <c r="V279" s="568"/>
      <c r="W279" s="492"/>
      <c r="X279" s="569">
        <v>33986.49</v>
      </c>
      <c r="Y279" s="569"/>
    </row>
    <row r="280" spans="1:25" ht="10.5">
      <c r="A280" s="492"/>
      <c r="B280" s="492"/>
      <c r="C280" s="492"/>
      <c r="D280" s="492"/>
      <c r="E280" s="492"/>
      <c r="F280" s="492"/>
      <c r="G280" s="492"/>
      <c r="H280" s="492"/>
      <c r="I280" s="492"/>
      <c r="J280" s="492"/>
      <c r="K280" s="567"/>
      <c r="L280" s="571"/>
      <c r="M280" s="492"/>
      <c r="N280" s="492"/>
      <c r="O280" s="492"/>
      <c r="P280" s="492"/>
      <c r="Q280" s="492"/>
      <c r="R280" s="492"/>
      <c r="S280" s="492"/>
      <c r="T280" s="492"/>
      <c r="U280" s="492"/>
      <c r="V280" s="492"/>
      <c r="W280" s="492"/>
      <c r="X280" s="492"/>
      <c r="Y280" s="492"/>
    </row>
    <row r="281" spans="1:25" ht="11.25">
      <c r="A281" s="570" t="s">
        <v>31</v>
      </c>
      <c r="B281" s="570"/>
      <c r="C281" s="570"/>
      <c r="D281" s="570"/>
      <c r="E281" s="570"/>
      <c r="F281" s="570"/>
      <c r="G281" s="570"/>
      <c r="H281" s="570" t="s">
        <v>463</v>
      </c>
      <c r="I281" s="570"/>
      <c r="J281" s="570"/>
      <c r="K281" s="571" t="s">
        <v>226</v>
      </c>
      <c r="L281" s="571"/>
      <c r="M281" s="570" t="s">
        <v>464</v>
      </c>
      <c r="N281" s="570"/>
      <c r="O281" s="492"/>
      <c r="P281" s="568">
        <v>19671</v>
      </c>
      <c r="Q281" s="568"/>
      <c r="R281" s="568"/>
      <c r="S281" s="492"/>
      <c r="T281" s="568">
        <v>0</v>
      </c>
      <c r="U281" s="568"/>
      <c r="V281" s="568"/>
      <c r="W281" s="492"/>
      <c r="X281" s="569">
        <v>19671</v>
      </c>
      <c r="Y281" s="569"/>
    </row>
    <row r="282" spans="1:25" ht="10.5">
      <c r="A282" s="492"/>
      <c r="B282" s="492"/>
      <c r="C282" s="492"/>
      <c r="D282" s="492"/>
      <c r="E282" s="492"/>
      <c r="F282" s="492"/>
      <c r="G282" s="492"/>
      <c r="H282" s="492"/>
      <c r="I282" s="492"/>
      <c r="J282" s="492"/>
      <c r="K282" s="567"/>
      <c r="L282" s="571"/>
      <c r="M282" s="492"/>
      <c r="N282" s="492"/>
      <c r="O282" s="492"/>
      <c r="P282" s="492"/>
      <c r="Q282" s="492"/>
      <c r="R282" s="492"/>
      <c r="S282" s="492"/>
      <c r="T282" s="492"/>
      <c r="U282" s="492"/>
      <c r="V282" s="492"/>
      <c r="W282" s="492"/>
      <c r="X282" s="492"/>
      <c r="Y282" s="492"/>
    </row>
    <row r="283" spans="1:25" ht="11.25">
      <c r="A283" s="570" t="s">
        <v>32</v>
      </c>
      <c r="B283" s="570"/>
      <c r="C283" s="570"/>
      <c r="D283" s="570"/>
      <c r="E283" s="570"/>
      <c r="F283" s="570"/>
      <c r="G283" s="570"/>
      <c r="H283" s="570" t="s">
        <v>463</v>
      </c>
      <c r="I283" s="570"/>
      <c r="J283" s="570"/>
      <c r="K283" s="571" t="s">
        <v>226</v>
      </c>
      <c r="L283" s="571"/>
      <c r="M283" s="570" t="s">
        <v>464</v>
      </c>
      <c r="N283" s="570"/>
      <c r="O283" s="492"/>
      <c r="P283" s="568">
        <v>8177</v>
      </c>
      <c r="Q283" s="568"/>
      <c r="R283" s="568"/>
      <c r="S283" s="492"/>
      <c r="T283" s="568">
        <v>0</v>
      </c>
      <c r="U283" s="568"/>
      <c r="V283" s="568"/>
      <c r="W283" s="492"/>
      <c r="X283" s="569">
        <v>8177</v>
      </c>
      <c r="Y283" s="569"/>
    </row>
    <row r="284" spans="1:25" ht="10.5">
      <c r="A284" s="492"/>
      <c r="B284" s="492"/>
      <c r="C284" s="492"/>
      <c r="D284" s="492"/>
      <c r="E284" s="492"/>
      <c r="F284" s="492"/>
      <c r="G284" s="492"/>
      <c r="H284" s="492"/>
      <c r="I284" s="492"/>
      <c r="J284" s="492"/>
      <c r="K284" s="567"/>
      <c r="L284" s="571"/>
      <c r="M284" s="492"/>
      <c r="N284" s="492"/>
      <c r="O284" s="492"/>
      <c r="P284" s="492"/>
      <c r="Q284" s="492"/>
      <c r="R284" s="492"/>
      <c r="S284" s="492"/>
      <c r="T284" s="492"/>
      <c r="U284" s="492"/>
      <c r="V284" s="492"/>
      <c r="W284" s="492"/>
      <c r="X284" s="492"/>
      <c r="Y284" s="492"/>
    </row>
    <row r="285" spans="1:25" ht="11.25">
      <c r="A285" s="570" t="s">
        <v>38</v>
      </c>
      <c r="B285" s="570"/>
      <c r="C285" s="570"/>
      <c r="D285" s="570"/>
      <c r="E285" s="570"/>
      <c r="F285" s="570"/>
      <c r="G285" s="570"/>
      <c r="H285" s="570" t="s">
        <v>463</v>
      </c>
      <c r="I285" s="570"/>
      <c r="J285" s="570"/>
      <c r="K285" s="571" t="s">
        <v>226</v>
      </c>
      <c r="L285" s="571"/>
      <c r="M285" s="570" t="s">
        <v>464</v>
      </c>
      <c r="N285" s="570"/>
      <c r="O285" s="492"/>
      <c r="P285" s="568">
        <v>2814</v>
      </c>
      <c r="Q285" s="568"/>
      <c r="R285" s="568"/>
      <c r="S285" s="492"/>
      <c r="T285" s="568">
        <v>0</v>
      </c>
      <c r="U285" s="568"/>
      <c r="V285" s="568"/>
      <c r="W285" s="492"/>
      <c r="X285" s="569">
        <v>2814</v>
      </c>
      <c r="Y285" s="569"/>
    </row>
    <row r="286" spans="1:25" ht="10.5">
      <c r="A286" s="492"/>
      <c r="B286" s="492"/>
      <c r="C286" s="492"/>
      <c r="D286" s="492"/>
      <c r="E286" s="492"/>
      <c r="F286" s="492"/>
      <c r="G286" s="492"/>
      <c r="H286" s="492"/>
      <c r="I286" s="492"/>
      <c r="J286" s="492"/>
      <c r="K286" s="567"/>
      <c r="L286" s="571"/>
      <c r="M286" s="492"/>
      <c r="N286" s="492"/>
      <c r="O286" s="492"/>
      <c r="P286" s="492"/>
      <c r="Q286" s="492"/>
      <c r="R286" s="492"/>
      <c r="S286" s="492"/>
      <c r="T286" s="492"/>
      <c r="U286" s="492"/>
      <c r="V286" s="492"/>
      <c r="W286" s="492"/>
      <c r="X286" s="492"/>
      <c r="Y286" s="492"/>
    </row>
    <row r="287" spans="1:25" ht="10.5">
      <c r="A287" s="492"/>
      <c r="B287" s="492"/>
      <c r="C287" s="492"/>
      <c r="D287" s="492"/>
      <c r="E287" s="492"/>
      <c r="F287" s="492"/>
      <c r="G287" s="492"/>
      <c r="H287" s="492"/>
      <c r="I287" s="492"/>
      <c r="J287" s="492"/>
      <c r="K287" s="492"/>
      <c r="L287" s="492"/>
      <c r="M287" s="492"/>
      <c r="N287" s="492"/>
      <c r="O287" s="492"/>
      <c r="P287" s="492"/>
      <c r="Q287" s="492"/>
      <c r="R287" s="492"/>
      <c r="S287" s="492"/>
      <c r="T287" s="492"/>
      <c r="U287" s="492"/>
      <c r="V287" s="492"/>
      <c r="W287" s="492"/>
      <c r="X287" s="492"/>
      <c r="Y287" s="492"/>
    </row>
    <row r="288" spans="1:25" ht="11.25">
      <c r="A288" s="492"/>
      <c r="B288" s="492"/>
      <c r="C288" s="492"/>
      <c r="D288" s="492"/>
      <c r="E288" s="492"/>
      <c r="F288" s="492"/>
      <c r="G288" s="492"/>
      <c r="H288" s="492"/>
      <c r="I288" s="492"/>
      <c r="J288" s="492"/>
      <c r="K288" s="492"/>
      <c r="L288" s="492"/>
      <c r="M288" s="492"/>
      <c r="N288" s="492"/>
      <c r="O288" s="565">
        <v>81048.49</v>
      </c>
      <c r="P288" s="565"/>
      <c r="Q288" s="565"/>
      <c r="R288" s="565"/>
      <c r="S288" s="492"/>
      <c r="T288" s="565">
        <v>0</v>
      </c>
      <c r="U288" s="565"/>
      <c r="V288" s="565"/>
      <c r="W288" s="492"/>
      <c r="X288" s="565">
        <v>81048.49</v>
      </c>
      <c r="Y288" s="565"/>
    </row>
    <row r="289" spans="1:25" ht="10.5">
      <c r="A289" s="492"/>
      <c r="B289" s="492"/>
      <c r="C289" s="492"/>
      <c r="D289" s="492"/>
      <c r="E289" s="492"/>
      <c r="F289" s="492"/>
      <c r="G289" s="492"/>
      <c r="H289" s="492"/>
      <c r="I289" s="492"/>
      <c r="J289" s="492"/>
      <c r="K289" s="492"/>
      <c r="L289" s="492"/>
      <c r="M289" s="492"/>
      <c r="N289" s="492"/>
      <c r="O289" s="492"/>
      <c r="P289" s="492"/>
      <c r="Q289" s="492"/>
      <c r="R289" s="492"/>
      <c r="S289" s="492"/>
      <c r="T289" s="492"/>
      <c r="U289" s="492"/>
      <c r="V289" s="492"/>
      <c r="W289" s="492"/>
      <c r="X289" s="492"/>
      <c r="Y289" s="492"/>
    </row>
    <row r="290" spans="1:25" ht="10.5">
      <c r="A290" s="492"/>
      <c r="B290" s="492"/>
      <c r="C290" s="492"/>
      <c r="D290" s="492"/>
      <c r="E290" s="492"/>
      <c r="F290" s="492"/>
      <c r="G290" s="492"/>
      <c r="H290" s="492"/>
      <c r="I290" s="492"/>
      <c r="J290" s="492"/>
      <c r="K290" s="492"/>
      <c r="L290" s="492"/>
      <c r="M290" s="492"/>
      <c r="N290" s="492"/>
      <c r="O290" s="492"/>
      <c r="P290" s="492"/>
      <c r="Q290" s="492"/>
      <c r="R290" s="492"/>
      <c r="S290" s="492"/>
      <c r="T290" s="492"/>
      <c r="U290" s="492"/>
      <c r="V290" s="492"/>
      <c r="W290" s="492"/>
      <c r="X290" s="492"/>
      <c r="Y290" s="492"/>
    </row>
    <row r="291" spans="1:25" ht="11.25">
      <c r="A291" s="492"/>
      <c r="B291" s="566" t="s">
        <v>487</v>
      </c>
      <c r="C291" s="566"/>
      <c r="D291" s="566"/>
      <c r="E291" s="566"/>
      <c r="F291" s="566"/>
      <c r="G291" s="566"/>
      <c r="H291" s="566"/>
      <c r="I291" s="566"/>
      <c r="J291" s="566"/>
      <c r="K291" s="566"/>
      <c r="L291" s="566"/>
      <c r="M291" s="566"/>
      <c r="N291" s="492"/>
      <c r="O291" s="572">
        <v>81048.49</v>
      </c>
      <c r="P291" s="572"/>
      <c r="Q291" s="572"/>
      <c r="R291" s="572"/>
      <c r="S291" s="492"/>
      <c r="T291" s="572">
        <v>0</v>
      </c>
      <c r="U291" s="572"/>
      <c r="V291" s="572"/>
      <c r="W291" s="492"/>
      <c r="X291" s="565">
        <v>81048.49</v>
      </c>
      <c r="Y291" s="565"/>
    </row>
    <row r="292" spans="1:25" ht="10.5">
      <c r="A292" s="492"/>
      <c r="B292" s="567"/>
      <c r="C292" s="566"/>
      <c r="D292" s="566"/>
      <c r="E292" s="566"/>
      <c r="F292" s="566"/>
      <c r="G292" s="566"/>
      <c r="H292" s="566"/>
      <c r="I292" s="566"/>
      <c r="J292" s="566"/>
      <c r="K292" s="566"/>
      <c r="L292" s="566"/>
      <c r="M292" s="566"/>
      <c r="N292" s="492"/>
      <c r="O292" s="492"/>
      <c r="P292" s="492"/>
      <c r="Q292" s="492"/>
      <c r="R292" s="492"/>
      <c r="S292" s="492"/>
      <c r="T292" s="492"/>
      <c r="U292" s="492"/>
      <c r="V292" s="492"/>
      <c r="W292" s="492"/>
      <c r="X292" s="492"/>
      <c r="Y292" s="492"/>
    </row>
  </sheetData>
  <sheetProtection/>
  <mergeCells count="770">
    <mergeCell ref="B291:M292"/>
    <mergeCell ref="O291:R291"/>
    <mergeCell ref="T291:V291"/>
    <mergeCell ref="X291:Y291"/>
    <mergeCell ref="A285:G285"/>
    <mergeCell ref="H285:J285"/>
    <mergeCell ref="K285:L286"/>
    <mergeCell ref="M285:N285"/>
    <mergeCell ref="P285:R285"/>
    <mergeCell ref="T285:V285"/>
    <mergeCell ref="X285:Y285"/>
    <mergeCell ref="O288:R288"/>
    <mergeCell ref="T288:V288"/>
    <mergeCell ref="X288:Y288"/>
    <mergeCell ref="A281:G281"/>
    <mergeCell ref="H281:J281"/>
    <mergeCell ref="K281:L282"/>
    <mergeCell ref="M281:N281"/>
    <mergeCell ref="P281:R281"/>
    <mergeCell ref="T281:V281"/>
    <mergeCell ref="X281:Y281"/>
    <mergeCell ref="A283:G283"/>
    <mergeCell ref="H283:J283"/>
    <mergeCell ref="K283:L284"/>
    <mergeCell ref="M283:N283"/>
    <mergeCell ref="P283:R283"/>
    <mergeCell ref="T283:V283"/>
    <mergeCell ref="X283:Y283"/>
    <mergeCell ref="A277:G277"/>
    <mergeCell ref="H277:J277"/>
    <mergeCell ref="K277:L278"/>
    <mergeCell ref="M277:N277"/>
    <mergeCell ref="P277:R277"/>
    <mergeCell ref="T277:V277"/>
    <mergeCell ref="X277:Y277"/>
    <mergeCell ref="A279:G279"/>
    <mergeCell ref="H279:J279"/>
    <mergeCell ref="K279:L280"/>
    <mergeCell ref="M279:N279"/>
    <mergeCell ref="P279:R279"/>
    <mergeCell ref="T279:V279"/>
    <mergeCell ref="X279:Y279"/>
    <mergeCell ref="B269:M270"/>
    <mergeCell ref="O269:R269"/>
    <mergeCell ref="T269:V269"/>
    <mergeCell ref="X269:Y269"/>
    <mergeCell ref="A272:C273"/>
    <mergeCell ref="E272:P272"/>
    <mergeCell ref="C274:F274"/>
    <mergeCell ref="H274:S274"/>
    <mergeCell ref="A275:E275"/>
    <mergeCell ref="I275:N275"/>
    <mergeCell ref="O275:R275"/>
    <mergeCell ref="T275:V275"/>
    <mergeCell ref="X275:Y275"/>
    <mergeCell ref="A263:G263"/>
    <mergeCell ref="H263:J263"/>
    <mergeCell ref="K263:L264"/>
    <mergeCell ref="M263:N263"/>
    <mergeCell ref="P263:R263"/>
    <mergeCell ref="T263:V263"/>
    <mergeCell ref="X263:Y263"/>
    <mergeCell ref="O266:R266"/>
    <mergeCell ref="T266:V266"/>
    <mergeCell ref="X266:Y266"/>
    <mergeCell ref="A259:G259"/>
    <mergeCell ref="H259:J259"/>
    <mergeCell ref="K259:L260"/>
    <mergeCell ref="M259:N259"/>
    <mergeCell ref="P259:R259"/>
    <mergeCell ref="T259:V259"/>
    <mergeCell ref="X259:Y259"/>
    <mergeCell ref="A261:G261"/>
    <mergeCell ref="H261:J261"/>
    <mergeCell ref="K261:L262"/>
    <mergeCell ref="M261:N261"/>
    <mergeCell ref="P261:R261"/>
    <mergeCell ref="T261:V261"/>
    <mergeCell ref="X261:Y261"/>
    <mergeCell ref="A255:G255"/>
    <mergeCell ref="H255:J255"/>
    <mergeCell ref="K255:L256"/>
    <mergeCell ref="M255:N255"/>
    <mergeCell ref="P255:R255"/>
    <mergeCell ref="T255:V255"/>
    <mergeCell ref="X255:Y255"/>
    <mergeCell ref="A257:G257"/>
    <mergeCell ref="H257:J257"/>
    <mergeCell ref="K257:L258"/>
    <mergeCell ref="M257:N257"/>
    <mergeCell ref="P257:R257"/>
    <mergeCell ref="T257:V257"/>
    <mergeCell ref="X257:Y257"/>
    <mergeCell ref="A251:G251"/>
    <mergeCell ref="H251:J251"/>
    <mergeCell ref="K251:L252"/>
    <mergeCell ref="M251:N251"/>
    <mergeCell ref="P251:R251"/>
    <mergeCell ref="T251:V251"/>
    <mergeCell ref="X251:Y251"/>
    <mergeCell ref="A253:G253"/>
    <mergeCell ref="H253:J253"/>
    <mergeCell ref="K253:L254"/>
    <mergeCell ref="M253:N253"/>
    <mergeCell ref="P253:R253"/>
    <mergeCell ref="T253:V253"/>
    <mergeCell ref="X253:Y253"/>
    <mergeCell ref="A247:G247"/>
    <mergeCell ref="H247:J247"/>
    <mergeCell ref="K247:L248"/>
    <mergeCell ref="M247:N247"/>
    <mergeCell ref="P247:R247"/>
    <mergeCell ref="T247:V247"/>
    <mergeCell ref="X247:Y247"/>
    <mergeCell ref="A249:G249"/>
    <mergeCell ref="H249:J249"/>
    <mergeCell ref="K249:L250"/>
    <mergeCell ref="M249:N249"/>
    <mergeCell ref="P249:R249"/>
    <mergeCell ref="T249:V249"/>
    <mergeCell ref="X249:Y249"/>
    <mergeCell ref="A243:G243"/>
    <mergeCell ref="H243:J243"/>
    <mergeCell ref="K243:L244"/>
    <mergeCell ref="M243:N243"/>
    <mergeCell ref="P243:R243"/>
    <mergeCell ref="T243:V243"/>
    <mergeCell ref="X243:Y243"/>
    <mergeCell ref="A245:G245"/>
    <mergeCell ref="H245:J245"/>
    <mergeCell ref="K245:L246"/>
    <mergeCell ref="M245:N245"/>
    <mergeCell ref="P245:R245"/>
    <mergeCell ref="T245:V245"/>
    <mergeCell ref="X245:Y245"/>
    <mergeCell ref="C238:F238"/>
    <mergeCell ref="H238:S238"/>
    <mergeCell ref="A239:E239"/>
    <mergeCell ref="I239:N239"/>
    <mergeCell ref="O239:R239"/>
    <mergeCell ref="T239:V239"/>
    <mergeCell ref="X239:Y239"/>
    <mergeCell ref="A241:G241"/>
    <mergeCell ref="H241:J241"/>
    <mergeCell ref="K241:L242"/>
    <mergeCell ref="M241:N241"/>
    <mergeCell ref="P241:R241"/>
    <mergeCell ref="T241:V241"/>
    <mergeCell ref="X241:Y241"/>
    <mergeCell ref="O230:R230"/>
    <mergeCell ref="T230:V230"/>
    <mergeCell ref="X230:Y230"/>
    <mergeCell ref="B233:M234"/>
    <mergeCell ref="O233:R233"/>
    <mergeCell ref="T233:V233"/>
    <mergeCell ref="X233:Y233"/>
    <mergeCell ref="A236:C237"/>
    <mergeCell ref="E236:P236"/>
    <mergeCell ref="A225:E225"/>
    <mergeCell ref="I225:N225"/>
    <mergeCell ref="O225:R225"/>
    <mergeCell ref="T225:V225"/>
    <mergeCell ref="X225:Y225"/>
    <mergeCell ref="A227:G227"/>
    <mergeCell ref="H227:J227"/>
    <mergeCell ref="K227:L228"/>
    <mergeCell ref="M227:N227"/>
    <mergeCell ref="P227:R227"/>
    <mergeCell ref="T227:V227"/>
    <mergeCell ref="X227:Y227"/>
    <mergeCell ref="T216:V216"/>
    <mergeCell ref="X216:Y216"/>
    <mergeCell ref="B219:M220"/>
    <mergeCell ref="O219:R219"/>
    <mergeCell ref="T219:V219"/>
    <mergeCell ref="X219:Y219"/>
    <mergeCell ref="T209:V209"/>
    <mergeCell ref="X209:Y209"/>
    <mergeCell ref="A211:G211"/>
    <mergeCell ref="H211:J211"/>
    <mergeCell ref="K211:L212"/>
    <mergeCell ref="M211:N211"/>
    <mergeCell ref="P211:R211"/>
    <mergeCell ref="T211:V211"/>
    <mergeCell ref="X211:Y211"/>
    <mergeCell ref="A213:G213"/>
    <mergeCell ref="H213:J213"/>
    <mergeCell ref="K213:L214"/>
    <mergeCell ref="M213:N213"/>
    <mergeCell ref="P213:R213"/>
    <mergeCell ref="T213:V213"/>
    <mergeCell ref="X213:Y213"/>
    <mergeCell ref="C170:F170"/>
    <mergeCell ref="H170:S170"/>
    <mergeCell ref="A171:E171"/>
    <mergeCell ref="I171:N171"/>
    <mergeCell ref="O171:R171"/>
    <mergeCell ref="O184:R184"/>
    <mergeCell ref="T184:V184"/>
    <mergeCell ref="X184:Y184"/>
    <mergeCell ref="C186:F186"/>
    <mergeCell ref="H186:S186"/>
    <mergeCell ref="T171:V171"/>
    <mergeCell ref="X171:Y171"/>
    <mergeCell ref="A173:G173"/>
    <mergeCell ref="H173:J173"/>
    <mergeCell ref="K173:L174"/>
    <mergeCell ref="M173:N173"/>
    <mergeCell ref="P173:R173"/>
    <mergeCell ref="T173:V173"/>
    <mergeCell ref="X173:Y173"/>
    <mergeCell ref="A175:G175"/>
    <mergeCell ref="H175:J175"/>
    <mergeCell ref="K175:L176"/>
    <mergeCell ref="M175:N175"/>
    <mergeCell ref="P175:R175"/>
    <mergeCell ref="O162:R162"/>
    <mergeCell ref="T162:V162"/>
    <mergeCell ref="X162:Y162"/>
    <mergeCell ref="B165:M166"/>
    <mergeCell ref="O165:R165"/>
    <mergeCell ref="T165:V165"/>
    <mergeCell ref="X165:Y165"/>
    <mergeCell ref="A168:C169"/>
    <mergeCell ref="E168:P168"/>
    <mergeCell ref="T159:V159"/>
    <mergeCell ref="X159:Y159"/>
    <mergeCell ref="T155:V155"/>
    <mergeCell ref="X155:Y155"/>
    <mergeCell ref="A157:G157"/>
    <mergeCell ref="H157:J157"/>
    <mergeCell ref="K157:L158"/>
    <mergeCell ref="M157:N157"/>
    <mergeCell ref="P157:R157"/>
    <mergeCell ref="T157:V157"/>
    <mergeCell ref="X157:Y157"/>
    <mergeCell ref="A155:G155"/>
    <mergeCell ref="H155:J155"/>
    <mergeCell ref="K155:L156"/>
    <mergeCell ref="M155:N155"/>
    <mergeCell ref="P155:R155"/>
    <mergeCell ref="A159:G159"/>
    <mergeCell ref="H159:J159"/>
    <mergeCell ref="K159:L160"/>
    <mergeCell ref="M159:N159"/>
    <mergeCell ref="P159:R159"/>
    <mergeCell ref="A147:G147"/>
    <mergeCell ref="H147:J147"/>
    <mergeCell ref="K147:L148"/>
    <mergeCell ref="M147:N147"/>
    <mergeCell ref="P147:R147"/>
    <mergeCell ref="T147:V147"/>
    <mergeCell ref="X147:Y147"/>
    <mergeCell ref="A149:G149"/>
    <mergeCell ref="H149:J149"/>
    <mergeCell ref="K149:L150"/>
    <mergeCell ref="M149:N149"/>
    <mergeCell ref="P149:R149"/>
    <mergeCell ref="T149:V149"/>
    <mergeCell ref="X149:Y149"/>
    <mergeCell ref="P137:R137"/>
    <mergeCell ref="T137:V137"/>
    <mergeCell ref="X137:Y137"/>
    <mergeCell ref="A139:G139"/>
    <mergeCell ref="H139:J139"/>
    <mergeCell ref="K139:L140"/>
    <mergeCell ref="M139:N139"/>
    <mergeCell ref="P139:R139"/>
    <mergeCell ref="A145:G145"/>
    <mergeCell ref="H145:J145"/>
    <mergeCell ref="K145:L146"/>
    <mergeCell ref="M145:N145"/>
    <mergeCell ref="P145:R145"/>
    <mergeCell ref="T145:V145"/>
    <mergeCell ref="X145:Y145"/>
    <mergeCell ref="A137:G137"/>
    <mergeCell ref="H137:J137"/>
    <mergeCell ref="K137:L138"/>
    <mergeCell ref="M137:N137"/>
    <mergeCell ref="T139:V139"/>
    <mergeCell ref="X139:Y139"/>
    <mergeCell ref="A141:G141"/>
    <mergeCell ref="H141:J141"/>
    <mergeCell ref="K141:L142"/>
    <mergeCell ref="A115:G115"/>
    <mergeCell ref="H115:J115"/>
    <mergeCell ref="K115:L116"/>
    <mergeCell ref="M115:N115"/>
    <mergeCell ref="P115:R115"/>
    <mergeCell ref="T115:V115"/>
    <mergeCell ref="X115:Y115"/>
    <mergeCell ref="A117:G117"/>
    <mergeCell ref="H117:J117"/>
    <mergeCell ref="K117:L118"/>
    <mergeCell ref="M117:N117"/>
    <mergeCell ref="P117:R117"/>
    <mergeCell ref="T117:V117"/>
    <mergeCell ref="X117:Y117"/>
    <mergeCell ref="O28:R28"/>
    <mergeCell ref="T28:V28"/>
    <mergeCell ref="X28:Y28"/>
    <mergeCell ref="O54:R54"/>
    <mergeCell ref="T54:V54"/>
    <mergeCell ref="X54:Y54"/>
    <mergeCell ref="B57:M58"/>
    <mergeCell ref="O57:R57"/>
    <mergeCell ref="A60:C61"/>
    <mergeCell ref="E60:P60"/>
    <mergeCell ref="C30:F30"/>
    <mergeCell ref="H30:S30"/>
    <mergeCell ref="A31:E31"/>
    <mergeCell ref="I31:N31"/>
    <mergeCell ref="O31:R31"/>
    <mergeCell ref="T31:V31"/>
    <mergeCell ref="X31:Y31"/>
    <mergeCell ref="A33:G33"/>
    <mergeCell ref="H33:J33"/>
    <mergeCell ref="K33:L34"/>
    <mergeCell ref="M33:N33"/>
    <mergeCell ref="P33:R33"/>
    <mergeCell ref="T33:V33"/>
    <mergeCell ref="X33:Y33"/>
    <mergeCell ref="H23:J23"/>
    <mergeCell ref="K23:L24"/>
    <mergeCell ref="M23:N23"/>
    <mergeCell ref="P23:R23"/>
    <mergeCell ref="T23:V23"/>
    <mergeCell ref="X23:Y23"/>
    <mergeCell ref="A25:G25"/>
    <mergeCell ref="H25:J25"/>
    <mergeCell ref="K25:L26"/>
    <mergeCell ref="M25:N25"/>
    <mergeCell ref="P25:R25"/>
    <mergeCell ref="X11:Y11"/>
    <mergeCell ref="A13:G13"/>
    <mergeCell ref="H13:J13"/>
    <mergeCell ref="K13:L14"/>
    <mergeCell ref="M13:N13"/>
    <mergeCell ref="P13:R13"/>
    <mergeCell ref="T13:V13"/>
    <mergeCell ref="X13:Y13"/>
    <mergeCell ref="A15:G15"/>
    <mergeCell ref="H15:J15"/>
    <mergeCell ref="K15:L16"/>
    <mergeCell ref="M15:N15"/>
    <mergeCell ref="P15:R15"/>
    <mergeCell ref="T15:V15"/>
    <mergeCell ref="X15:Y15"/>
    <mergeCell ref="A2:C3"/>
    <mergeCell ref="E2:P2"/>
    <mergeCell ref="C4:F4"/>
    <mergeCell ref="H4:S4"/>
    <mergeCell ref="A5:E5"/>
    <mergeCell ref="I5:N5"/>
    <mergeCell ref="O5:R5"/>
    <mergeCell ref="T5:V5"/>
    <mergeCell ref="A11:G11"/>
    <mergeCell ref="H11:J11"/>
    <mergeCell ref="K11:L12"/>
    <mergeCell ref="M11:N11"/>
    <mergeCell ref="P11:R11"/>
    <mergeCell ref="T11:V11"/>
    <mergeCell ref="X5:Y5"/>
    <mergeCell ref="A7:G7"/>
    <mergeCell ref="H7:J7"/>
    <mergeCell ref="K7:L8"/>
    <mergeCell ref="M7:N7"/>
    <mergeCell ref="P7:R7"/>
    <mergeCell ref="T7:V7"/>
    <mergeCell ref="X7:Y7"/>
    <mergeCell ref="A9:G9"/>
    <mergeCell ref="H9:J9"/>
    <mergeCell ref="K9:L10"/>
    <mergeCell ref="M9:N9"/>
    <mergeCell ref="P9:R9"/>
    <mergeCell ref="T9:V9"/>
    <mergeCell ref="X9:Y9"/>
    <mergeCell ref="A17:G17"/>
    <mergeCell ref="H17:J17"/>
    <mergeCell ref="K17:L18"/>
    <mergeCell ref="M17:N17"/>
    <mergeCell ref="P17:R17"/>
    <mergeCell ref="T17:V17"/>
    <mergeCell ref="X17:Y17"/>
    <mergeCell ref="X19:Y19"/>
    <mergeCell ref="T25:V25"/>
    <mergeCell ref="X25:Y25"/>
    <mergeCell ref="A19:G19"/>
    <mergeCell ref="H19:J19"/>
    <mergeCell ref="K19:L20"/>
    <mergeCell ref="M19:N19"/>
    <mergeCell ref="P19:R19"/>
    <mergeCell ref="T19:V19"/>
    <mergeCell ref="A21:G21"/>
    <mergeCell ref="H21:J21"/>
    <mergeCell ref="K21:L22"/>
    <mergeCell ref="M21:N21"/>
    <mergeCell ref="P21:R21"/>
    <mergeCell ref="T21:V21"/>
    <mergeCell ref="X21:Y21"/>
    <mergeCell ref="A23:G23"/>
    <mergeCell ref="P35:R35"/>
    <mergeCell ref="T35:V35"/>
    <mergeCell ref="X35:Y35"/>
    <mergeCell ref="A37:G37"/>
    <mergeCell ref="H37:J37"/>
    <mergeCell ref="K37:L38"/>
    <mergeCell ref="M37:N37"/>
    <mergeCell ref="P37:R37"/>
    <mergeCell ref="T37:V37"/>
    <mergeCell ref="X37:Y37"/>
    <mergeCell ref="A35:G35"/>
    <mergeCell ref="H35:J35"/>
    <mergeCell ref="K35:L36"/>
    <mergeCell ref="M35:N35"/>
    <mergeCell ref="X39:Y39"/>
    <mergeCell ref="A41:G41"/>
    <mergeCell ref="H41:J41"/>
    <mergeCell ref="K41:L42"/>
    <mergeCell ref="M41:N41"/>
    <mergeCell ref="P41:R41"/>
    <mergeCell ref="T41:V41"/>
    <mergeCell ref="X41:Y41"/>
    <mergeCell ref="A43:G43"/>
    <mergeCell ref="H43:J43"/>
    <mergeCell ref="K43:L44"/>
    <mergeCell ref="M43:N43"/>
    <mergeCell ref="P43:R43"/>
    <mergeCell ref="T43:V43"/>
    <mergeCell ref="X43:Y43"/>
    <mergeCell ref="A39:G39"/>
    <mergeCell ref="H39:J39"/>
    <mergeCell ref="K39:L40"/>
    <mergeCell ref="M39:N39"/>
    <mergeCell ref="P39:R39"/>
    <mergeCell ref="T39:V39"/>
    <mergeCell ref="X45:Y45"/>
    <mergeCell ref="A47:G47"/>
    <mergeCell ref="H47:J47"/>
    <mergeCell ref="K47:L48"/>
    <mergeCell ref="M47:N47"/>
    <mergeCell ref="P47:R47"/>
    <mergeCell ref="T47:V47"/>
    <mergeCell ref="X47:Y47"/>
    <mergeCell ref="A49:G49"/>
    <mergeCell ref="H49:J49"/>
    <mergeCell ref="K49:L50"/>
    <mergeCell ref="M49:N49"/>
    <mergeCell ref="P49:R49"/>
    <mergeCell ref="T49:V49"/>
    <mergeCell ref="X49:Y49"/>
    <mergeCell ref="A45:G45"/>
    <mergeCell ref="H45:J45"/>
    <mergeCell ref="K45:L46"/>
    <mergeCell ref="M45:N45"/>
    <mergeCell ref="P45:R45"/>
    <mergeCell ref="T45:V45"/>
    <mergeCell ref="X51:Y51"/>
    <mergeCell ref="A51:G51"/>
    <mergeCell ref="H51:J51"/>
    <mergeCell ref="K51:L52"/>
    <mergeCell ref="M51:N51"/>
    <mergeCell ref="P51:R51"/>
    <mergeCell ref="T51:V51"/>
    <mergeCell ref="X57:Y57"/>
    <mergeCell ref="C62:F62"/>
    <mergeCell ref="H62:S62"/>
    <mergeCell ref="A63:E63"/>
    <mergeCell ref="I63:N63"/>
    <mergeCell ref="O63:R63"/>
    <mergeCell ref="T63:V63"/>
    <mergeCell ref="X63:Y63"/>
    <mergeCell ref="T57:V57"/>
    <mergeCell ref="A65:G65"/>
    <mergeCell ref="H65:J65"/>
    <mergeCell ref="K65:L66"/>
    <mergeCell ref="M65:N65"/>
    <mergeCell ref="P65:R65"/>
    <mergeCell ref="T65:V65"/>
    <mergeCell ref="X65:Y65"/>
    <mergeCell ref="A67:G67"/>
    <mergeCell ref="H67:J67"/>
    <mergeCell ref="K67:L68"/>
    <mergeCell ref="M67:N67"/>
    <mergeCell ref="P67:R67"/>
    <mergeCell ref="T67:V67"/>
    <mergeCell ref="X67:Y67"/>
    <mergeCell ref="A69:G69"/>
    <mergeCell ref="H69:J69"/>
    <mergeCell ref="K69:L70"/>
    <mergeCell ref="M69:N69"/>
    <mergeCell ref="P69:R69"/>
    <mergeCell ref="T69:V69"/>
    <mergeCell ref="X69:Y69"/>
    <mergeCell ref="A71:G71"/>
    <mergeCell ref="H71:J71"/>
    <mergeCell ref="K71:L72"/>
    <mergeCell ref="M71:N71"/>
    <mergeCell ref="P71:R71"/>
    <mergeCell ref="T71:V71"/>
    <mergeCell ref="X71:Y71"/>
    <mergeCell ref="A73:G73"/>
    <mergeCell ref="H73:J73"/>
    <mergeCell ref="K73:L74"/>
    <mergeCell ref="M73:N73"/>
    <mergeCell ref="P73:R73"/>
    <mergeCell ref="T73:V73"/>
    <mergeCell ref="X73:Y73"/>
    <mergeCell ref="O76:R76"/>
    <mergeCell ref="T76:V76"/>
    <mergeCell ref="X76:Y76"/>
    <mergeCell ref="T79:V79"/>
    <mergeCell ref="X79:Y79"/>
    <mergeCell ref="C78:F78"/>
    <mergeCell ref="H78:S78"/>
    <mergeCell ref="A79:E79"/>
    <mergeCell ref="I79:N79"/>
    <mergeCell ref="O79:R79"/>
    <mergeCell ref="A81:G81"/>
    <mergeCell ref="H81:J81"/>
    <mergeCell ref="K81:L82"/>
    <mergeCell ref="M81:N81"/>
    <mergeCell ref="P81:R81"/>
    <mergeCell ref="T81:V81"/>
    <mergeCell ref="X81:Y81"/>
    <mergeCell ref="A83:G83"/>
    <mergeCell ref="H83:J83"/>
    <mergeCell ref="K83:L84"/>
    <mergeCell ref="M83:N83"/>
    <mergeCell ref="P83:R83"/>
    <mergeCell ref="T83:V83"/>
    <mergeCell ref="X83:Y83"/>
    <mergeCell ref="A85:G85"/>
    <mergeCell ref="H85:J85"/>
    <mergeCell ref="K85:L86"/>
    <mergeCell ref="M85:N85"/>
    <mergeCell ref="P85:R85"/>
    <mergeCell ref="T85:V85"/>
    <mergeCell ref="X85:Y85"/>
    <mergeCell ref="A87:G87"/>
    <mergeCell ref="H87:J87"/>
    <mergeCell ref="K87:L88"/>
    <mergeCell ref="M87:N87"/>
    <mergeCell ref="P87:R87"/>
    <mergeCell ref="T87:V87"/>
    <mergeCell ref="X87:Y87"/>
    <mergeCell ref="A89:G89"/>
    <mergeCell ref="H89:J89"/>
    <mergeCell ref="K89:L90"/>
    <mergeCell ref="M89:N89"/>
    <mergeCell ref="P89:R89"/>
    <mergeCell ref="T89:V89"/>
    <mergeCell ref="X89:Y89"/>
    <mergeCell ref="O92:R92"/>
    <mergeCell ref="T92:V92"/>
    <mergeCell ref="X92:Y92"/>
    <mergeCell ref="B95:M96"/>
    <mergeCell ref="O95:R95"/>
    <mergeCell ref="T95:V95"/>
    <mergeCell ref="X95:Y95"/>
    <mergeCell ref="A98:C99"/>
    <mergeCell ref="E98:P98"/>
    <mergeCell ref="C100:F100"/>
    <mergeCell ref="H100:S100"/>
    <mergeCell ref="A101:E101"/>
    <mergeCell ref="I101:N101"/>
    <mergeCell ref="O101:R101"/>
    <mergeCell ref="T101:V101"/>
    <mergeCell ref="X101:Y101"/>
    <mergeCell ref="A103:G103"/>
    <mergeCell ref="H103:J103"/>
    <mergeCell ref="K103:L104"/>
    <mergeCell ref="M103:N103"/>
    <mergeCell ref="P103:R103"/>
    <mergeCell ref="T103:V103"/>
    <mergeCell ref="X103:Y103"/>
    <mergeCell ref="A105:G105"/>
    <mergeCell ref="H105:J105"/>
    <mergeCell ref="K105:L106"/>
    <mergeCell ref="M105:N105"/>
    <mergeCell ref="P105:R105"/>
    <mergeCell ref="T105:V105"/>
    <mergeCell ref="X105:Y105"/>
    <mergeCell ref="A107:G107"/>
    <mergeCell ref="H107:J107"/>
    <mergeCell ref="K107:L108"/>
    <mergeCell ref="M107:N107"/>
    <mergeCell ref="P107:R107"/>
    <mergeCell ref="T107:V107"/>
    <mergeCell ref="X107:Y107"/>
    <mergeCell ref="A109:G109"/>
    <mergeCell ref="H109:J109"/>
    <mergeCell ref="K109:L110"/>
    <mergeCell ref="M109:N109"/>
    <mergeCell ref="P109:R109"/>
    <mergeCell ref="T109:V109"/>
    <mergeCell ref="X109:Y109"/>
    <mergeCell ref="A111:G111"/>
    <mergeCell ref="H111:J111"/>
    <mergeCell ref="K111:L112"/>
    <mergeCell ref="M111:N111"/>
    <mergeCell ref="P111:R111"/>
    <mergeCell ref="T111:V111"/>
    <mergeCell ref="X111:Y111"/>
    <mergeCell ref="A113:G113"/>
    <mergeCell ref="H113:J113"/>
    <mergeCell ref="K113:L114"/>
    <mergeCell ref="M113:N113"/>
    <mergeCell ref="P113:R113"/>
    <mergeCell ref="T113:V113"/>
    <mergeCell ref="X113:Y113"/>
    <mergeCell ref="A119:G119"/>
    <mergeCell ref="H119:J119"/>
    <mergeCell ref="K119:L120"/>
    <mergeCell ref="M119:N119"/>
    <mergeCell ref="P119:R119"/>
    <mergeCell ref="T119:V119"/>
    <mergeCell ref="X119:Y119"/>
    <mergeCell ref="A121:G121"/>
    <mergeCell ref="H121:J121"/>
    <mergeCell ref="K121:L122"/>
    <mergeCell ref="M121:N121"/>
    <mergeCell ref="P121:R121"/>
    <mergeCell ref="T121:V121"/>
    <mergeCell ref="X121:Y121"/>
    <mergeCell ref="A123:G123"/>
    <mergeCell ref="H123:J123"/>
    <mergeCell ref="K123:L124"/>
    <mergeCell ref="M123:N123"/>
    <mergeCell ref="P123:R123"/>
    <mergeCell ref="T123:V123"/>
    <mergeCell ref="X123:Y123"/>
    <mergeCell ref="A125:G125"/>
    <mergeCell ref="H125:J125"/>
    <mergeCell ref="K125:L126"/>
    <mergeCell ref="M125:N125"/>
    <mergeCell ref="P125:R125"/>
    <mergeCell ref="T125:V125"/>
    <mergeCell ref="X125:Y125"/>
    <mergeCell ref="A127:G127"/>
    <mergeCell ref="H127:J127"/>
    <mergeCell ref="K127:L128"/>
    <mergeCell ref="M127:N127"/>
    <mergeCell ref="P127:R127"/>
    <mergeCell ref="T127:V127"/>
    <mergeCell ref="X127:Y127"/>
    <mergeCell ref="O130:R130"/>
    <mergeCell ref="T130:V130"/>
    <mergeCell ref="X130:Y130"/>
    <mergeCell ref="O133:R133"/>
    <mergeCell ref="T133:V133"/>
    <mergeCell ref="X133:Y133"/>
    <mergeCell ref="C132:F132"/>
    <mergeCell ref="H132:S132"/>
    <mergeCell ref="A133:E133"/>
    <mergeCell ref="I133:N133"/>
    <mergeCell ref="A135:G135"/>
    <mergeCell ref="H135:J135"/>
    <mergeCell ref="K135:L136"/>
    <mergeCell ref="M135:N135"/>
    <mergeCell ref="P135:R135"/>
    <mergeCell ref="T135:V135"/>
    <mergeCell ref="X135:Y135"/>
    <mergeCell ref="M141:N141"/>
    <mergeCell ref="P141:R141"/>
    <mergeCell ref="T141:V141"/>
    <mergeCell ref="X141:Y141"/>
    <mergeCell ref="A143:G143"/>
    <mergeCell ref="H143:J143"/>
    <mergeCell ref="K143:L144"/>
    <mergeCell ref="M143:N143"/>
    <mergeCell ref="P143:R143"/>
    <mergeCell ref="T143:V143"/>
    <mergeCell ref="X143:Y143"/>
    <mergeCell ref="A151:G151"/>
    <mergeCell ref="H151:J151"/>
    <mergeCell ref="K151:L152"/>
    <mergeCell ref="M151:N151"/>
    <mergeCell ref="P151:R151"/>
    <mergeCell ref="T151:V151"/>
    <mergeCell ref="X151:Y151"/>
    <mergeCell ref="A153:G153"/>
    <mergeCell ref="H153:J153"/>
    <mergeCell ref="K153:L154"/>
    <mergeCell ref="M153:N153"/>
    <mergeCell ref="P153:R153"/>
    <mergeCell ref="T153:V153"/>
    <mergeCell ref="X153:Y153"/>
    <mergeCell ref="T175:V175"/>
    <mergeCell ref="X175:Y175"/>
    <mergeCell ref="A177:G177"/>
    <mergeCell ref="H177:J177"/>
    <mergeCell ref="K177:L178"/>
    <mergeCell ref="M177:N177"/>
    <mergeCell ref="P177:R177"/>
    <mergeCell ref="T177:V177"/>
    <mergeCell ref="X177:Y177"/>
    <mergeCell ref="A179:G179"/>
    <mergeCell ref="H179:J179"/>
    <mergeCell ref="K179:L180"/>
    <mergeCell ref="M179:N179"/>
    <mergeCell ref="P179:R179"/>
    <mergeCell ref="T179:V179"/>
    <mergeCell ref="X179:Y179"/>
    <mergeCell ref="A181:G181"/>
    <mergeCell ref="H181:J181"/>
    <mergeCell ref="K181:L182"/>
    <mergeCell ref="M181:N181"/>
    <mergeCell ref="P181:R181"/>
    <mergeCell ref="T181:V181"/>
    <mergeCell ref="X181:Y181"/>
    <mergeCell ref="T187:V187"/>
    <mergeCell ref="X187:Y187"/>
    <mergeCell ref="A189:G189"/>
    <mergeCell ref="H189:J189"/>
    <mergeCell ref="K189:L190"/>
    <mergeCell ref="M189:N189"/>
    <mergeCell ref="P189:R189"/>
    <mergeCell ref="T189:V189"/>
    <mergeCell ref="X189:Y189"/>
    <mergeCell ref="A187:E187"/>
    <mergeCell ref="I187:N187"/>
    <mergeCell ref="O187:R187"/>
    <mergeCell ref="A191:G191"/>
    <mergeCell ref="H191:J191"/>
    <mergeCell ref="K191:L192"/>
    <mergeCell ref="M191:N191"/>
    <mergeCell ref="P191:R191"/>
    <mergeCell ref="T191:V191"/>
    <mergeCell ref="X191:Y191"/>
    <mergeCell ref="A193:G193"/>
    <mergeCell ref="H193:J193"/>
    <mergeCell ref="K193:L194"/>
    <mergeCell ref="M193:N193"/>
    <mergeCell ref="P193:R193"/>
    <mergeCell ref="T193:V193"/>
    <mergeCell ref="X193:Y193"/>
    <mergeCell ref="A222:C223"/>
    <mergeCell ref="E222:P222"/>
    <mergeCell ref="C224:F224"/>
    <mergeCell ref="H224:S224"/>
    <mergeCell ref="A195:G195"/>
    <mergeCell ref="H195:J195"/>
    <mergeCell ref="K195:L196"/>
    <mergeCell ref="M195:N195"/>
    <mergeCell ref="P195:R195"/>
    <mergeCell ref="O200:R200"/>
    <mergeCell ref="O203:R203"/>
    <mergeCell ref="A206:C207"/>
    <mergeCell ref="E206:P206"/>
    <mergeCell ref="C208:F208"/>
    <mergeCell ref="H208:S208"/>
    <mergeCell ref="A209:E209"/>
    <mergeCell ref="I209:N209"/>
    <mergeCell ref="O209:R209"/>
    <mergeCell ref="O216:R216"/>
    <mergeCell ref="T200:V200"/>
    <mergeCell ref="X200:Y200"/>
    <mergeCell ref="B203:M204"/>
    <mergeCell ref="T195:V195"/>
    <mergeCell ref="X195:Y195"/>
    <mergeCell ref="A197:G197"/>
    <mergeCell ref="H197:J197"/>
    <mergeCell ref="K197:L198"/>
    <mergeCell ref="M197:N197"/>
    <mergeCell ref="P197:R197"/>
    <mergeCell ref="T197:V197"/>
    <mergeCell ref="X197:Y197"/>
    <mergeCell ref="T203:V203"/>
    <mergeCell ref="X203:Y203"/>
  </mergeCells>
  <printOptions/>
  <pageMargins left="0.7" right="0.7" top="0.75" bottom="0.75" header="0.3" footer="0.3"/>
  <pageSetup horizontalDpi="600" verticalDpi="600" orientation="portrait" r:id="rId3"/>
  <ignoredErrors>
    <ignoredError sqref="Z23:AA49 AA65 AA81:AA89 AA105:AA127 AA137:AA159 Z54 Z76 Z92 Z130 Z162 AA9:AA21" unlockedFormula="1"/>
  </ignoredErrors>
  <legacyDrawing r:id="rId2"/>
</worksheet>
</file>

<file path=xl/worksheets/sheet8.xml><?xml version="1.0" encoding="utf-8"?>
<worksheet xmlns="http://schemas.openxmlformats.org/spreadsheetml/2006/main" xmlns:r="http://schemas.openxmlformats.org/officeDocument/2006/relationships">
  <dimension ref="A1:W206"/>
  <sheetViews>
    <sheetView zoomScalePageLayoutView="0" workbookViewId="0" topLeftCell="A160">
      <pane xSplit="1" topLeftCell="E1" activePane="topRight" state="frozen"/>
      <selection pane="topLeft" activeCell="A1" sqref="A1"/>
      <selection pane="topRight" activeCell="A166" sqref="A166"/>
    </sheetView>
  </sheetViews>
  <sheetFormatPr defaultColWidth="9.33203125" defaultRowHeight="10.5" outlineLevelRow="2"/>
  <cols>
    <col min="1" max="1" width="54" style="98" customWidth="1"/>
    <col min="2" max="2" width="14.16015625" style="98" customWidth="1"/>
    <col min="3" max="4" width="14.83203125" style="98" customWidth="1"/>
    <col min="5" max="6" width="14.16015625" style="98" customWidth="1"/>
    <col min="7" max="7" width="13.83203125" style="98" customWidth="1"/>
    <col min="8" max="8" width="14.16015625" style="98" customWidth="1"/>
    <col min="9" max="11" width="12.66015625" style="98" customWidth="1"/>
    <col min="12" max="12" width="14.83203125" style="98" customWidth="1"/>
    <col min="13" max="20" width="12.66015625" style="98" customWidth="1"/>
    <col min="21" max="21" width="16" style="98" bestFit="1" customWidth="1"/>
    <col min="22" max="23" width="12.16015625" style="98" bestFit="1" customWidth="1"/>
    <col min="24" max="16384" width="9.33203125" style="98" customWidth="1"/>
  </cols>
  <sheetData>
    <row r="1" spans="1:21" ht="10.5">
      <c r="A1" s="579" t="s">
        <v>391</v>
      </c>
      <c r="B1" s="579"/>
      <c r="C1" s="579"/>
      <c r="D1" s="579"/>
      <c r="E1" s="579"/>
      <c r="F1" s="579"/>
      <c r="G1" s="579"/>
      <c r="H1" s="579"/>
      <c r="I1" s="579"/>
      <c r="J1" s="579"/>
      <c r="K1" s="579"/>
      <c r="L1" s="579"/>
      <c r="M1" s="579"/>
      <c r="N1" s="579"/>
      <c r="O1" s="579"/>
      <c r="P1" s="579"/>
      <c r="Q1" s="579"/>
      <c r="R1" s="579"/>
      <c r="S1" s="579"/>
      <c r="T1" s="579"/>
      <c r="U1" s="579"/>
    </row>
    <row r="2" spans="1:21" ht="10.5">
      <c r="A2" s="579" t="s">
        <v>392</v>
      </c>
      <c r="B2" s="579"/>
      <c r="C2" s="579"/>
      <c r="D2" s="579"/>
      <c r="E2" s="579"/>
      <c r="F2" s="579"/>
      <c r="G2" s="579"/>
      <c r="H2" s="579"/>
      <c r="I2" s="579"/>
      <c r="J2" s="579"/>
      <c r="K2" s="579"/>
      <c r="L2" s="579"/>
      <c r="M2" s="579"/>
      <c r="N2" s="579"/>
      <c r="O2" s="579"/>
      <c r="P2" s="579"/>
      <c r="Q2" s="579"/>
      <c r="R2" s="579"/>
      <c r="S2" s="579"/>
      <c r="T2" s="579"/>
      <c r="U2" s="579"/>
    </row>
    <row r="3" spans="1:21" ht="10.5">
      <c r="A3" s="579" t="s">
        <v>393</v>
      </c>
      <c r="B3" s="579"/>
      <c r="C3" s="579"/>
      <c r="D3" s="579"/>
      <c r="E3" s="579"/>
      <c r="F3" s="579"/>
      <c r="G3" s="579"/>
      <c r="H3" s="579"/>
      <c r="I3" s="579"/>
      <c r="J3" s="579"/>
      <c r="K3" s="579"/>
      <c r="L3" s="579"/>
      <c r="M3" s="579"/>
      <c r="N3" s="579"/>
      <c r="O3" s="579"/>
      <c r="P3" s="579"/>
      <c r="Q3" s="579"/>
      <c r="R3" s="579"/>
      <c r="S3" s="579"/>
      <c r="T3" s="579"/>
      <c r="U3" s="579"/>
    </row>
    <row r="4" spans="1:21" ht="10.5">
      <c r="A4" s="579" t="s">
        <v>526</v>
      </c>
      <c r="B4" s="579"/>
      <c r="C4" s="579"/>
      <c r="D4" s="579"/>
      <c r="E4" s="579"/>
      <c r="F4" s="579"/>
      <c r="G4" s="579"/>
      <c r="H4" s="579"/>
      <c r="I4" s="579"/>
      <c r="J4" s="579"/>
      <c r="K4" s="579"/>
      <c r="L4" s="579"/>
      <c r="M4" s="579"/>
      <c r="N4" s="579"/>
      <c r="O4" s="579"/>
      <c r="P4" s="579"/>
      <c r="Q4" s="579"/>
      <c r="R4" s="579"/>
      <c r="S4" s="579"/>
      <c r="T4" s="579"/>
      <c r="U4" s="579"/>
    </row>
    <row r="5" ht="10.5">
      <c r="A5" s="180" t="s">
        <v>99</v>
      </c>
    </row>
    <row r="6" spans="1:21" ht="12.75">
      <c r="A6" s="180"/>
      <c r="B6" s="261" t="s">
        <v>99</v>
      </c>
      <c r="C6" s="581" t="s">
        <v>267</v>
      </c>
      <c r="D6" s="581"/>
      <c r="E6" s="581"/>
      <c r="F6" s="581"/>
      <c r="G6" s="581"/>
      <c r="H6" s="582" t="s">
        <v>286</v>
      </c>
      <c r="I6" s="582"/>
      <c r="J6" s="582"/>
      <c r="K6" s="582"/>
      <c r="L6" s="582"/>
      <c r="M6" s="582"/>
      <c r="N6" s="582"/>
      <c r="O6" s="582"/>
      <c r="P6" s="582"/>
      <c r="Q6" s="582"/>
      <c r="R6" s="582"/>
      <c r="S6" s="582"/>
      <c r="T6" s="582"/>
      <c r="U6" s="260" t="s">
        <v>99</v>
      </c>
    </row>
    <row r="7" spans="1:21" ht="10.5">
      <c r="A7" s="180"/>
      <c r="B7" s="287" t="s">
        <v>13</v>
      </c>
      <c r="C7" s="278" t="s">
        <v>36</v>
      </c>
      <c r="D7" s="280" t="s">
        <v>37</v>
      </c>
      <c r="E7" s="280" t="s">
        <v>31</v>
      </c>
      <c r="F7" s="280" t="s">
        <v>32</v>
      </c>
      <c r="G7" s="280" t="s">
        <v>38</v>
      </c>
      <c r="H7" s="281" t="s">
        <v>25</v>
      </c>
      <c r="I7" s="281" t="s">
        <v>26</v>
      </c>
      <c r="J7" s="284" t="s">
        <v>27</v>
      </c>
      <c r="K7" s="281" t="s">
        <v>28</v>
      </c>
      <c r="L7" s="281" t="s">
        <v>29</v>
      </c>
      <c r="M7" s="281" t="s">
        <v>40</v>
      </c>
      <c r="N7" s="281" t="s">
        <v>30</v>
      </c>
      <c r="O7" s="281" t="s">
        <v>31</v>
      </c>
      <c r="P7" s="281" t="s">
        <v>32</v>
      </c>
      <c r="Q7" s="281" t="s">
        <v>33</v>
      </c>
      <c r="R7" s="281" t="s">
        <v>41</v>
      </c>
      <c r="S7" s="281" t="s">
        <v>34</v>
      </c>
      <c r="T7" s="281" t="s">
        <v>35</v>
      </c>
      <c r="U7" s="288"/>
    </row>
    <row r="8" spans="2:21" ht="31.5">
      <c r="B8" s="254" t="s">
        <v>99</v>
      </c>
      <c r="C8" s="262" t="s">
        <v>290</v>
      </c>
      <c r="D8" s="262" t="s">
        <v>289</v>
      </c>
      <c r="E8" s="262" t="s">
        <v>291</v>
      </c>
      <c r="F8" s="262" t="s">
        <v>292</v>
      </c>
      <c r="G8" s="282" t="s">
        <v>293</v>
      </c>
      <c r="H8" s="283" t="s">
        <v>294</v>
      </c>
      <c r="I8" s="283" t="s">
        <v>303</v>
      </c>
      <c r="J8" s="283" t="s">
        <v>300</v>
      </c>
      <c r="K8" s="283" t="s">
        <v>301</v>
      </c>
      <c r="L8" s="283" t="s">
        <v>295</v>
      </c>
      <c r="M8" s="283" t="s">
        <v>296</v>
      </c>
      <c r="N8" s="283" t="s">
        <v>302</v>
      </c>
      <c r="O8" s="283" t="s">
        <v>291</v>
      </c>
      <c r="P8" s="283" t="s">
        <v>292</v>
      </c>
      <c r="Q8" s="283" t="s">
        <v>304</v>
      </c>
      <c r="R8" s="283" t="s">
        <v>297</v>
      </c>
      <c r="S8" s="283" t="s">
        <v>298</v>
      </c>
      <c r="T8" s="283" t="s">
        <v>299</v>
      </c>
      <c r="U8" s="254" t="s">
        <v>118</v>
      </c>
    </row>
    <row r="9" spans="1:21" ht="10.5">
      <c r="A9" s="285" t="s">
        <v>315</v>
      </c>
      <c r="B9" s="168"/>
      <c r="C9" s="289"/>
      <c r="D9" s="289"/>
      <c r="E9" s="289"/>
      <c r="F9" s="289"/>
      <c r="G9" s="289"/>
      <c r="H9" s="188"/>
      <c r="I9" s="188"/>
      <c r="J9" s="188"/>
      <c r="K9" s="188"/>
      <c r="L9" s="188"/>
      <c r="M9" s="188"/>
      <c r="N9" s="188"/>
      <c r="O9" s="188"/>
      <c r="P9" s="188"/>
      <c r="Q9" s="188"/>
      <c r="R9" s="188"/>
      <c r="S9" s="188"/>
      <c r="T9" s="188"/>
      <c r="U9" s="168"/>
    </row>
    <row r="10" spans="2:21" ht="10.5">
      <c r="B10" s="168"/>
      <c r="C10" s="289"/>
      <c r="D10" s="289"/>
      <c r="E10" s="289"/>
      <c r="F10" s="289"/>
      <c r="G10" s="289"/>
      <c r="H10" s="188"/>
      <c r="I10" s="188"/>
      <c r="J10" s="188"/>
      <c r="K10" s="188"/>
      <c r="L10" s="188"/>
      <c r="M10" s="188"/>
      <c r="N10" s="188"/>
      <c r="O10" s="188"/>
      <c r="P10" s="188"/>
      <c r="Q10" s="188"/>
      <c r="R10" s="188"/>
      <c r="S10" s="188"/>
      <c r="T10" s="188"/>
      <c r="U10" s="168"/>
    </row>
    <row r="11" spans="1:21" ht="10.5">
      <c r="A11" s="227" t="s">
        <v>316</v>
      </c>
      <c r="B11" s="168"/>
      <c r="C11" s="289"/>
      <c r="D11" s="289"/>
      <c r="E11" s="289"/>
      <c r="F11" s="289"/>
      <c r="G11" s="289"/>
      <c r="H11" s="188"/>
      <c r="I11" s="188"/>
      <c r="J11" s="188"/>
      <c r="K11" s="188"/>
      <c r="L11" s="188"/>
      <c r="M11" s="188"/>
      <c r="N11" s="188"/>
      <c r="O11" s="188"/>
      <c r="P11" s="188"/>
      <c r="Q11" s="188"/>
      <c r="R11" s="188"/>
      <c r="S11" s="188"/>
      <c r="T11" s="188"/>
      <c r="U11" s="292">
        <f>8075.9+6393183.25+229156.68</f>
        <v>6630415.83</v>
      </c>
    </row>
    <row r="12" spans="1:21" ht="10.5">
      <c r="A12" s="160"/>
      <c r="B12" s="168"/>
      <c r="C12" s="289"/>
      <c r="D12" s="289"/>
      <c r="E12" s="289"/>
      <c r="F12" s="289"/>
      <c r="G12" s="289"/>
      <c r="H12" s="188"/>
      <c r="I12" s="188"/>
      <c r="J12" s="188"/>
      <c r="K12" s="188"/>
      <c r="L12" s="188"/>
      <c r="M12" s="188"/>
      <c r="N12" s="188"/>
      <c r="O12" s="188"/>
      <c r="P12" s="188"/>
      <c r="Q12" s="188"/>
      <c r="R12" s="188"/>
      <c r="S12" s="188"/>
      <c r="T12" s="188"/>
      <c r="U12" s="168"/>
    </row>
    <row r="13" spans="1:21" ht="10.5">
      <c r="A13" s="160" t="s">
        <v>200</v>
      </c>
      <c r="B13" s="168"/>
      <c r="C13" s="289"/>
      <c r="D13" s="289"/>
      <c r="E13" s="289"/>
      <c r="F13" s="289"/>
      <c r="G13" s="289"/>
      <c r="H13" s="188"/>
      <c r="I13" s="188"/>
      <c r="J13" s="188"/>
      <c r="K13" s="188"/>
      <c r="L13" s="188"/>
      <c r="M13" s="188"/>
      <c r="N13" s="188"/>
      <c r="O13" s="188"/>
      <c r="P13" s="188"/>
      <c r="Q13" s="188"/>
      <c r="R13" s="188"/>
      <c r="S13" s="188"/>
      <c r="T13" s="188"/>
      <c r="U13" s="168"/>
    </row>
    <row r="14" spans="1:21" ht="10.5" hidden="1" outlineLevel="1">
      <c r="A14" s="160" t="s">
        <v>279</v>
      </c>
      <c r="B14" s="168"/>
      <c r="C14" s="289"/>
      <c r="D14" s="289"/>
      <c r="E14" s="289"/>
      <c r="F14" s="289"/>
      <c r="G14" s="289"/>
      <c r="H14" s="188"/>
      <c r="I14" s="188"/>
      <c r="J14" s="188"/>
      <c r="K14" s="188"/>
      <c r="L14" s="188"/>
      <c r="M14" s="188"/>
      <c r="N14" s="188"/>
      <c r="O14" s="188"/>
      <c r="P14" s="188"/>
      <c r="Q14" s="188"/>
      <c r="R14" s="188"/>
      <c r="S14" s="188"/>
      <c r="T14" s="188"/>
      <c r="U14" s="168">
        <v>6397049.05</v>
      </c>
    </row>
    <row r="15" spans="1:21" ht="10.5" hidden="1" outlineLevel="1">
      <c r="A15" s="160" t="s">
        <v>305</v>
      </c>
      <c r="B15" s="168"/>
      <c r="C15" s="289"/>
      <c r="D15" s="289"/>
      <c r="E15" s="289"/>
      <c r="F15" s="289"/>
      <c r="G15" s="289"/>
      <c r="H15" s="188"/>
      <c r="I15" s="188"/>
      <c r="J15" s="188"/>
      <c r="K15" s="188"/>
      <c r="L15" s="188"/>
      <c r="M15" s="188"/>
      <c r="N15" s="188"/>
      <c r="O15" s="188"/>
      <c r="P15" s="188"/>
      <c r="Q15" s="188"/>
      <c r="R15" s="188"/>
      <c r="S15" s="188"/>
      <c r="T15" s="188"/>
      <c r="U15" s="168">
        <v>10106547.47</v>
      </c>
    </row>
    <row r="16" spans="1:21" ht="10.5" hidden="1" outlineLevel="1">
      <c r="A16" s="160" t="s">
        <v>280</v>
      </c>
      <c r="B16" s="168"/>
      <c r="C16" s="289"/>
      <c r="D16" s="289"/>
      <c r="E16" s="289"/>
      <c r="F16" s="289"/>
      <c r="G16" s="289"/>
      <c r="H16" s="188"/>
      <c r="I16" s="188"/>
      <c r="J16" s="188"/>
      <c r="K16" s="188"/>
      <c r="L16" s="188"/>
      <c r="M16" s="188"/>
      <c r="N16" s="188"/>
      <c r="O16" s="188"/>
      <c r="P16" s="188"/>
      <c r="Q16" s="188"/>
      <c r="R16" s="188"/>
      <c r="S16" s="188"/>
      <c r="T16" s="188"/>
      <c r="U16" s="168"/>
    </row>
    <row r="17" spans="1:21" ht="10.5" hidden="1" outlineLevel="1">
      <c r="A17" s="160" t="s">
        <v>281</v>
      </c>
      <c r="B17" s="168"/>
      <c r="C17" s="289"/>
      <c r="D17" s="289"/>
      <c r="E17" s="289"/>
      <c r="F17" s="289"/>
      <c r="G17" s="289"/>
      <c r="H17" s="188"/>
      <c r="I17" s="188"/>
      <c r="J17" s="188"/>
      <c r="K17" s="188"/>
      <c r="L17" s="188"/>
      <c r="M17" s="188"/>
      <c r="N17" s="188"/>
      <c r="O17" s="188"/>
      <c r="P17" s="188"/>
      <c r="Q17" s="188"/>
      <c r="R17" s="188"/>
      <c r="S17" s="188"/>
      <c r="T17" s="188"/>
      <c r="U17" s="168">
        <v>109952.02</v>
      </c>
    </row>
    <row r="18" spans="1:21" ht="10.5" collapsed="1">
      <c r="A18" s="227" t="s">
        <v>307</v>
      </c>
      <c r="B18" s="168"/>
      <c r="C18" s="289"/>
      <c r="D18" s="289"/>
      <c r="E18" s="289"/>
      <c r="F18" s="289"/>
      <c r="G18" s="289"/>
      <c r="H18" s="188"/>
      <c r="I18" s="188"/>
      <c r="J18" s="188"/>
      <c r="K18" s="188"/>
      <c r="L18" s="188"/>
      <c r="M18" s="188"/>
      <c r="N18" s="188"/>
      <c r="O18" s="188"/>
      <c r="P18" s="188"/>
      <c r="Q18" s="188"/>
      <c r="R18" s="188"/>
      <c r="S18" s="188"/>
      <c r="T18" s="188"/>
      <c r="U18" s="292">
        <f>SUM(U14:U17)</f>
        <v>16613548.54</v>
      </c>
    </row>
    <row r="19" spans="2:21" ht="10.5">
      <c r="B19" s="168"/>
      <c r="C19" s="289"/>
      <c r="D19" s="289"/>
      <c r="E19" s="289"/>
      <c r="F19" s="289"/>
      <c r="G19" s="289"/>
      <c r="H19" s="188"/>
      <c r="I19" s="188"/>
      <c r="J19" s="188"/>
      <c r="K19" s="188"/>
      <c r="L19" s="188"/>
      <c r="M19" s="188"/>
      <c r="N19" s="188"/>
      <c r="O19" s="188"/>
      <c r="P19" s="188"/>
      <c r="Q19" s="188"/>
      <c r="R19" s="188"/>
      <c r="S19" s="188"/>
      <c r="T19" s="188"/>
      <c r="U19" s="168"/>
    </row>
    <row r="20" spans="1:21" ht="10.5">
      <c r="A20" s="227" t="s">
        <v>312</v>
      </c>
      <c r="B20" s="168"/>
      <c r="C20" s="289"/>
      <c r="D20" s="289"/>
      <c r="E20" s="289"/>
      <c r="F20" s="289"/>
      <c r="G20" s="289"/>
      <c r="H20" s="188"/>
      <c r="I20" s="188"/>
      <c r="J20" s="188"/>
      <c r="K20" s="188"/>
      <c r="L20" s="188"/>
      <c r="M20" s="188"/>
      <c r="N20" s="188"/>
      <c r="O20" s="188"/>
      <c r="P20" s="188"/>
      <c r="Q20" s="188"/>
      <c r="R20" s="188"/>
      <c r="S20" s="188"/>
      <c r="T20" s="188"/>
      <c r="U20" s="292">
        <v>-120000</v>
      </c>
    </row>
    <row r="21" spans="2:21" ht="10.5">
      <c r="B21" s="168"/>
      <c r="C21" s="289"/>
      <c r="D21" s="289"/>
      <c r="E21" s="289"/>
      <c r="F21" s="289"/>
      <c r="G21" s="289"/>
      <c r="H21" s="188"/>
      <c r="I21" s="188"/>
      <c r="J21" s="188"/>
      <c r="K21" s="188"/>
      <c r="L21" s="188"/>
      <c r="M21" s="188"/>
      <c r="N21" s="188"/>
      <c r="O21" s="188"/>
      <c r="P21" s="188"/>
      <c r="Q21" s="188"/>
      <c r="R21" s="188"/>
      <c r="S21" s="188"/>
      <c r="T21" s="188"/>
      <c r="U21" s="168"/>
    </row>
    <row r="22" spans="1:21" ht="10.5" hidden="1" outlineLevel="2">
      <c r="A22" s="98" t="s">
        <v>268</v>
      </c>
      <c r="B22" s="168">
        <f>235611.15-21.21</f>
        <v>235589.94</v>
      </c>
      <c r="C22" s="289"/>
      <c r="D22" s="289"/>
      <c r="E22" s="289"/>
      <c r="F22" s="289"/>
      <c r="G22" s="289"/>
      <c r="H22" s="188"/>
      <c r="I22" s="188"/>
      <c r="J22" s="188"/>
      <c r="K22" s="188"/>
      <c r="L22" s="188"/>
      <c r="M22" s="188"/>
      <c r="N22" s="188"/>
      <c r="O22" s="188"/>
      <c r="P22" s="188"/>
      <c r="Q22" s="188"/>
      <c r="R22" s="188"/>
      <c r="S22" s="188"/>
      <c r="T22" s="188"/>
      <c r="U22" s="168"/>
    </row>
    <row r="23" spans="1:21" ht="10.5" hidden="1" outlineLevel="2">
      <c r="A23" s="98" t="s">
        <v>269</v>
      </c>
      <c r="B23" s="168">
        <f>87062+22260+1670</f>
        <v>110992</v>
      </c>
      <c r="C23" s="289"/>
      <c r="D23" s="289"/>
      <c r="E23" s="289"/>
      <c r="F23" s="289"/>
      <c r="G23" s="289"/>
      <c r="H23" s="188"/>
      <c r="I23" s="188"/>
      <c r="J23" s="188"/>
      <c r="K23" s="188"/>
      <c r="L23" s="188"/>
      <c r="M23" s="188"/>
      <c r="N23" s="188"/>
      <c r="O23" s="188"/>
      <c r="P23" s="188"/>
      <c r="Q23" s="188"/>
      <c r="R23" s="188"/>
      <c r="S23" s="188"/>
      <c r="T23" s="188"/>
      <c r="U23" s="168"/>
    </row>
    <row r="24" spans="1:21" ht="10.5" outlineLevel="1" collapsed="1">
      <c r="A24" s="227" t="s">
        <v>270</v>
      </c>
      <c r="B24" s="292">
        <f>SUM(B22:B23)</f>
        <v>346581.94</v>
      </c>
      <c r="C24" s="289"/>
      <c r="D24" s="289"/>
      <c r="E24" s="289"/>
      <c r="F24" s="289"/>
      <c r="G24" s="289"/>
      <c r="H24" s="188"/>
      <c r="I24" s="188"/>
      <c r="J24" s="188"/>
      <c r="K24" s="188"/>
      <c r="L24" s="188"/>
      <c r="M24" s="188"/>
      <c r="N24" s="188"/>
      <c r="O24" s="188"/>
      <c r="P24" s="188"/>
      <c r="Q24" s="188"/>
      <c r="R24" s="188"/>
      <c r="S24" s="188"/>
      <c r="T24" s="188"/>
      <c r="U24" s="168"/>
    </row>
    <row r="25" spans="1:21" ht="10.5" hidden="1" outlineLevel="2">
      <c r="A25" s="160" t="s">
        <v>271</v>
      </c>
      <c r="B25" s="168">
        <f>80429.36+1431.26+3.94</f>
        <v>81864.56</v>
      </c>
      <c r="C25" s="289"/>
      <c r="D25" s="289"/>
      <c r="E25" s="289"/>
      <c r="F25" s="289"/>
      <c r="G25" s="289"/>
      <c r="H25" s="188"/>
      <c r="I25" s="188"/>
      <c r="J25" s="188"/>
      <c r="K25" s="188"/>
      <c r="L25" s="188"/>
      <c r="M25" s="188"/>
      <c r="N25" s="188"/>
      <c r="O25" s="188"/>
      <c r="P25" s="188"/>
      <c r="Q25" s="188"/>
      <c r="R25" s="188"/>
      <c r="S25" s="188"/>
      <c r="T25" s="188"/>
      <c r="U25" s="168"/>
    </row>
    <row r="26" spans="1:21" ht="10.5" hidden="1" outlineLevel="2">
      <c r="A26" s="160" t="s">
        <v>284</v>
      </c>
      <c r="B26" s="168">
        <f>3498+487</f>
        <v>3985</v>
      </c>
      <c r="C26" s="289"/>
      <c r="D26" s="289"/>
      <c r="E26" s="289"/>
      <c r="F26" s="289"/>
      <c r="G26" s="289"/>
      <c r="H26" s="188"/>
      <c r="I26" s="188"/>
      <c r="J26" s="188"/>
      <c r="K26" s="188"/>
      <c r="L26" s="188"/>
      <c r="M26" s="188"/>
      <c r="N26" s="188"/>
      <c r="O26" s="188"/>
      <c r="P26" s="188"/>
      <c r="Q26" s="188"/>
      <c r="R26" s="188"/>
      <c r="S26" s="188"/>
      <c r="T26" s="188"/>
      <c r="U26" s="168"/>
    </row>
    <row r="27" spans="1:21" ht="10.5" hidden="1" outlineLevel="2">
      <c r="A27" s="160" t="s">
        <v>314</v>
      </c>
      <c r="B27" s="168">
        <v>896038</v>
      </c>
      <c r="C27" s="289"/>
      <c r="D27" s="289"/>
      <c r="E27" s="289"/>
      <c r="F27" s="289"/>
      <c r="G27" s="289"/>
      <c r="H27" s="188"/>
      <c r="I27" s="188"/>
      <c r="J27" s="188"/>
      <c r="K27" s="188"/>
      <c r="L27" s="188"/>
      <c r="M27" s="188"/>
      <c r="N27" s="188"/>
      <c r="O27" s="188"/>
      <c r="P27" s="188"/>
      <c r="Q27" s="188"/>
      <c r="R27" s="188"/>
      <c r="S27" s="188"/>
      <c r="T27" s="188"/>
      <c r="U27" s="168"/>
    </row>
    <row r="28" spans="1:21" ht="10.5" outlineLevel="1" collapsed="1">
      <c r="A28" s="227" t="s">
        <v>285</v>
      </c>
      <c r="B28" s="292">
        <f>SUM(B25:B27)</f>
        <v>981887.56</v>
      </c>
      <c r="C28" s="289"/>
      <c r="D28" s="289"/>
      <c r="E28" s="289"/>
      <c r="F28" s="289"/>
      <c r="G28" s="289"/>
      <c r="H28" s="188"/>
      <c r="I28" s="188"/>
      <c r="J28" s="188"/>
      <c r="K28" s="188"/>
      <c r="L28" s="188"/>
      <c r="M28" s="188"/>
      <c r="N28" s="188"/>
      <c r="O28" s="188"/>
      <c r="P28" s="188"/>
      <c r="Q28" s="188"/>
      <c r="R28" s="188"/>
      <c r="S28" s="188"/>
      <c r="T28" s="188"/>
      <c r="U28" s="168"/>
    </row>
    <row r="29" spans="1:21" ht="10.5" hidden="1" outlineLevel="2">
      <c r="A29" s="98" t="s">
        <v>272</v>
      </c>
      <c r="B29" s="168"/>
      <c r="C29" s="289">
        <v>139424</v>
      </c>
      <c r="D29" s="289">
        <v>320076.61</v>
      </c>
      <c r="E29" s="289">
        <v>182180</v>
      </c>
      <c r="F29" s="289">
        <v>79783</v>
      </c>
      <c r="G29" s="289">
        <v>21184</v>
      </c>
      <c r="H29" s="188">
        <v>50167</v>
      </c>
      <c r="I29" s="188">
        <v>25444.09</v>
      </c>
      <c r="J29" s="188">
        <v>35795</v>
      </c>
      <c r="K29" s="188">
        <v>2000</v>
      </c>
      <c r="L29" s="188">
        <v>75323</v>
      </c>
      <c r="M29" s="188">
        <v>3369</v>
      </c>
      <c r="N29" s="188">
        <v>4401</v>
      </c>
      <c r="O29" s="188">
        <v>12133</v>
      </c>
      <c r="P29" s="188">
        <v>43187</v>
      </c>
      <c r="Q29" s="188">
        <v>34153</v>
      </c>
      <c r="R29" s="188">
        <v>26597</v>
      </c>
      <c r="S29" s="188">
        <v>18153</v>
      </c>
      <c r="T29" s="188">
        <v>70397</v>
      </c>
      <c r="U29" s="168"/>
    </row>
    <row r="30" spans="1:21" ht="10.5" hidden="1" outlineLevel="2">
      <c r="A30" s="98" t="s">
        <v>273</v>
      </c>
      <c r="B30" s="168"/>
      <c r="C30" s="289">
        <v>26567</v>
      </c>
      <c r="D30" s="289">
        <v>28321.06</v>
      </c>
      <c r="E30" s="289">
        <v>2156</v>
      </c>
      <c r="F30" s="289">
        <v>9369</v>
      </c>
      <c r="G30" s="289">
        <v>2075</v>
      </c>
      <c r="H30" s="188">
        <v>8427</v>
      </c>
      <c r="I30" s="188"/>
      <c r="J30" s="188">
        <v>6297</v>
      </c>
      <c r="K30" s="188">
        <v>4520</v>
      </c>
      <c r="L30" s="188">
        <v>22932</v>
      </c>
      <c r="M30" s="188"/>
      <c r="N30" s="188">
        <v>1548</v>
      </c>
      <c r="O30" s="188">
        <v>2057</v>
      </c>
      <c r="P30" s="188">
        <v>4976</v>
      </c>
      <c r="Q30" s="188">
        <v>2516</v>
      </c>
      <c r="R30" s="188"/>
      <c r="S30" s="188">
        <v>7424</v>
      </c>
      <c r="T30" s="188">
        <v>897</v>
      </c>
      <c r="U30" s="168"/>
    </row>
    <row r="31" spans="1:21" ht="10.5" outlineLevel="1" collapsed="1">
      <c r="A31" s="227" t="s">
        <v>274</v>
      </c>
      <c r="B31" s="168"/>
      <c r="C31" s="290">
        <f>SUM(C29:C30)</f>
        <v>165991</v>
      </c>
      <c r="D31" s="290">
        <f>SUM(D29:D30)</f>
        <v>348397.67</v>
      </c>
      <c r="E31" s="290">
        <f>SUM(E29:E30)</f>
        <v>184336</v>
      </c>
      <c r="F31" s="290">
        <f>SUM(F29:F30)</f>
        <v>89152</v>
      </c>
      <c r="G31" s="290">
        <f>SUM(G29:G30)</f>
        <v>23259</v>
      </c>
      <c r="H31" s="291">
        <f>SUM(H29:H30)</f>
        <v>58594</v>
      </c>
      <c r="I31" s="291">
        <f aca="true" t="shared" si="0" ref="I31:T31">SUM(I29:I30)</f>
        <v>25444.09</v>
      </c>
      <c r="J31" s="291">
        <f t="shared" si="0"/>
        <v>42092</v>
      </c>
      <c r="K31" s="291">
        <f t="shared" si="0"/>
        <v>6520</v>
      </c>
      <c r="L31" s="291">
        <f t="shared" si="0"/>
        <v>98255</v>
      </c>
      <c r="M31" s="291">
        <f t="shared" si="0"/>
        <v>3369</v>
      </c>
      <c r="N31" s="291">
        <f t="shared" si="0"/>
        <v>5949</v>
      </c>
      <c r="O31" s="291">
        <f t="shared" si="0"/>
        <v>14190</v>
      </c>
      <c r="P31" s="291">
        <f t="shared" si="0"/>
        <v>48163</v>
      </c>
      <c r="Q31" s="291">
        <f t="shared" si="0"/>
        <v>36669</v>
      </c>
      <c r="R31" s="291">
        <f t="shared" si="0"/>
        <v>26597</v>
      </c>
      <c r="S31" s="291">
        <f t="shared" si="0"/>
        <v>25577</v>
      </c>
      <c r="T31" s="291">
        <f t="shared" si="0"/>
        <v>71294</v>
      </c>
      <c r="U31" s="168"/>
    </row>
    <row r="32" spans="1:21" ht="10.5" outlineLevel="1">
      <c r="A32" s="227" t="s">
        <v>275</v>
      </c>
      <c r="B32" s="168"/>
      <c r="C32" s="290">
        <v>20669</v>
      </c>
      <c r="D32" s="290">
        <v>17879.06</v>
      </c>
      <c r="E32" s="290">
        <v>17920</v>
      </c>
      <c r="F32" s="290">
        <v>10579</v>
      </c>
      <c r="G32" s="290">
        <v>395</v>
      </c>
      <c r="H32" s="291">
        <v>4814</v>
      </c>
      <c r="I32" s="291">
        <v>318.63</v>
      </c>
      <c r="J32" s="291">
        <v>10536</v>
      </c>
      <c r="K32" s="291">
        <v>209</v>
      </c>
      <c r="L32" s="291">
        <v>1962</v>
      </c>
      <c r="M32" s="291">
        <v>904</v>
      </c>
      <c r="N32" s="291">
        <v>290</v>
      </c>
      <c r="O32" s="291">
        <v>0</v>
      </c>
      <c r="P32" s="291">
        <v>6311</v>
      </c>
      <c r="Q32" s="291">
        <v>3662</v>
      </c>
      <c r="R32" s="291">
        <v>0</v>
      </c>
      <c r="S32" s="291">
        <v>4401</v>
      </c>
      <c r="T32" s="291">
        <v>6366</v>
      </c>
      <c r="U32" s="168"/>
    </row>
    <row r="33" spans="1:21" ht="10.5" hidden="1" outlineLevel="2">
      <c r="A33" s="98" t="s">
        <v>276</v>
      </c>
      <c r="B33" s="168"/>
      <c r="C33" s="289">
        <v>1336650</v>
      </c>
      <c r="D33" s="289">
        <v>3180197.61</v>
      </c>
      <c r="E33" s="289">
        <v>2130828</v>
      </c>
      <c r="F33" s="289">
        <v>990474</v>
      </c>
      <c r="G33" s="289">
        <v>199899</v>
      </c>
      <c r="H33" s="188">
        <v>890794</v>
      </c>
      <c r="I33" s="188">
        <v>239950.25</v>
      </c>
      <c r="J33" s="188">
        <v>448213</v>
      </c>
      <c r="K33" s="188">
        <v>38512</v>
      </c>
      <c r="L33" s="188">
        <v>596757</v>
      </c>
      <c r="M33" s="188">
        <v>41361</v>
      </c>
      <c r="N33" s="188">
        <v>53638.83</v>
      </c>
      <c r="O33" s="188">
        <v>208766</v>
      </c>
      <c r="P33" s="188">
        <v>425612</v>
      </c>
      <c r="Q33" s="188">
        <v>432407</v>
      </c>
      <c r="R33" s="188">
        <v>278396</v>
      </c>
      <c r="S33" s="188">
        <v>216315</v>
      </c>
      <c r="T33" s="188">
        <v>603090</v>
      </c>
      <c r="U33" s="168"/>
    </row>
    <row r="34" spans="1:21" ht="10.5" hidden="1" outlineLevel="2">
      <c r="A34" s="98" t="s">
        <v>277</v>
      </c>
      <c r="B34" s="168"/>
      <c r="C34" s="289">
        <v>299178</v>
      </c>
      <c r="D34" s="289">
        <v>130050.71</v>
      </c>
      <c r="E34" s="289">
        <v>1046</v>
      </c>
      <c r="F34" s="289">
        <v>65600</v>
      </c>
      <c r="G34" s="289">
        <v>39523</v>
      </c>
      <c r="H34" s="188">
        <v>119795</v>
      </c>
      <c r="I34" s="188">
        <v>4197.36</v>
      </c>
      <c r="J34" s="188">
        <v>71293</v>
      </c>
      <c r="K34" s="188">
        <v>25309</v>
      </c>
      <c r="L34" s="188">
        <v>104262</v>
      </c>
      <c r="M34" s="188"/>
      <c r="N34" s="188">
        <v>9109.12</v>
      </c>
      <c r="O34" s="188">
        <v>13369</v>
      </c>
      <c r="P34" s="188">
        <v>29215</v>
      </c>
      <c r="Q34" s="188">
        <v>20965</v>
      </c>
      <c r="R34" s="188"/>
      <c r="S34" s="188">
        <v>66816</v>
      </c>
      <c r="T34" s="188">
        <v>35162</v>
      </c>
      <c r="U34" s="168"/>
    </row>
    <row r="35" spans="1:21" ht="10.5" outlineLevel="1" collapsed="1">
      <c r="A35" s="227" t="s">
        <v>278</v>
      </c>
      <c r="B35" s="168"/>
      <c r="C35" s="290">
        <f>SUM(C33:C34)</f>
        <v>1635828</v>
      </c>
      <c r="D35" s="290">
        <f>SUM(D33:D34)</f>
        <v>3310248.32</v>
      </c>
      <c r="E35" s="290">
        <f>SUM(E33:E34)</f>
        <v>2131874</v>
      </c>
      <c r="F35" s="290">
        <f>SUM(F33:F34)</f>
        <v>1056074</v>
      </c>
      <c r="G35" s="290">
        <f>SUM(G33:G34)</f>
        <v>239422</v>
      </c>
      <c r="H35" s="291">
        <f>SUM(H33:H34)</f>
        <v>1010589</v>
      </c>
      <c r="I35" s="291">
        <f aca="true" t="shared" si="1" ref="I35:T35">SUM(I33:I34)</f>
        <v>244147.61</v>
      </c>
      <c r="J35" s="291">
        <f t="shared" si="1"/>
        <v>519506</v>
      </c>
      <c r="K35" s="291">
        <f t="shared" si="1"/>
        <v>63821</v>
      </c>
      <c r="L35" s="291">
        <f t="shared" si="1"/>
        <v>701019</v>
      </c>
      <c r="M35" s="291">
        <f t="shared" si="1"/>
        <v>41361</v>
      </c>
      <c r="N35" s="291">
        <f t="shared" si="1"/>
        <v>62747.950000000004</v>
      </c>
      <c r="O35" s="291">
        <f t="shared" si="1"/>
        <v>222135</v>
      </c>
      <c r="P35" s="291">
        <f t="shared" si="1"/>
        <v>454827</v>
      </c>
      <c r="Q35" s="291">
        <f t="shared" si="1"/>
        <v>453372</v>
      </c>
      <c r="R35" s="291">
        <f t="shared" si="1"/>
        <v>278396</v>
      </c>
      <c r="S35" s="291">
        <f t="shared" si="1"/>
        <v>283131</v>
      </c>
      <c r="T35" s="291">
        <f t="shared" si="1"/>
        <v>638252</v>
      </c>
      <c r="U35" s="168"/>
    </row>
    <row r="36" spans="2:21" ht="10.5" outlineLevel="1">
      <c r="B36" s="168"/>
      <c r="C36" s="289"/>
      <c r="D36" s="289"/>
      <c r="E36" s="289"/>
      <c r="F36" s="289"/>
      <c r="G36" s="289"/>
      <c r="H36" s="188"/>
      <c r="I36" s="188"/>
      <c r="J36" s="188"/>
      <c r="K36" s="188"/>
      <c r="L36" s="188"/>
      <c r="M36" s="188"/>
      <c r="N36" s="188"/>
      <c r="O36" s="188"/>
      <c r="P36" s="188"/>
      <c r="Q36" s="188"/>
      <c r="R36" s="188"/>
      <c r="S36" s="188"/>
      <c r="T36" s="188"/>
      <c r="U36" s="168"/>
    </row>
    <row r="37" spans="2:21" ht="10.5" outlineLevel="1">
      <c r="B37" s="168"/>
      <c r="C37" s="289"/>
      <c r="D37" s="289"/>
      <c r="E37" s="289"/>
      <c r="F37" s="289"/>
      <c r="G37" s="289"/>
      <c r="H37" s="188"/>
      <c r="I37" s="188"/>
      <c r="J37" s="188"/>
      <c r="K37" s="188"/>
      <c r="L37" s="188"/>
      <c r="M37" s="188"/>
      <c r="N37" s="188"/>
      <c r="O37" s="188"/>
      <c r="P37" s="188"/>
      <c r="Q37" s="188"/>
      <c r="R37" s="291"/>
      <c r="S37" s="188"/>
      <c r="T37" s="188"/>
      <c r="U37" s="168"/>
    </row>
    <row r="38" spans="1:21" ht="10.5">
      <c r="A38" s="227" t="s">
        <v>317</v>
      </c>
      <c r="B38" s="292">
        <f>B24+B28+B31+B32+B35</f>
        <v>1328469.5</v>
      </c>
      <c r="C38" s="290">
        <f>C31+C32+C35</f>
        <v>1822488</v>
      </c>
      <c r="D38" s="290">
        <f>D31+D32+D35</f>
        <v>3676525.05</v>
      </c>
      <c r="E38" s="290">
        <f>E31+E32+E35</f>
        <v>2334130</v>
      </c>
      <c r="F38" s="290">
        <f>F31+F32+F35</f>
        <v>1155805</v>
      </c>
      <c r="G38" s="290">
        <f>G31+G32+G35</f>
        <v>263076</v>
      </c>
      <c r="H38" s="291">
        <f>H31+H32+H35</f>
        <v>1073997</v>
      </c>
      <c r="I38" s="291">
        <f aca="true" t="shared" si="2" ref="I38:T38">I31+I32+I35</f>
        <v>269910.32999999996</v>
      </c>
      <c r="J38" s="291">
        <f t="shared" si="2"/>
        <v>572134</v>
      </c>
      <c r="K38" s="291">
        <f t="shared" si="2"/>
        <v>70550</v>
      </c>
      <c r="L38" s="291">
        <f t="shared" si="2"/>
        <v>801236</v>
      </c>
      <c r="M38" s="291">
        <f t="shared" si="2"/>
        <v>45634</v>
      </c>
      <c r="N38" s="291">
        <f t="shared" si="2"/>
        <v>68986.95000000001</v>
      </c>
      <c r="O38" s="291">
        <f t="shared" si="2"/>
        <v>236325</v>
      </c>
      <c r="P38" s="291">
        <f t="shared" si="2"/>
        <v>509301</v>
      </c>
      <c r="Q38" s="291">
        <f t="shared" si="2"/>
        <v>493703</v>
      </c>
      <c r="R38" s="291">
        <f t="shared" si="2"/>
        <v>304993</v>
      </c>
      <c r="S38" s="291">
        <f t="shared" si="2"/>
        <v>313109</v>
      </c>
      <c r="T38" s="291">
        <f t="shared" si="2"/>
        <v>715912</v>
      </c>
      <c r="U38" s="294">
        <f>SUM(B38:T38)</f>
        <v>16056284.83</v>
      </c>
    </row>
    <row r="39" spans="1:21" ht="10.5">
      <c r="A39" s="227"/>
      <c r="B39" s="168"/>
      <c r="C39" s="289"/>
      <c r="D39" s="289"/>
      <c r="E39" s="289"/>
      <c r="F39" s="289"/>
      <c r="G39" s="289"/>
      <c r="H39" s="188"/>
      <c r="I39" s="188"/>
      <c r="J39" s="188"/>
      <c r="K39" s="188"/>
      <c r="L39" s="188"/>
      <c r="M39" s="188"/>
      <c r="N39" s="188"/>
      <c r="O39" s="188"/>
      <c r="P39" s="188"/>
      <c r="Q39" s="188"/>
      <c r="R39" s="188"/>
      <c r="S39" s="188"/>
      <c r="T39" s="188"/>
      <c r="U39" s="168"/>
    </row>
    <row r="40" spans="1:21" ht="10.5">
      <c r="A40" s="227" t="s">
        <v>308</v>
      </c>
      <c r="B40" s="168"/>
      <c r="C40" s="289"/>
      <c r="D40" s="289"/>
      <c r="E40" s="289"/>
      <c r="F40" s="289"/>
      <c r="G40" s="289"/>
      <c r="H40" s="188"/>
      <c r="I40" s="188"/>
      <c r="J40" s="188"/>
      <c r="K40" s="188"/>
      <c r="L40" s="188"/>
      <c r="M40" s="188"/>
      <c r="N40" s="188"/>
      <c r="O40" s="188"/>
      <c r="P40" s="188"/>
      <c r="Q40" s="188"/>
      <c r="R40" s="188"/>
      <c r="S40" s="188"/>
      <c r="T40" s="188"/>
      <c r="U40" s="292">
        <f>U11+U18+U20-U38</f>
        <v>7067679.539999997</v>
      </c>
    </row>
    <row r="41" spans="2:21" ht="10.5">
      <c r="B41" s="168"/>
      <c r="C41" s="289"/>
      <c r="D41" s="289"/>
      <c r="E41" s="289"/>
      <c r="F41" s="289"/>
      <c r="G41" s="289"/>
      <c r="H41" s="188"/>
      <c r="I41" s="188"/>
      <c r="J41" s="188"/>
      <c r="K41" s="188"/>
      <c r="L41" s="188"/>
      <c r="M41" s="188"/>
      <c r="N41" s="188"/>
      <c r="O41" s="188"/>
      <c r="P41" s="188"/>
      <c r="Q41" s="188"/>
      <c r="R41" s="188"/>
      <c r="S41" s="188"/>
      <c r="T41" s="188"/>
      <c r="U41" s="168"/>
    </row>
    <row r="42" spans="1:21" ht="10.5">
      <c r="A42" s="227" t="s">
        <v>309</v>
      </c>
      <c r="B42" s="292">
        <f>1.07+27740+103962</f>
        <v>131703.07</v>
      </c>
      <c r="C42" s="290">
        <f>5995+24066+23032+61059+425390</f>
        <v>539542</v>
      </c>
      <c r="D42" s="290">
        <f>5433.94+23744.29+29297.94+20277.39+229061.39</f>
        <v>307814.95</v>
      </c>
      <c r="E42" s="290">
        <f>104050+721935</f>
        <v>825985</v>
      </c>
      <c r="F42" s="290">
        <f>20681+8364+31259+286634+1345</f>
        <v>348283</v>
      </c>
      <c r="G42" s="290">
        <f>6608+25245+3512+8024+14281</f>
        <v>57670</v>
      </c>
      <c r="H42" s="291">
        <f>2675+50132+19381+264400</f>
        <v>336588</v>
      </c>
      <c r="I42" s="291">
        <f>599+1191.64+10753.91+42177.12</f>
        <v>54721.67</v>
      </c>
      <c r="J42" s="291">
        <f>6271+3702+3777+12750+75643</f>
        <v>102143</v>
      </c>
      <c r="K42" s="291">
        <f>386+2372+5706+3448+41793</f>
        <v>53705</v>
      </c>
      <c r="L42" s="291">
        <f>42556+23817</f>
        <v>66373</v>
      </c>
      <c r="M42" s="291">
        <f>1391+2057</f>
        <v>3448</v>
      </c>
      <c r="N42" s="291">
        <f>865+320+1087.88+554+1162.74</f>
        <v>3989.62</v>
      </c>
      <c r="O42" s="291">
        <f>10009+46875</f>
        <v>56884</v>
      </c>
      <c r="P42" s="291">
        <f>3567+10938+16283+125223</f>
        <v>156011</v>
      </c>
      <c r="Q42" s="291">
        <f>2254+77+643+26515+80836</f>
        <v>110325</v>
      </c>
      <c r="R42" s="291">
        <f>4909+38933</f>
        <v>43842</v>
      </c>
      <c r="S42" s="291">
        <f>4447+3452</f>
        <v>7899</v>
      </c>
      <c r="T42" s="291">
        <f>5498+119620</f>
        <v>125118</v>
      </c>
      <c r="U42" s="292">
        <f>SUM(B42:T42)</f>
        <v>3332045.31</v>
      </c>
    </row>
    <row r="43" spans="2:21" ht="10.5">
      <c r="B43" s="168"/>
      <c r="C43" s="289"/>
      <c r="D43" s="289"/>
      <c r="E43" s="289"/>
      <c r="F43" s="289"/>
      <c r="G43" s="289"/>
      <c r="H43" s="188"/>
      <c r="I43" s="188"/>
      <c r="J43" s="188"/>
      <c r="K43" s="188"/>
      <c r="L43" s="188"/>
      <c r="M43" s="188"/>
      <c r="N43" s="188"/>
      <c r="O43" s="188"/>
      <c r="P43" s="188"/>
      <c r="Q43" s="188"/>
      <c r="R43" s="188"/>
      <c r="S43" s="188"/>
      <c r="T43" s="188"/>
      <c r="U43" s="168"/>
    </row>
    <row r="44" spans="1:21" ht="11.25" thickBot="1">
      <c r="A44" s="227" t="s">
        <v>310</v>
      </c>
      <c r="B44" s="168"/>
      <c r="C44" s="289"/>
      <c r="D44" s="289"/>
      <c r="E44" s="289"/>
      <c r="F44" s="289"/>
      <c r="G44" s="289"/>
      <c r="H44" s="188"/>
      <c r="I44" s="188"/>
      <c r="J44" s="188"/>
      <c r="K44" s="188"/>
      <c r="L44" s="188"/>
      <c r="M44" s="188"/>
      <c r="N44" s="188"/>
      <c r="O44" s="188"/>
      <c r="P44" s="188"/>
      <c r="Q44" s="188"/>
      <c r="R44" s="188"/>
      <c r="S44" s="188"/>
      <c r="T44" s="188"/>
      <c r="U44" s="293">
        <f>U40-U42</f>
        <v>3735634.229999997</v>
      </c>
    </row>
    <row r="45" spans="1:21" ht="11.25" thickTop="1">
      <c r="A45" s="180"/>
      <c r="B45" s="168"/>
      <c r="C45" s="168"/>
      <c r="D45" s="168"/>
      <c r="E45" s="168"/>
      <c r="F45" s="168"/>
      <c r="G45" s="168"/>
      <c r="H45" s="168"/>
      <c r="I45" s="168"/>
      <c r="J45" s="168"/>
      <c r="K45" s="168"/>
      <c r="L45" s="168"/>
      <c r="M45" s="168"/>
      <c r="N45" s="168"/>
      <c r="O45" s="168"/>
      <c r="P45" s="168"/>
      <c r="Q45" s="168"/>
      <c r="R45" s="168"/>
      <c r="S45" s="168"/>
      <c r="T45" s="168"/>
      <c r="U45" s="168"/>
    </row>
    <row r="46" ht="10.5">
      <c r="A46" s="180"/>
    </row>
    <row r="47" spans="1:21" ht="12.75">
      <c r="A47" s="159" t="s">
        <v>99</v>
      </c>
      <c r="B47" s="261" t="s">
        <v>99</v>
      </c>
      <c r="C47" s="581" t="s">
        <v>267</v>
      </c>
      <c r="D47" s="581"/>
      <c r="E47" s="581"/>
      <c r="F47" s="581"/>
      <c r="G47" s="581"/>
      <c r="H47" s="582" t="s">
        <v>286</v>
      </c>
      <c r="I47" s="582"/>
      <c r="J47" s="582"/>
      <c r="K47" s="582"/>
      <c r="L47" s="582"/>
      <c r="M47" s="582"/>
      <c r="N47" s="582"/>
      <c r="O47" s="582"/>
      <c r="P47" s="582"/>
      <c r="Q47" s="582"/>
      <c r="R47" s="582"/>
      <c r="S47" s="582"/>
      <c r="T47" s="582"/>
      <c r="U47" s="260" t="s">
        <v>99</v>
      </c>
    </row>
    <row r="48" spans="2:21" ht="10.5">
      <c r="B48" s="238" t="s">
        <v>13</v>
      </c>
      <c r="C48" s="278" t="s">
        <v>36</v>
      </c>
      <c r="D48" s="280" t="s">
        <v>37</v>
      </c>
      <c r="E48" s="280" t="s">
        <v>31</v>
      </c>
      <c r="F48" s="280" t="s">
        <v>32</v>
      </c>
      <c r="G48" s="280" t="s">
        <v>38</v>
      </c>
      <c r="H48" s="281" t="s">
        <v>25</v>
      </c>
      <c r="I48" s="281" t="s">
        <v>26</v>
      </c>
      <c r="J48" s="284" t="s">
        <v>27</v>
      </c>
      <c r="K48" s="281" t="s">
        <v>28</v>
      </c>
      <c r="L48" s="281" t="s">
        <v>29</v>
      </c>
      <c r="M48" s="281" t="s">
        <v>40</v>
      </c>
      <c r="N48" s="281" t="s">
        <v>30</v>
      </c>
      <c r="O48" s="281" t="s">
        <v>31</v>
      </c>
      <c r="P48" s="281" t="s">
        <v>32</v>
      </c>
      <c r="Q48" s="281" t="s">
        <v>33</v>
      </c>
      <c r="R48" s="281" t="s">
        <v>41</v>
      </c>
      <c r="S48" s="281" t="s">
        <v>34</v>
      </c>
      <c r="T48" s="281" t="s">
        <v>35</v>
      </c>
      <c r="U48" s="237"/>
    </row>
    <row r="49" spans="2:21" ht="31.5">
      <c r="B49" s="254" t="s">
        <v>99</v>
      </c>
      <c r="C49" s="262" t="s">
        <v>290</v>
      </c>
      <c r="D49" s="262" t="s">
        <v>289</v>
      </c>
      <c r="E49" s="262" t="s">
        <v>291</v>
      </c>
      <c r="F49" s="262" t="s">
        <v>292</v>
      </c>
      <c r="G49" s="282" t="s">
        <v>293</v>
      </c>
      <c r="H49" s="283" t="s">
        <v>294</v>
      </c>
      <c r="I49" s="283" t="s">
        <v>303</v>
      </c>
      <c r="J49" s="283" t="s">
        <v>300</v>
      </c>
      <c r="K49" s="283" t="s">
        <v>301</v>
      </c>
      <c r="L49" s="283" t="s">
        <v>295</v>
      </c>
      <c r="M49" s="283" t="s">
        <v>296</v>
      </c>
      <c r="N49" s="283" t="s">
        <v>302</v>
      </c>
      <c r="O49" s="283" t="s">
        <v>291</v>
      </c>
      <c r="P49" s="283" t="s">
        <v>292</v>
      </c>
      <c r="Q49" s="283" t="s">
        <v>304</v>
      </c>
      <c r="R49" s="283" t="s">
        <v>297</v>
      </c>
      <c r="S49" s="283" t="s">
        <v>298</v>
      </c>
      <c r="T49" s="283" t="s">
        <v>299</v>
      </c>
      <c r="U49" s="254" t="s">
        <v>118</v>
      </c>
    </row>
    <row r="50" spans="2:21" ht="10.5">
      <c r="B50" s="223"/>
      <c r="C50" s="263"/>
      <c r="D50" s="263"/>
      <c r="E50" s="263"/>
      <c r="F50" s="263"/>
      <c r="G50" s="263"/>
      <c r="H50" s="266"/>
      <c r="I50" s="190"/>
      <c r="J50" s="190"/>
      <c r="K50" s="190"/>
      <c r="L50" s="190"/>
      <c r="M50" s="190"/>
      <c r="N50" s="190"/>
      <c r="O50" s="190"/>
      <c r="P50" s="190"/>
      <c r="Q50" s="190"/>
      <c r="R50" s="190"/>
      <c r="S50" s="190"/>
      <c r="T50" s="190"/>
      <c r="U50" s="223"/>
    </row>
    <row r="51" spans="1:21" ht="10.5">
      <c r="A51" s="285" t="s">
        <v>311</v>
      </c>
      <c r="B51" s="223"/>
      <c r="C51" s="263"/>
      <c r="D51" s="263"/>
      <c r="E51" s="263"/>
      <c r="F51" s="263"/>
      <c r="G51" s="263"/>
      <c r="H51" s="266"/>
      <c r="I51" s="190"/>
      <c r="J51" s="190"/>
      <c r="K51" s="190"/>
      <c r="L51" s="190"/>
      <c r="M51" s="190"/>
      <c r="N51" s="190"/>
      <c r="O51" s="190"/>
      <c r="P51" s="190"/>
      <c r="Q51" s="190"/>
      <c r="R51" s="190"/>
      <c r="S51" s="190"/>
      <c r="T51" s="190"/>
      <c r="U51" s="223"/>
    </row>
    <row r="52" spans="2:21" ht="10.5">
      <c r="B52" s="223"/>
      <c r="C52" s="263"/>
      <c r="D52" s="263"/>
      <c r="E52" s="263"/>
      <c r="F52" s="263"/>
      <c r="G52" s="263"/>
      <c r="H52" s="266"/>
      <c r="I52" s="190"/>
      <c r="J52" s="190"/>
      <c r="K52" s="190"/>
      <c r="L52" s="190"/>
      <c r="M52" s="190"/>
      <c r="N52" s="190"/>
      <c r="O52" s="190"/>
      <c r="P52" s="190"/>
      <c r="Q52" s="190"/>
      <c r="R52" s="190"/>
      <c r="S52" s="190"/>
      <c r="T52" s="190"/>
      <c r="U52" s="223"/>
    </row>
    <row r="53" spans="1:21" ht="10.5">
      <c r="A53" s="227" t="s">
        <v>287</v>
      </c>
      <c r="B53" s="249"/>
      <c r="C53" s="264"/>
      <c r="D53" s="264"/>
      <c r="E53" s="264"/>
      <c r="F53" s="264"/>
      <c r="G53" s="264"/>
      <c r="H53" s="267"/>
      <c r="I53" s="268"/>
      <c r="J53" s="268"/>
      <c r="K53" s="268"/>
      <c r="L53" s="268"/>
      <c r="M53" s="268"/>
      <c r="N53" s="268"/>
      <c r="O53" s="268"/>
      <c r="P53" s="268"/>
      <c r="Q53" s="268"/>
      <c r="R53" s="268"/>
      <c r="S53" s="268"/>
      <c r="T53" s="268"/>
      <c r="U53" s="253">
        <f>91190.2+4425.1+839839.78+449078.41+2813786.63+2185274.67+501814.23+182270.52</f>
        <v>7067679.539999999</v>
      </c>
    </row>
    <row r="54" spans="1:21" ht="10.5">
      <c r="A54" s="160"/>
      <c r="B54" s="249"/>
      <c r="C54" s="264"/>
      <c r="D54" s="264"/>
      <c r="E54" s="264"/>
      <c r="F54" s="264"/>
      <c r="G54" s="264"/>
      <c r="H54" s="267"/>
      <c r="I54" s="268"/>
      <c r="J54" s="268"/>
      <c r="K54" s="268"/>
      <c r="L54" s="268"/>
      <c r="M54" s="268"/>
      <c r="N54" s="268"/>
      <c r="O54" s="268"/>
      <c r="P54" s="268"/>
      <c r="Q54" s="268"/>
      <c r="R54" s="268"/>
      <c r="S54" s="268"/>
      <c r="T54" s="268"/>
      <c r="U54" s="249"/>
    </row>
    <row r="55" spans="1:21" ht="10.5">
      <c r="A55" s="160" t="s">
        <v>200</v>
      </c>
      <c r="B55" s="249"/>
      <c r="C55" s="264"/>
      <c r="D55" s="264"/>
      <c r="E55" s="264"/>
      <c r="F55" s="264"/>
      <c r="G55" s="264"/>
      <c r="H55" s="267"/>
      <c r="I55" s="268"/>
      <c r="J55" s="268"/>
      <c r="K55" s="268"/>
      <c r="L55" s="268"/>
      <c r="M55" s="268"/>
      <c r="N55" s="268"/>
      <c r="O55" s="268"/>
      <c r="P55" s="268"/>
      <c r="Q55" s="268"/>
      <c r="R55" s="268"/>
      <c r="S55" s="268"/>
      <c r="T55" s="268"/>
      <c r="U55" s="249"/>
    </row>
    <row r="56" spans="1:21" ht="10.5" hidden="1" outlineLevel="1">
      <c r="A56" s="160" t="s">
        <v>279</v>
      </c>
      <c r="B56" s="249"/>
      <c r="C56" s="264"/>
      <c r="D56" s="264"/>
      <c r="E56" s="264"/>
      <c r="F56" s="264"/>
      <c r="G56" s="264"/>
      <c r="H56" s="267"/>
      <c r="I56" s="268"/>
      <c r="J56" s="268"/>
      <c r="K56" s="268"/>
      <c r="L56" s="268"/>
      <c r="M56" s="268"/>
      <c r="N56" s="268"/>
      <c r="O56" s="268"/>
      <c r="P56" s="268"/>
      <c r="Q56" s="268"/>
      <c r="R56" s="268"/>
      <c r="S56" s="268"/>
      <c r="T56" s="268"/>
      <c r="U56" s="249">
        <f>6465711.06+534976.47</f>
        <v>7000687.529999999</v>
      </c>
    </row>
    <row r="57" spans="1:21" ht="10.5" hidden="1" outlineLevel="1">
      <c r="A57" s="160" t="s">
        <v>305</v>
      </c>
      <c r="B57" s="249"/>
      <c r="C57" s="264"/>
      <c r="D57" s="264"/>
      <c r="E57" s="264"/>
      <c r="F57" s="264"/>
      <c r="G57" s="264"/>
      <c r="H57" s="267"/>
      <c r="I57" s="268"/>
      <c r="J57" s="268"/>
      <c r="K57" s="268"/>
      <c r="L57" s="268"/>
      <c r="M57" s="268"/>
      <c r="N57" s="268"/>
      <c r="O57" s="268"/>
      <c r="P57" s="268"/>
      <c r="Q57" s="268"/>
      <c r="R57" s="268"/>
      <c r="S57" s="268"/>
      <c r="T57" s="268"/>
      <c r="U57" s="249">
        <f>5079026.67+5233120.09</f>
        <v>10312146.76</v>
      </c>
    </row>
    <row r="58" spans="1:21" ht="10.5" hidden="1" outlineLevel="1">
      <c r="A58" s="160" t="s">
        <v>280</v>
      </c>
      <c r="B58" s="249"/>
      <c r="C58" s="264"/>
      <c r="D58" s="264"/>
      <c r="E58" s="264"/>
      <c r="F58" s="264"/>
      <c r="G58" s="264"/>
      <c r="H58" s="267">
        <v>15000</v>
      </c>
      <c r="I58" s="268"/>
      <c r="J58" s="268"/>
      <c r="K58" s="268"/>
      <c r="L58" s="268"/>
      <c r="M58" s="268"/>
      <c r="N58" s="268"/>
      <c r="O58" s="268"/>
      <c r="P58" s="268"/>
      <c r="Q58" s="268"/>
      <c r="R58" s="268"/>
      <c r="S58" s="268"/>
      <c r="T58" s="268"/>
      <c r="U58" s="249">
        <f>SUM(B58:T58)</f>
        <v>15000</v>
      </c>
    </row>
    <row r="59" spans="1:21" ht="10.5" hidden="1" outlineLevel="1">
      <c r="A59" s="160" t="s">
        <v>281</v>
      </c>
      <c r="B59" s="249"/>
      <c r="C59" s="264"/>
      <c r="D59" s="264"/>
      <c r="E59" s="264"/>
      <c r="F59" s="264"/>
      <c r="G59" s="264"/>
      <c r="H59" s="267"/>
      <c r="I59" s="268"/>
      <c r="J59" s="268"/>
      <c r="K59" s="268"/>
      <c r="L59" s="268"/>
      <c r="M59" s="268"/>
      <c r="N59" s="268"/>
      <c r="O59" s="268"/>
      <c r="P59" s="268"/>
      <c r="Q59" s="268"/>
      <c r="R59" s="268"/>
      <c r="S59" s="268"/>
      <c r="T59" s="268"/>
      <c r="U59" s="255">
        <f>141683.58+3863.09</f>
        <v>145546.66999999998</v>
      </c>
    </row>
    <row r="60" spans="1:21" ht="10.5" collapsed="1">
      <c r="A60" s="227" t="s">
        <v>307</v>
      </c>
      <c r="B60" s="249"/>
      <c r="C60" s="264"/>
      <c r="D60" s="264"/>
      <c r="E60" s="264"/>
      <c r="F60" s="264"/>
      <c r="G60" s="264"/>
      <c r="H60" s="267"/>
      <c r="I60" s="268"/>
      <c r="J60" s="268"/>
      <c r="K60" s="268"/>
      <c r="L60" s="268"/>
      <c r="M60" s="268"/>
      <c r="N60" s="268"/>
      <c r="O60" s="268"/>
      <c r="P60" s="268"/>
      <c r="Q60" s="268"/>
      <c r="R60" s="268"/>
      <c r="S60" s="268"/>
      <c r="T60" s="268"/>
      <c r="U60" s="253">
        <f>SUM(U56:U59)</f>
        <v>17473380.96</v>
      </c>
    </row>
    <row r="61" spans="2:21" ht="10.5">
      <c r="B61" s="249"/>
      <c r="C61" s="264"/>
      <c r="D61" s="264"/>
      <c r="E61" s="264"/>
      <c r="F61" s="264"/>
      <c r="G61" s="264"/>
      <c r="H61" s="267"/>
      <c r="I61" s="268"/>
      <c r="J61" s="268"/>
      <c r="K61" s="268"/>
      <c r="L61" s="268"/>
      <c r="M61" s="268"/>
      <c r="N61" s="268"/>
      <c r="O61" s="268"/>
      <c r="P61" s="268"/>
      <c r="Q61" s="268"/>
      <c r="R61" s="268"/>
      <c r="S61" s="268"/>
      <c r="T61" s="268"/>
      <c r="U61" s="249"/>
    </row>
    <row r="62" spans="1:21" ht="10.5">
      <c r="A62" s="227" t="s">
        <v>312</v>
      </c>
      <c r="B62" s="249"/>
      <c r="C62" s="264"/>
      <c r="D62" s="264"/>
      <c r="E62" s="264"/>
      <c r="F62" s="264"/>
      <c r="G62" s="264"/>
      <c r="H62" s="267"/>
      <c r="I62" s="268"/>
      <c r="J62" s="268"/>
      <c r="K62" s="268"/>
      <c r="L62" s="268"/>
      <c r="M62" s="268"/>
      <c r="N62" s="268"/>
      <c r="O62" s="268"/>
      <c r="P62" s="268"/>
      <c r="Q62" s="268"/>
      <c r="R62" s="268"/>
      <c r="S62" s="268"/>
      <c r="T62" s="268"/>
      <c r="U62" s="253">
        <v>-3700000</v>
      </c>
    </row>
    <row r="63" spans="2:21" ht="10.5">
      <c r="B63" s="249"/>
      <c r="C63" s="264"/>
      <c r="D63" s="264"/>
      <c r="E63" s="264"/>
      <c r="F63" s="264"/>
      <c r="G63" s="264"/>
      <c r="H63" s="267"/>
      <c r="I63" s="268"/>
      <c r="J63" s="268"/>
      <c r="K63" s="268"/>
      <c r="L63" s="268"/>
      <c r="M63" s="268"/>
      <c r="N63" s="268"/>
      <c r="O63" s="268"/>
      <c r="P63" s="268"/>
      <c r="Q63" s="268"/>
      <c r="R63" s="268"/>
      <c r="S63" s="268"/>
      <c r="T63" s="268"/>
      <c r="U63" s="249"/>
    </row>
    <row r="64" spans="1:21" ht="10.5" hidden="1" outlineLevel="2">
      <c r="A64" s="98" t="s">
        <v>268</v>
      </c>
      <c r="B64" s="249">
        <f>357200.5+21.21-124.86</f>
        <v>357096.85000000003</v>
      </c>
      <c r="C64" s="264"/>
      <c r="D64" s="264"/>
      <c r="E64" s="264"/>
      <c r="F64" s="264"/>
      <c r="G64" s="264"/>
      <c r="H64" s="267"/>
      <c r="I64" s="268"/>
      <c r="J64" s="268"/>
      <c r="K64" s="268"/>
      <c r="L64" s="268"/>
      <c r="M64" s="268"/>
      <c r="N64" s="268"/>
      <c r="O64" s="268"/>
      <c r="P64" s="268"/>
      <c r="Q64" s="268"/>
      <c r="R64" s="268"/>
      <c r="S64" s="268"/>
      <c r="T64" s="268"/>
      <c r="U64" s="249"/>
    </row>
    <row r="65" spans="1:21" ht="10.5" hidden="1" outlineLevel="2">
      <c r="A65" s="98" t="s">
        <v>269</v>
      </c>
      <c r="B65" s="249">
        <f>45636.07+15247</f>
        <v>60883.07</v>
      </c>
      <c r="C65" s="264"/>
      <c r="D65" s="264"/>
      <c r="E65" s="264"/>
      <c r="F65" s="264"/>
      <c r="G65" s="264"/>
      <c r="H65" s="267"/>
      <c r="I65" s="268"/>
      <c r="J65" s="268"/>
      <c r="K65" s="268"/>
      <c r="L65" s="268"/>
      <c r="M65" s="268"/>
      <c r="N65" s="268"/>
      <c r="O65" s="268"/>
      <c r="P65" s="268"/>
      <c r="Q65" s="268"/>
      <c r="R65" s="268"/>
      <c r="S65" s="268"/>
      <c r="T65" s="268"/>
      <c r="U65" s="249"/>
    </row>
    <row r="66" spans="1:21" ht="10.5" hidden="1" outlineLevel="1" collapsed="1">
      <c r="A66" s="227" t="s">
        <v>270</v>
      </c>
      <c r="B66" s="253">
        <f>SUM(B64:B65)</f>
        <v>417979.92000000004</v>
      </c>
      <c r="C66" s="264"/>
      <c r="D66" s="264"/>
      <c r="E66" s="264"/>
      <c r="F66" s="264"/>
      <c r="G66" s="264"/>
      <c r="H66" s="267"/>
      <c r="I66" s="268"/>
      <c r="J66" s="268"/>
      <c r="K66" s="268"/>
      <c r="L66" s="268"/>
      <c r="M66" s="268"/>
      <c r="N66" s="268"/>
      <c r="O66" s="268"/>
      <c r="P66" s="268"/>
      <c r="Q66" s="268"/>
      <c r="R66" s="268"/>
      <c r="S66" s="268"/>
      <c r="T66" s="268"/>
      <c r="U66" s="249"/>
    </row>
    <row r="67" spans="1:21" ht="10.5" hidden="1" outlineLevel="2">
      <c r="A67" s="160" t="s">
        <v>271</v>
      </c>
      <c r="B67" s="249">
        <f>230648.07-3.94-0.02</f>
        <v>230644.11000000002</v>
      </c>
      <c r="C67" s="264"/>
      <c r="D67" s="264"/>
      <c r="E67" s="264"/>
      <c r="F67" s="264"/>
      <c r="G67" s="264"/>
      <c r="H67" s="267"/>
      <c r="I67" s="268"/>
      <c r="J67" s="268"/>
      <c r="K67" s="268"/>
      <c r="L67" s="268"/>
      <c r="M67" s="268"/>
      <c r="N67" s="268"/>
      <c r="O67" s="268"/>
      <c r="P67" s="268"/>
      <c r="Q67" s="268"/>
      <c r="R67" s="268"/>
      <c r="S67" s="268"/>
      <c r="T67" s="268"/>
      <c r="U67" s="249"/>
    </row>
    <row r="68" spans="1:21" ht="10.5" hidden="1" outlineLevel="2">
      <c r="A68" s="160" t="s">
        <v>284</v>
      </c>
      <c r="B68" s="249">
        <f>9071.99</f>
        <v>9071.99</v>
      </c>
      <c r="C68" s="264"/>
      <c r="D68" s="264"/>
      <c r="E68" s="264"/>
      <c r="F68" s="264"/>
      <c r="G68" s="264"/>
      <c r="H68" s="267"/>
      <c r="I68" s="268"/>
      <c r="J68" s="268"/>
      <c r="K68" s="268"/>
      <c r="L68" s="268"/>
      <c r="M68" s="268"/>
      <c r="N68" s="268"/>
      <c r="O68" s="268"/>
      <c r="P68" s="268"/>
      <c r="Q68" s="268"/>
      <c r="R68" s="268"/>
      <c r="S68" s="268"/>
      <c r="T68" s="268"/>
      <c r="U68" s="249"/>
    </row>
    <row r="69" spans="1:21" ht="10.5" hidden="1" outlineLevel="2">
      <c r="A69" s="160" t="s">
        <v>314</v>
      </c>
      <c r="B69" s="249">
        <v>116455</v>
      </c>
      <c r="C69" s="264"/>
      <c r="D69" s="264"/>
      <c r="E69" s="264"/>
      <c r="F69" s="264"/>
      <c r="G69" s="264"/>
      <c r="H69" s="267"/>
      <c r="I69" s="268"/>
      <c r="J69" s="268"/>
      <c r="K69" s="268"/>
      <c r="L69" s="268"/>
      <c r="M69" s="268"/>
      <c r="N69" s="268"/>
      <c r="O69" s="268"/>
      <c r="P69" s="268"/>
      <c r="Q69" s="268"/>
      <c r="R69" s="268"/>
      <c r="S69" s="268"/>
      <c r="T69" s="268"/>
      <c r="U69" s="249"/>
    </row>
    <row r="70" spans="1:21" ht="10.5" hidden="1" outlineLevel="1" collapsed="1">
      <c r="A70" s="227" t="s">
        <v>285</v>
      </c>
      <c r="B70" s="253">
        <f>SUM(B67:B69)</f>
        <v>356171.1</v>
      </c>
      <c r="C70" s="264"/>
      <c r="D70" s="264"/>
      <c r="E70" s="264"/>
      <c r="F70" s="264"/>
      <c r="G70" s="264"/>
      <c r="H70" s="267"/>
      <c r="I70" s="268"/>
      <c r="J70" s="268"/>
      <c r="K70" s="268"/>
      <c r="L70" s="268"/>
      <c r="M70" s="268"/>
      <c r="N70" s="268"/>
      <c r="O70" s="268"/>
      <c r="P70" s="268"/>
      <c r="Q70" s="268"/>
      <c r="R70" s="268"/>
      <c r="S70" s="268"/>
      <c r="T70" s="268"/>
      <c r="U70" s="249"/>
    </row>
    <row r="71" spans="1:21" ht="10.5" hidden="1" outlineLevel="2">
      <c r="A71" s="98" t="s">
        <v>272</v>
      </c>
      <c r="B71" s="249"/>
      <c r="C71" s="264">
        <v>175723</v>
      </c>
      <c r="D71" s="264">
        <v>170716.94</v>
      </c>
      <c r="E71" s="264">
        <v>165030.12</v>
      </c>
      <c r="F71" s="264">
        <f>42090</f>
        <v>42090</v>
      </c>
      <c r="G71" s="264">
        <v>22582</v>
      </c>
      <c r="H71" s="267">
        <v>41655.86</v>
      </c>
      <c r="I71" s="268">
        <v>12429.46</v>
      </c>
      <c r="J71" s="268">
        <v>26551</v>
      </c>
      <c r="K71" s="268">
        <v>6734</v>
      </c>
      <c r="L71" s="268">
        <v>68484</v>
      </c>
      <c r="M71" s="268">
        <v>3294</v>
      </c>
      <c r="N71" s="268">
        <v>5632.82</v>
      </c>
      <c r="O71" s="268">
        <v>23181.75</v>
      </c>
      <c r="P71" s="268">
        <v>22439</v>
      </c>
      <c r="Q71" s="268">
        <v>41195</v>
      </c>
      <c r="R71" s="268">
        <v>9916</v>
      </c>
      <c r="S71" s="268">
        <v>15980</v>
      </c>
      <c r="T71" s="268">
        <f>16964+60264</f>
        <v>77228</v>
      </c>
      <c r="U71" s="249"/>
    </row>
    <row r="72" spans="1:21" ht="10.5" hidden="1" outlineLevel="2">
      <c r="A72" s="98" t="s">
        <v>273</v>
      </c>
      <c r="B72" s="249"/>
      <c r="C72" s="264">
        <f>2022+32827</f>
        <v>34849</v>
      </c>
      <c r="D72" s="264">
        <f>1720.15+14517.79</f>
        <v>16237.94</v>
      </c>
      <c r="E72" s="264">
        <v>52.51</v>
      </c>
      <c r="F72" s="264">
        <f>551+5611</f>
        <v>6162</v>
      </c>
      <c r="G72" s="264">
        <f>460+3780</f>
        <v>4240</v>
      </c>
      <c r="H72" s="267">
        <f>2675+12462.8</f>
        <v>15137.8</v>
      </c>
      <c r="I72" s="268">
        <v>1.73</v>
      </c>
      <c r="J72" s="268">
        <f>3702+4140</f>
        <v>7842</v>
      </c>
      <c r="K72" s="268">
        <f>2372+3470</f>
        <v>5842</v>
      </c>
      <c r="L72" s="268">
        <v>8640</v>
      </c>
      <c r="M72" s="268"/>
      <c r="N72" s="268">
        <f>87.37+30</f>
        <v>117.37</v>
      </c>
      <c r="O72" s="268">
        <v>29.91</v>
      </c>
      <c r="P72" s="268">
        <f>3936</f>
        <v>3936</v>
      </c>
      <c r="Q72" s="268">
        <f>77+5815</f>
        <v>5892</v>
      </c>
      <c r="R72" s="268"/>
      <c r="S72" s="268">
        <v>3524</v>
      </c>
      <c r="T72" s="268">
        <f>383+1715</f>
        <v>2098</v>
      </c>
      <c r="U72" s="249"/>
    </row>
    <row r="73" spans="1:21" ht="10.5" hidden="1" outlineLevel="1" collapsed="1">
      <c r="A73" s="227" t="s">
        <v>274</v>
      </c>
      <c r="B73" s="249"/>
      <c r="C73" s="265">
        <f>SUM(C71:C72)</f>
        <v>210572</v>
      </c>
      <c r="D73" s="265">
        <f aca="true" t="shared" si="3" ref="D73:T73">SUM(D71:D72)</f>
        <v>186954.88</v>
      </c>
      <c r="E73" s="265">
        <f t="shared" si="3"/>
        <v>165082.63</v>
      </c>
      <c r="F73" s="265">
        <f t="shared" si="3"/>
        <v>48252</v>
      </c>
      <c r="G73" s="265">
        <f t="shared" si="3"/>
        <v>26822</v>
      </c>
      <c r="H73" s="270">
        <f t="shared" si="3"/>
        <v>56793.66</v>
      </c>
      <c r="I73" s="270">
        <f t="shared" si="3"/>
        <v>12431.189999999999</v>
      </c>
      <c r="J73" s="270">
        <f t="shared" si="3"/>
        <v>34393</v>
      </c>
      <c r="K73" s="270">
        <f t="shared" si="3"/>
        <v>12576</v>
      </c>
      <c r="L73" s="270">
        <f t="shared" si="3"/>
        <v>77124</v>
      </c>
      <c r="M73" s="270">
        <f t="shared" si="3"/>
        <v>3294</v>
      </c>
      <c r="N73" s="270">
        <f t="shared" si="3"/>
        <v>5750.19</v>
      </c>
      <c r="O73" s="270">
        <f t="shared" si="3"/>
        <v>23211.66</v>
      </c>
      <c r="P73" s="270">
        <f t="shared" si="3"/>
        <v>26375</v>
      </c>
      <c r="Q73" s="270">
        <f t="shared" si="3"/>
        <v>47087</v>
      </c>
      <c r="R73" s="270">
        <f t="shared" si="3"/>
        <v>9916</v>
      </c>
      <c r="S73" s="270">
        <f t="shared" si="3"/>
        <v>19504</v>
      </c>
      <c r="T73" s="270">
        <f t="shared" si="3"/>
        <v>79326</v>
      </c>
      <c r="U73" s="249"/>
    </row>
    <row r="74" spans="1:21" ht="10.5" hidden="1" outlineLevel="1">
      <c r="A74" s="227" t="s">
        <v>275</v>
      </c>
      <c r="B74" s="249"/>
      <c r="C74" s="265">
        <v>30807</v>
      </c>
      <c r="D74" s="265">
        <v>14336.6</v>
      </c>
      <c r="E74" s="265">
        <v>1464</v>
      </c>
      <c r="F74" s="265">
        <f>7083</f>
        <v>7083</v>
      </c>
      <c r="G74" s="265">
        <v>5969</v>
      </c>
      <c r="H74" s="270">
        <v>2464.28</v>
      </c>
      <c r="I74" s="271">
        <f>338.88</f>
        <v>338.88</v>
      </c>
      <c r="J74" s="271">
        <v>8458</v>
      </c>
      <c r="K74" s="271">
        <v>388</v>
      </c>
      <c r="L74" s="271">
        <v>207</v>
      </c>
      <c r="M74" s="271">
        <v>188</v>
      </c>
      <c r="N74" s="271">
        <v>50</v>
      </c>
      <c r="O74" s="271"/>
      <c r="P74" s="271">
        <f>926</f>
        <v>926</v>
      </c>
      <c r="Q74" s="271">
        <v>3540</v>
      </c>
      <c r="R74" s="271">
        <v>895</v>
      </c>
      <c r="S74" s="271">
        <v>1799</v>
      </c>
      <c r="T74" s="271">
        <v>3930</v>
      </c>
      <c r="U74" s="249"/>
    </row>
    <row r="75" spans="1:21" ht="10.5" hidden="1" outlineLevel="2">
      <c r="A75" s="98" t="s">
        <v>276</v>
      </c>
      <c r="B75" s="249"/>
      <c r="C75" s="264">
        <v>1662908</v>
      </c>
      <c r="D75" s="264">
        <v>1625345.31</v>
      </c>
      <c r="E75" s="264">
        <v>858888.88</v>
      </c>
      <c r="F75" s="264">
        <f>444772</f>
        <v>444772</v>
      </c>
      <c r="G75" s="264">
        <v>232218</v>
      </c>
      <c r="H75" s="267">
        <v>632086.42</v>
      </c>
      <c r="I75" s="268">
        <v>97582.73</v>
      </c>
      <c r="J75" s="268">
        <v>252973</v>
      </c>
      <c r="K75" s="268">
        <v>67706</v>
      </c>
      <c r="L75" s="268">
        <v>608361</v>
      </c>
      <c r="M75" s="268">
        <v>31235</v>
      </c>
      <c r="N75" s="268">
        <v>57530.65</v>
      </c>
      <c r="O75" s="268">
        <v>160621.25</v>
      </c>
      <c r="P75" s="268">
        <v>213508</v>
      </c>
      <c r="Q75" s="268">
        <v>566568</v>
      </c>
      <c r="R75" s="268">
        <v>99734</v>
      </c>
      <c r="S75" s="268">
        <v>178567</v>
      </c>
      <c r="T75" s="268">
        <f>110230+679781</f>
        <v>790011</v>
      </c>
      <c r="U75" s="249"/>
    </row>
    <row r="76" spans="1:21" ht="10.5" hidden="1" outlineLevel="2">
      <c r="A76" s="98" t="s">
        <v>277</v>
      </c>
      <c r="B76" s="249"/>
      <c r="C76" s="264">
        <f>16328+320881</f>
        <v>337209</v>
      </c>
      <c r="D76" s="264">
        <f>8598.23+139388.06</f>
        <v>147986.29</v>
      </c>
      <c r="E76" s="264">
        <v>955.49</v>
      </c>
      <c r="F76" s="264">
        <f>748+19014</f>
        <v>19762</v>
      </c>
      <c r="G76" s="264">
        <f>4015+53335</f>
        <v>57350</v>
      </c>
      <c r="H76" s="267">
        <f>25661+169972.13</f>
        <v>195633.13</v>
      </c>
      <c r="I76" s="268">
        <f>-5.32+10263.95</f>
        <v>10258.630000000001</v>
      </c>
      <c r="J76" s="268">
        <f>3777+48058</f>
        <v>51835</v>
      </c>
      <c r="K76" s="268">
        <f>5706+39776</f>
        <v>45482</v>
      </c>
      <c r="L76" s="268">
        <f>23817+99360</f>
        <v>123177</v>
      </c>
      <c r="M76" s="268"/>
      <c r="N76" s="268">
        <f>582.84+505.04</f>
        <v>1087.88</v>
      </c>
      <c r="O76" s="268">
        <v>554.09</v>
      </c>
      <c r="P76" s="268">
        <f>1843+9075</f>
        <v>10918</v>
      </c>
      <c r="Q76" s="268">
        <f>643+33769</f>
        <v>34412</v>
      </c>
      <c r="R76" s="268"/>
      <c r="S76" s="268">
        <v>53764</v>
      </c>
      <c r="T76" s="268">
        <f>914+1430</f>
        <v>2344</v>
      </c>
      <c r="U76" s="249"/>
    </row>
    <row r="77" spans="1:21" ht="10.5" hidden="1" outlineLevel="1" collapsed="1">
      <c r="A77" s="227" t="s">
        <v>278</v>
      </c>
      <c r="B77" s="249"/>
      <c r="C77" s="265">
        <f>SUM(C75:C76)</f>
        <v>2000117</v>
      </c>
      <c r="D77" s="265">
        <f aca="true" t="shared" si="4" ref="D77:T77">SUM(D75:D76)</f>
        <v>1773331.6</v>
      </c>
      <c r="E77" s="265">
        <f t="shared" si="4"/>
        <v>859844.37</v>
      </c>
      <c r="F77" s="265">
        <f t="shared" si="4"/>
        <v>464534</v>
      </c>
      <c r="G77" s="265">
        <f t="shared" si="4"/>
        <v>289568</v>
      </c>
      <c r="H77" s="270">
        <f t="shared" si="4"/>
        <v>827719.55</v>
      </c>
      <c r="I77" s="270">
        <f t="shared" si="4"/>
        <v>107841.36</v>
      </c>
      <c r="J77" s="270">
        <f t="shared" si="4"/>
        <v>304808</v>
      </c>
      <c r="K77" s="270">
        <f t="shared" si="4"/>
        <v>113188</v>
      </c>
      <c r="L77" s="270">
        <f t="shared" si="4"/>
        <v>731538</v>
      </c>
      <c r="M77" s="270">
        <f t="shared" si="4"/>
        <v>31235</v>
      </c>
      <c r="N77" s="270">
        <f t="shared" si="4"/>
        <v>58618.53</v>
      </c>
      <c r="O77" s="270">
        <f t="shared" si="4"/>
        <v>161175.34</v>
      </c>
      <c r="P77" s="270">
        <f t="shared" si="4"/>
        <v>224426</v>
      </c>
      <c r="Q77" s="270">
        <f t="shared" si="4"/>
        <v>600980</v>
      </c>
      <c r="R77" s="270">
        <f t="shared" si="4"/>
        <v>99734</v>
      </c>
      <c r="S77" s="270">
        <f t="shared" si="4"/>
        <v>232331</v>
      </c>
      <c r="T77" s="270">
        <f t="shared" si="4"/>
        <v>792355</v>
      </c>
      <c r="U77" s="249"/>
    </row>
    <row r="78" spans="2:21" ht="10.5" hidden="1" outlineLevel="1">
      <c r="B78" s="249"/>
      <c r="C78" s="264"/>
      <c r="D78" s="264"/>
      <c r="E78" s="264"/>
      <c r="F78" s="264"/>
      <c r="G78" s="264"/>
      <c r="H78" s="267"/>
      <c r="I78" s="268"/>
      <c r="J78" s="268"/>
      <c r="K78" s="268"/>
      <c r="L78" s="268"/>
      <c r="M78" s="268"/>
      <c r="N78" s="268"/>
      <c r="O78" s="268"/>
      <c r="P78" s="268"/>
      <c r="Q78" s="268"/>
      <c r="R78" s="268"/>
      <c r="S78" s="268"/>
      <c r="T78" s="268"/>
      <c r="U78" s="249"/>
    </row>
    <row r="79" spans="2:21" ht="10.5" hidden="1" outlineLevel="1">
      <c r="B79" s="249"/>
      <c r="C79" s="264"/>
      <c r="D79" s="264"/>
      <c r="E79" s="264"/>
      <c r="F79" s="264"/>
      <c r="G79" s="264"/>
      <c r="H79" s="267"/>
      <c r="I79" s="268"/>
      <c r="J79" s="268"/>
      <c r="K79" s="268"/>
      <c r="L79" s="268"/>
      <c r="M79" s="268"/>
      <c r="N79" s="268"/>
      <c r="O79" s="268"/>
      <c r="P79" s="268"/>
      <c r="Q79" s="268"/>
      <c r="R79" s="268"/>
      <c r="S79" s="268"/>
      <c r="T79" s="268"/>
      <c r="U79" s="249"/>
    </row>
    <row r="80" spans="1:21" ht="10.5" collapsed="1">
      <c r="A80" s="227" t="s">
        <v>288</v>
      </c>
      <c r="B80" s="253">
        <f>B66++B70+B73+B74+B77</f>
        <v>774151.02</v>
      </c>
      <c r="C80" s="265">
        <f>C66++C70+C73+C74+C77</f>
        <v>2241496</v>
      </c>
      <c r="D80" s="265">
        <f aca="true" t="shared" si="5" ref="D80:T80">D66++D70+D73+D74+D77</f>
        <v>1974623.08</v>
      </c>
      <c r="E80" s="265">
        <f t="shared" si="5"/>
        <v>1026391</v>
      </c>
      <c r="F80" s="265">
        <f t="shared" si="5"/>
        <v>519869</v>
      </c>
      <c r="G80" s="265">
        <f t="shared" si="5"/>
        <v>322359</v>
      </c>
      <c r="H80" s="270">
        <f t="shared" si="5"/>
        <v>886977.49</v>
      </c>
      <c r="I80" s="270">
        <f t="shared" si="5"/>
        <v>120611.43</v>
      </c>
      <c r="J80" s="270">
        <f t="shared" si="5"/>
        <v>347659</v>
      </c>
      <c r="K80" s="270">
        <f t="shared" si="5"/>
        <v>126152</v>
      </c>
      <c r="L80" s="270">
        <f t="shared" si="5"/>
        <v>808869</v>
      </c>
      <c r="M80" s="270">
        <f t="shared" si="5"/>
        <v>34717</v>
      </c>
      <c r="N80" s="270">
        <f t="shared" si="5"/>
        <v>64418.72</v>
      </c>
      <c r="O80" s="270">
        <f t="shared" si="5"/>
        <v>184387</v>
      </c>
      <c r="P80" s="270">
        <f t="shared" si="5"/>
        <v>251727</v>
      </c>
      <c r="Q80" s="270">
        <f t="shared" si="5"/>
        <v>651607</v>
      </c>
      <c r="R80" s="270">
        <f t="shared" si="5"/>
        <v>110545</v>
      </c>
      <c r="S80" s="270">
        <f t="shared" si="5"/>
        <v>253634</v>
      </c>
      <c r="T80" s="270">
        <f t="shared" si="5"/>
        <v>875611</v>
      </c>
      <c r="U80" s="273">
        <f>SUM(B80:T80)</f>
        <v>11575804.74</v>
      </c>
    </row>
    <row r="81" spans="1:21" ht="10.5">
      <c r="A81" s="227"/>
      <c r="B81" s="249"/>
      <c r="C81" s="264"/>
      <c r="D81" s="264"/>
      <c r="E81" s="264"/>
      <c r="F81" s="264"/>
      <c r="G81" s="264"/>
      <c r="H81" s="267"/>
      <c r="I81" s="268"/>
      <c r="J81" s="268"/>
      <c r="K81" s="268"/>
      <c r="L81" s="268"/>
      <c r="M81" s="268"/>
      <c r="N81" s="268"/>
      <c r="O81" s="268"/>
      <c r="P81" s="268"/>
      <c r="Q81" s="268"/>
      <c r="R81" s="268"/>
      <c r="S81" s="268"/>
      <c r="T81" s="268"/>
      <c r="U81" s="249"/>
    </row>
    <row r="82" spans="1:21" ht="10.5">
      <c r="A82" s="227" t="s">
        <v>308</v>
      </c>
      <c r="B82" s="249"/>
      <c r="C82" s="264"/>
      <c r="D82" s="264"/>
      <c r="E82" s="264"/>
      <c r="F82" s="264"/>
      <c r="G82" s="264"/>
      <c r="H82" s="267"/>
      <c r="I82" s="268"/>
      <c r="J82" s="268"/>
      <c r="K82" s="268"/>
      <c r="L82" s="268"/>
      <c r="M82" s="268"/>
      <c r="N82" s="268"/>
      <c r="O82" s="268"/>
      <c r="P82" s="268"/>
      <c r="Q82" s="268"/>
      <c r="R82" s="268"/>
      <c r="S82" s="268"/>
      <c r="T82" s="268"/>
      <c r="U82" s="253">
        <f>U53+U60+U62-U80</f>
        <v>9265255.76</v>
      </c>
    </row>
    <row r="83" spans="2:21" ht="10.5">
      <c r="B83" s="249"/>
      <c r="C83" s="264"/>
      <c r="D83" s="264"/>
      <c r="E83" s="264"/>
      <c r="F83" s="264"/>
      <c r="G83" s="264"/>
      <c r="H83" s="267"/>
      <c r="I83" s="268"/>
      <c r="J83" s="268"/>
      <c r="K83" s="268"/>
      <c r="L83" s="268"/>
      <c r="M83" s="268"/>
      <c r="N83" s="268"/>
      <c r="O83" s="268"/>
      <c r="P83" s="268"/>
      <c r="Q83" s="268"/>
      <c r="R83" s="268"/>
      <c r="S83" s="268"/>
      <c r="T83" s="268"/>
      <c r="U83" s="249"/>
    </row>
    <row r="84" spans="1:21" ht="10.5">
      <c r="A84" s="227" t="s">
        <v>309</v>
      </c>
      <c r="B84" s="253">
        <f>'Obligations 11-13 at 6-30-13'!P69+'Obligations 11-13 at 6-30-13'!P166</f>
        <v>945.01</v>
      </c>
      <c r="C84" s="265">
        <f>'Obligations 11-13 at 6-30-13'!P45+'Obligations 11-13 at 6-30-13'!P55+'Obligations 11-13 at 6-30-13'!P141+'Obligations 11-13 at 6-30-13'!P152+'Obligations 11-13 at 6-30-13'!P177</f>
        <v>799313</v>
      </c>
      <c r="D84" s="265">
        <f>'Obligations 11-13 at 6-30-13'!P46+'Obligations 11-13 at 6-30-13'!P56+'Obligations 11-13 at 6-30-13'!P143+'Obligations 11-13 at 6-30-13'!P153+'Obligations 11-13 at 6-30-13'!P178</f>
        <v>238303.87</v>
      </c>
      <c r="E84" s="265">
        <f>'Obligations 11-13 at 6-30-13'!P47+'Obligations 11-13 at 6-30-13'!P57+'Obligations 11-13 at 6-30-13'!P144+'Obligations 11-13 at 6-30-13'!P154+'Obligations 11-13 at 6-30-13'!P179</f>
        <v>2482270</v>
      </c>
      <c r="F84" s="265">
        <f>'Obligations 11-13 at 6-30-13'!P48+'Obligations 11-13 at 6-30-13'!P58+'Obligations 11-13 at 6-30-13'!P145+'Obligations 11-13 at 6-30-13'!P155+'Obligations 11-13 at 6-30-13'!P180</f>
        <v>1021910</v>
      </c>
      <c r="G84" s="265">
        <f>'Obligations 11-13 at 6-30-13'!P49+'Obligations 11-13 at 6-30-13'!P59+'Obligations 11-13 at 6-30-13'!P146+'Obligations 11-13 at 6-30-13'!P156+'Obligations 11-13 at 6-30-13'!P181</f>
        <v>59720</v>
      </c>
      <c r="H84" s="270">
        <f>'Obligations 11-13 at 6-30-13'!P9+'Obligations 11-13 at 6-30-13'!P25+'Obligations 11-13 at 6-30-13'!P79+'Obligations 11-13 at 6-30-13'!P101+'Obligations 11-13 at 6-30-13'!P119</f>
        <v>433612.51</v>
      </c>
      <c r="I84" s="271">
        <f>'Obligations 11-13 at 6-30-13'!P10+'Obligations 11-13 at 6-30-13'!P26+'Obligations 11-13 at 6-30-13'!P80+'Obligations 11-13 at 6-30-13'!P102+'Obligations 11-13 at 6-30-13'!P120</f>
        <v>119720.24</v>
      </c>
      <c r="J84" s="271">
        <f>'Obligations 11-13 at 6-30-13'!P11+'Obligations 11-13 at 6-30-13'!P27+'Obligations 11-13 at 6-30-13'!P81+'Obligations 11-13 at 6-30-13'!P103+'Obligations 11-13 at 6-30-13'!P121</f>
        <v>40929</v>
      </c>
      <c r="K84" s="271">
        <f>'Obligations 11-13 at 6-30-13'!P12+'Obligations 11-13 at 6-30-13'!P28+'Obligations 11-13 at 6-30-13'!P82+'Obligations 11-13 at 6-30-13'!P104+'Obligations 11-13 at 6-30-13'!P122</f>
        <v>26442</v>
      </c>
      <c r="L84" s="271">
        <f>'Obligations 11-13 at 6-30-13'!P13+'Obligations 11-13 at 6-30-13'!P29+'Obligations 11-13 at 6-30-13'!P83+'Obligations 11-13 at 6-30-13'!P105+'Obligations 11-13 at 6-30-13'!P123</f>
        <v>201139</v>
      </c>
      <c r="M84" s="271">
        <f>'Obligations 11-13 at 6-30-13'!P84+'Obligations 11-13 at 6-30-13'!P106+'Obligations 11-13 at 6-30-13'!P124</f>
        <v>40576</v>
      </c>
      <c r="N84" s="271">
        <f>'Obligations 11-13 at 6-30-13'!P14+'Obligations 11-13 at 6-30-13'!P30+'Obligations 11-13 at 6-30-13'!P85+'Obligations 11-13 at 6-30-13'!P107+'Obligations 11-13 at 6-30-13'!P125</f>
        <v>14211.9</v>
      </c>
      <c r="O84" s="271">
        <f>'Obligations 11-13 at 6-30-13'!P15+'Obligations 11-13 at 6-30-13'!P31+'Obligations 11-13 at 6-30-13'!P86+'Obligations 11-13 at 6-30-13'!P108+'Obligations 11-13 at 6-30-13'!P126</f>
        <v>628880</v>
      </c>
      <c r="P84" s="271">
        <f>'Obligations 11-13 at 6-30-13'!P16+'Obligations 11-13 at 6-30-13'!P32+'Obligations 11-13 at 6-30-13'!P87+'Obligations 11-13 at 6-30-13'!P109+'Obligations 11-13 at 6-30-13'!P127</f>
        <v>196713</v>
      </c>
      <c r="Q84" s="271">
        <f>'Obligations 11-13 at 6-30-13'!P17+'Obligations 11-13 at 6-30-13'!P33+'Obligations 11-13 at 6-30-13'!P88+'Obligations 11-13 at 6-30-13'!P110+'Obligations 11-13 at 6-30-13'!P128</f>
        <v>195962</v>
      </c>
      <c r="R84" s="271">
        <f>'Obligations 11-13 at 6-30-13'!P89+'Obligations 11-13 at 6-30-13'!P111+'Obligations 11-13 at 6-30-13'!P129</f>
        <v>259308</v>
      </c>
      <c r="S84" s="271">
        <f>'Obligations 11-13 at 6-30-13'!P18+'Obligations 11-13 at 6-30-13'!P34+'Obligations 11-13 at 6-30-13'!P90+'Obligations 11-13 at 6-30-13'!P112+'Obligations 11-13 at 6-30-13'!P130</f>
        <v>53261</v>
      </c>
      <c r="T84" s="271">
        <f>'Obligations 11-13 at 6-30-13'!P19+'Obligations 11-13 at 6-30-13'!P35+'Obligations 11-13 at 6-30-13'!P91+'Obligations 11-13 at 6-30-13'!P113+'Obligations 11-13 at 6-30-13'!P131</f>
        <v>52375</v>
      </c>
      <c r="U84" s="253">
        <f>SUM(B84:T84)</f>
        <v>6865591.53</v>
      </c>
    </row>
    <row r="85" spans="2:21" ht="10.5">
      <c r="B85" s="249"/>
      <c r="C85" s="264"/>
      <c r="D85" s="264"/>
      <c r="E85" s="264"/>
      <c r="F85" s="264"/>
      <c r="G85" s="264"/>
      <c r="H85" s="267"/>
      <c r="I85" s="268"/>
      <c r="J85" s="268"/>
      <c r="K85" s="268"/>
      <c r="L85" s="268"/>
      <c r="M85" s="268"/>
      <c r="N85" s="268"/>
      <c r="O85" s="268"/>
      <c r="P85" s="268"/>
      <c r="Q85" s="268"/>
      <c r="R85" s="268"/>
      <c r="S85" s="268"/>
      <c r="T85" s="268"/>
      <c r="U85" s="249"/>
    </row>
    <row r="86" spans="1:21" ht="11.25" thickBot="1">
      <c r="A86" s="227" t="s">
        <v>310</v>
      </c>
      <c r="B86" s="248"/>
      <c r="C86" s="275"/>
      <c r="D86" s="275"/>
      <c r="E86" s="275"/>
      <c r="F86" s="275"/>
      <c r="G86" s="275"/>
      <c r="H86" s="276"/>
      <c r="I86" s="188"/>
      <c r="J86" s="188"/>
      <c r="K86" s="188"/>
      <c r="L86" s="188"/>
      <c r="M86" s="188"/>
      <c r="N86" s="188"/>
      <c r="O86" s="188"/>
      <c r="P86" s="188"/>
      <c r="Q86" s="188"/>
      <c r="R86" s="188"/>
      <c r="S86" s="188"/>
      <c r="T86" s="188"/>
      <c r="U86" s="272">
        <f>U82-U84</f>
        <v>2399664.2299999995</v>
      </c>
    </row>
    <row r="87" spans="1:21" ht="11.25" thickTop="1">
      <c r="A87" s="227"/>
      <c r="B87" s="223"/>
      <c r="C87" s="228"/>
      <c r="D87" s="228"/>
      <c r="E87" s="228"/>
      <c r="F87" s="228"/>
      <c r="G87" s="228"/>
      <c r="H87" s="247"/>
      <c r="I87" s="274"/>
      <c r="J87" s="274"/>
      <c r="K87" s="274"/>
      <c r="L87" s="274"/>
      <c r="M87" s="274"/>
      <c r="N87" s="274"/>
      <c r="O87" s="274"/>
      <c r="P87" s="274"/>
      <c r="Q87" s="274"/>
      <c r="R87" s="274"/>
      <c r="S87" s="274"/>
      <c r="T87" s="274"/>
      <c r="U87" s="223"/>
    </row>
    <row r="88" spans="1:21" ht="10.5">
      <c r="A88" s="160"/>
      <c r="B88" s="223"/>
      <c r="C88" s="228"/>
      <c r="D88" s="228"/>
      <c r="E88" s="228"/>
      <c r="F88" s="228"/>
      <c r="G88" s="228"/>
      <c r="H88" s="247"/>
      <c r="I88" s="274"/>
      <c r="J88" s="274"/>
      <c r="K88" s="274"/>
      <c r="L88" s="274"/>
      <c r="M88" s="274"/>
      <c r="N88" s="274"/>
      <c r="O88" s="274"/>
      <c r="P88" s="274"/>
      <c r="Q88" s="274"/>
      <c r="R88" s="274"/>
      <c r="S88" s="274"/>
      <c r="T88" s="274"/>
      <c r="U88" s="223"/>
    </row>
    <row r="89" spans="1:21" ht="12.75">
      <c r="A89" s="285" t="s">
        <v>313</v>
      </c>
      <c r="B89" s="223"/>
      <c r="C89" s="580" t="s">
        <v>267</v>
      </c>
      <c r="D89" s="580"/>
      <c r="E89" s="580"/>
      <c r="F89" s="580"/>
      <c r="G89" s="580"/>
      <c r="H89" s="583" t="s">
        <v>286</v>
      </c>
      <c r="I89" s="583"/>
      <c r="J89" s="583"/>
      <c r="K89" s="583"/>
      <c r="L89" s="583"/>
      <c r="M89" s="583"/>
      <c r="N89" s="583"/>
      <c r="O89" s="583"/>
      <c r="P89" s="583"/>
      <c r="Q89" s="583"/>
      <c r="R89" s="583"/>
      <c r="S89" s="583"/>
      <c r="T89" s="583"/>
      <c r="U89" s="223"/>
    </row>
    <row r="90" spans="2:20" ht="10.5">
      <c r="B90" s="277" t="s">
        <v>13</v>
      </c>
      <c r="C90" s="278" t="s">
        <v>36</v>
      </c>
      <c r="D90" s="278" t="s">
        <v>37</v>
      </c>
      <c r="E90" s="278" t="s">
        <v>31</v>
      </c>
      <c r="F90" s="278" t="s">
        <v>32</v>
      </c>
      <c r="G90" s="278" t="s">
        <v>38</v>
      </c>
      <c r="H90" s="279" t="s">
        <v>25</v>
      </c>
      <c r="I90" s="279" t="s">
        <v>26</v>
      </c>
      <c r="J90" s="279" t="s">
        <v>27</v>
      </c>
      <c r="K90" s="279" t="s">
        <v>28</v>
      </c>
      <c r="L90" s="279" t="s">
        <v>29</v>
      </c>
      <c r="M90" s="279" t="s">
        <v>40</v>
      </c>
      <c r="N90" s="279" t="s">
        <v>30</v>
      </c>
      <c r="O90" s="279" t="s">
        <v>31</v>
      </c>
      <c r="P90" s="279" t="s">
        <v>32</v>
      </c>
      <c r="Q90" s="279" t="s">
        <v>33</v>
      </c>
      <c r="R90" s="279" t="s">
        <v>41</v>
      </c>
      <c r="S90" s="279" t="s">
        <v>34</v>
      </c>
      <c r="T90" s="279" t="s">
        <v>35</v>
      </c>
    </row>
    <row r="91" spans="2:21" ht="31.5">
      <c r="B91" s="254"/>
      <c r="C91" s="282" t="s">
        <v>290</v>
      </c>
      <c r="D91" s="282" t="s">
        <v>289</v>
      </c>
      <c r="E91" s="282" t="s">
        <v>291</v>
      </c>
      <c r="F91" s="282" t="s">
        <v>292</v>
      </c>
      <c r="G91" s="282" t="s">
        <v>293</v>
      </c>
      <c r="H91" s="283" t="s">
        <v>294</v>
      </c>
      <c r="I91" s="283" t="s">
        <v>303</v>
      </c>
      <c r="J91" s="283" t="s">
        <v>300</v>
      </c>
      <c r="K91" s="283" t="s">
        <v>301</v>
      </c>
      <c r="L91" s="283" t="s">
        <v>295</v>
      </c>
      <c r="M91" s="283" t="s">
        <v>296</v>
      </c>
      <c r="N91" s="283" t="s">
        <v>302</v>
      </c>
      <c r="O91" s="283" t="s">
        <v>291</v>
      </c>
      <c r="P91" s="283" t="s">
        <v>292</v>
      </c>
      <c r="Q91" s="283" t="s">
        <v>304</v>
      </c>
      <c r="R91" s="283" t="s">
        <v>297</v>
      </c>
      <c r="S91" s="283" t="s">
        <v>298</v>
      </c>
      <c r="T91" s="283" t="s">
        <v>299</v>
      </c>
      <c r="U91" s="277" t="s">
        <v>118</v>
      </c>
    </row>
    <row r="92" spans="2:21" ht="10.5">
      <c r="B92" s="223"/>
      <c r="C92" s="278"/>
      <c r="D92" s="278"/>
      <c r="E92" s="278"/>
      <c r="F92" s="278"/>
      <c r="G92" s="278"/>
      <c r="H92" s="279"/>
      <c r="I92" s="279"/>
      <c r="J92" s="279"/>
      <c r="K92" s="279"/>
      <c r="L92" s="279"/>
      <c r="M92" s="279"/>
      <c r="N92" s="279"/>
      <c r="O92" s="279"/>
      <c r="P92" s="279"/>
      <c r="Q92" s="279"/>
      <c r="R92" s="279"/>
      <c r="S92" s="279"/>
      <c r="T92" s="279"/>
      <c r="U92" s="277"/>
    </row>
    <row r="93" spans="1:21" ht="10.5">
      <c r="A93" s="227" t="s">
        <v>282</v>
      </c>
      <c r="B93" s="249"/>
      <c r="C93" s="264"/>
      <c r="D93" s="264"/>
      <c r="E93" s="264"/>
      <c r="F93" s="264"/>
      <c r="G93" s="264"/>
      <c r="H93" s="267"/>
      <c r="I93" s="268"/>
      <c r="J93" s="268"/>
      <c r="K93" s="268"/>
      <c r="L93" s="268"/>
      <c r="M93" s="268"/>
      <c r="N93" s="268"/>
      <c r="O93" s="268"/>
      <c r="P93" s="268"/>
      <c r="Q93" s="268"/>
      <c r="R93" s="268"/>
      <c r="S93" s="268"/>
      <c r="T93" s="268"/>
      <c r="U93" s="253">
        <f>7303.85+191107.05+280599.83+427260.38+5237111.44+2546122.23+293700+282050.98</f>
        <v>9265255.760000002</v>
      </c>
    </row>
    <row r="94" spans="1:21" ht="10.5">
      <c r="A94" s="160"/>
      <c r="B94" s="249"/>
      <c r="C94" s="264"/>
      <c r="D94" s="264"/>
      <c r="E94" s="264"/>
      <c r="F94" s="264"/>
      <c r="G94" s="264"/>
      <c r="H94" s="267"/>
      <c r="I94" s="268"/>
      <c r="J94" s="268"/>
      <c r="K94" s="268"/>
      <c r="L94" s="268"/>
      <c r="M94" s="268"/>
      <c r="N94" s="268"/>
      <c r="O94" s="268"/>
      <c r="P94" s="268"/>
      <c r="Q94" s="268"/>
      <c r="R94" s="268"/>
      <c r="S94" s="268"/>
      <c r="T94" s="268"/>
      <c r="U94" s="249"/>
    </row>
    <row r="95" spans="1:21" ht="10.5">
      <c r="A95" s="160" t="s">
        <v>200</v>
      </c>
      <c r="B95" s="249"/>
      <c r="C95" s="264"/>
      <c r="D95" s="264"/>
      <c r="E95" s="264"/>
      <c r="F95" s="264"/>
      <c r="G95" s="264"/>
      <c r="H95" s="267"/>
      <c r="I95" s="268"/>
      <c r="J95" s="268"/>
      <c r="K95" s="268"/>
      <c r="L95" s="268"/>
      <c r="M95" s="268"/>
      <c r="N95" s="268"/>
      <c r="O95" s="268"/>
      <c r="P95" s="268"/>
      <c r="Q95" s="268"/>
      <c r="R95" s="268"/>
      <c r="S95" s="268"/>
      <c r="T95" s="268"/>
      <c r="U95" s="249"/>
    </row>
    <row r="96" spans="1:21" ht="10.5" outlineLevel="1">
      <c r="A96" s="160" t="s">
        <v>279</v>
      </c>
      <c r="B96" s="249"/>
      <c r="C96" s="264"/>
      <c r="D96" s="264"/>
      <c r="E96" s="264"/>
      <c r="F96" s="264"/>
      <c r="G96" s="264"/>
      <c r="H96" s="267"/>
      <c r="I96" s="268"/>
      <c r="J96" s="268"/>
      <c r="K96" s="268"/>
      <c r="L96" s="268"/>
      <c r="M96" s="268"/>
      <c r="N96" s="268"/>
      <c r="O96" s="268"/>
      <c r="P96" s="268"/>
      <c r="Q96" s="268"/>
      <c r="R96" s="268"/>
      <c r="S96" s="268"/>
      <c r="T96" s="268"/>
      <c r="U96" s="249">
        <f>7351445.78</f>
        <v>7351445.78</v>
      </c>
    </row>
    <row r="97" spans="1:21" ht="10.5" outlineLevel="1">
      <c r="A97" s="160" t="s">
        <v>305</v>
      </c>
      <c r="B97" s="249"/>
      <c r="C97" s="264"/>
      <c r="D97" s="264"/>
      <c r="E97" s="264"/>
      <c r="F97" s="264"/>
      <c r="G97" s="264"/>
      <c r="H97" s="267"/>
      <c r="I97" s="268"/>
      <c r="J97" s="268"/>
      <c r="K97" s="268"/>
      <c r="L97" s="268"/>
      <c r="M97" s="268"/>
      <c r="N97" s="268"/>
      <c r="O97" s="268"/>
      <c r="P97" s="268"/>
      <c r="Q97" s="268"/>
      <c r="R97" s="268"/>
      <c r="S97" s="268"/>
      <c r="T97" s="268"/>
      <c r="U97" s="249">
        <f>10459484.27</f>
        <v>10459484.27</v>
      </c>
    </row>
    <row r="98" spans="1:21" ht="10.5" outlineLevel="1">
      <c r="A98" s="160" t="s">
        <v>280</v>
      </c>
      <c r="B98" s="249"/>
      <c r="C98" s="264"/>
      <c r="D98" s="264"/>
      <c r="E98" s="264"/>
      <c r="F98" s="264"/>
      <c r="G98" s="264"/>
      <c r="H98" s="267"/>
      <c r="I98" s="268"/>
      <c r="J98" s="268"/>
      <c r="K98" s="268"/>
      <c r="L98" s="268"/>
      <c r="M98" s="268"/>
      <c r="N98" s="268"/>
      <c r="O98" s="268"/>
      <c r="P98" s="268"/>
      <c r="Q98" s="268"/>
      <c r="R98" s="268"/>
      <c r="S98" s="268"/>
      <c r="T98" s="268"/>
      <c r="U98" s="249">
        <v>0</v>
      </c>
    </row>
    <row r="99" spans="1:21" ht="10.5" outlineLevel="1">
      <c r="A99" s="160" t="s">
        <v>281</v>
      </c>
      <c r="B99" s="249"/>
      <c r="C99" s="264"/>
      <c r="D99" s="264"/>
      <c r="E99" s="264"/>
      <c r="F99" s="264"/>
      <c r="G99" s="264"/>
      <c r="H99" s="267"/>
      <c r="I99" s="268"/>
      <c r="J99" s="268"/>
      <c r="K99" s="268"/>
      <c r="L99" s="268"/>
      <c r="M99" s="268"/>
      <c r="N99" s="268"/>
      <c r="O99" s="268"/>
      <c r="P99" s="268"/>
      <c r="Q99" s="268"/>
      <c r="R99" s="268"/>
      <c r="S99" s="268"/>
      <c r="T99" s="268"/>
      <c r="U99" s="255">
        <f>176795.47</f>
        <v>176795.47</v>
      </c>
    </row>
    <row r="100" spans="1:21" ht="10.5">
      <c r="A100" s="227" t="s">
        <v>307</v>
      </c>
      <c r="B100" s="249"/>
      <c r="C100" s="264"/>
      <c r="D100" s="264"/>
      <c r="E100" s="264"/>
      <c r="F100" s="264"/>
      <c r="G100" s="264"/>
      <c r="H100" s="267"/>
      <c r="I100" s="268"/>
      <c r="J100" s="268"/>
      <c r="K100" s="268"/>
      <c r="L100" s="268"/>
      <c r="M100" s="268"/>
      <c r="N100" s="268"/>
      <c r="O100" s="268"/>
      <c r="P100" s="268"/>
      <c r="Q100" s="268"/>
      <c r="R100" s="268"/>
      <c r="S100" s="268"/>
      <c r="T100" s="268"/>
      <c r="U100" s="253">
        <f>SUM(U96:U99)</f>
        <v>17987725.52</v>
      </c>
    </row>
    <row r="101" spans="2:21" ht="10.5">
      <c r="B101" s="249"/>
      <c r="C101" s="264"/>
      <c r="D101" s="264"/>
      <c r="E101" s="264"/>
      <c r="F101" s="264"/>
      <c r="G101" s="264"/>
      <c r="H101" s="267"/>
      <c r="I101" s="268"/>
      <c r="J101" s="268"/>
      <c r="K101" s="268"/>
      <c r="L101" s="268"/>
      <c r="M101" s="268"/>
      <c r="N101" s="268"/>
      <c r="O101" s="268"/>
      <c r="P101" s="268"/>
      <c r="Q101" s="268"/>
      <c r="R101" s="268"/>
      <c r="S101" s="268"/>
      <c r="T101" s="268"/>
      <c r="U101" s="249"/>
    </row>
    <row r="102" spans="2:21" ht="10.5">
      <c r="B102" s="249"/>
      <c r="C102" s="264"/>
      <c r="D102" s="264"/>
      <c r="E102" s="264"/>
      <c r="F102" s="264"/>
      <c r="G102" s="264"/>
      <c r="H102" s="267"/>
      <c r="I102" s="268"/>
      <c r="J102" s="268"/>
      <c r="K102" s="268"/>
      <c r="L102" s="268"/>
      <c r="M102" s="268"/>
      <c r="N102" s="268"/>
      <c r="O102" s="268"/>
      <c r="P102" s="268"/>
      <c r="Q102" s="268"/>
      <c r="R102" s="268"/>
      <c r="S102" s="268"/>
      <c r="T102" s="268"/>
      <c r="U102" s="249"/>
    </row>
    <row r="103" spans="1:21" ht="10.5" hidden="1" outlineLevel="2">
      <c r="A103" s="98" t="s">
        <v>268</v>
      </c>
      <c r="B103" s="249">
        <f>278741.99+124.86-179.36</f>
        <v>278687.49</v>
      </c>
      <c r="C103" s="264"/>
      <c r="D103" s="264"/>
      <c r="E103" s="264"/>
      <c r="F103" s="264"/>
      <c r="G103" s="264"/>
      <c r="H103" s="267"/>
      <c r="I103" s="268"/>
      <c r="J103" s="268"/>
      <c r="K103" s="268"/>
      <c r="L103" s="268"/>
      <c r="M103" s="268"/>
      <c r="N103" s="268"/>
      <c r="O103" s="268"/>
      <c r="P103" s="268"/>
      <c r="Q103" s="268"/>
      <c r="R103" s="268"/>
      <c r="S103" s="268"/>
      <c r="T103" s="268"/>
      <c r="U103" s="249"/>
    </row>
    <row r="104" spans="1:21" ht="10.5" hidden="1" outlineLevel="2">
      <c r="A104" s="98" t="s">
        <v>269</v>
      </c>
      <c r="B104" s="249">
        <v>53087</v>
      </c>
      <c r="C104" s="264"/>
      <c r="D104" s="264"/>
      <c r="E104" s="264"/>
      <c r="F104" s="264"/>
      <c r="G104" s="264"/>
      <c r="H104" s="267"/>
      <c r="I104" s="268"/>
      <c r="J104" s="268"/>
      <c r="K104" s="268"/>
      <c r="L104" s="268"/>
      <c r="M104" s="268"/>
      <c r="N104" s="268"/>
      <c r="O104" s="268"/>
      <c r="P104" s="268"/>
      <c r="Q104" s="268"/>
      <c r="R104" s="268"/>
      <c r="S104" s="268"/>
      <c r="T104" s="268"/>
      <c r="U104" s="249"/>
    </row>
    <row r="105" spans="1:21" ht="10.5" outlineLevel="1" collapsed="1">
      <c r="A105" s="227" t="s">
        <v>270</v>
      </c>
      <c r="B105" s="253">
        <f>SUM(B103:B104)</f>
        <v>331774.49</v>
      </c>
      <c r="C105" s="264"/>
      <c r="D105" s="264"/>
      <c r="E105" s="264"/>
      <c r="F105" s="264"/>
      <c r="G105" s="264"/>
      <c r="H105" s="267"/>
      <c r="I105" s="268"/>
      <c r="J105" s="268"/>
      <c r="K105" s="268"/>
      <c r="L105" s="268"/>
      <c r="M105" s="268"/>
      <c r="N105" s="268"/>
      <c r="O105" s="268"/>
      <c r="P105" s="268"/>
      <c r="Q105" s="268"/>
      <c r="R105" s="268"/>
      <c r="S105" s="268"/>
      <c r="T105" s="268"/>
      <c r="U105" s="249"/>
    </row>
    <row r="106" spans="1:21" ht="10.5" hidden="1" outlineLevel="2">
      <c r="A106" s="160" t="s">
        <v>271</v>
      </c>
      <c r="B106" s="249">
        <f>322082.84+0.02</f>
        <v>322082.86000000004</v>
      </c>
      <c r="C106" s="264"/>
      <c r="D106" s="264"/>
      <c r="E106" s="264"/>
      <c r="F106" s="264"/>
      <c r="G106" s="264"/>
      <c r="H106" s="267"/>
      <c r="I106" s="268"/>
      <c r="J106" s="268"/>
      <c r="K106" s="268"/>
      <c r="L106" s="268"/>
      <c r="M106" s="268"/>
      <c r="N106" s="268"/>
      <c r="O106" s="268"/>
      <c r="P106" s="268"/>
      <c r="Q106" s="268"/>
      <c r="R106" s="268"/>
      <c r="S106" s="268"/>
      <c r="T106" s="268"/>
      <c r="U106" s="249"/>
    </row>
    <row r="107" spans="1:21" ht="10.5" hidden="1" outlineLevel="2">
      <c r="A107" s="160" t="s">
        <v>284</v>
      </c>
      <c r="B107" s="249">
        <v>4152.81</v>
      </c>
      <c r="C107" s="264"/>
      <c r="D107" s="264"/>
      <c r="E107" s="264"/>
      <c r="F107" s="264"/>
      <c r="G107" s="264"/>
      <c r="H107" s="267"/>
      <c r="I107" s="269" t="s">
        <v>99</v>
      </c>
      <c r="J107" s="268"/>
      <c r="K107" s="268"/>
      <c r="L107" s="268"/>
      <c r="M107" s="268"/>
      <c r="N107" s="268"/>
      <c r="O107" s="268"/>
      <c r="P107" s="268"/>
      <c r="Q107" s="268"/>
      <c r="R107" s="268"/>
      <c r="S107" s="268"/>
      <c r="T107" s="268"/>
      <c r="U107" s="249"/>
    </row>
    <row r="108" spans="1:21" ht="10.5" outlineLevel="1" collapsed="1">
      <c r="A108" s="227" t="s">
        <v>285</v>
      </c>
      <c r="B108" s="253">
        <f>SUM(B106:B107)</f>
        <v>326235.67000000004</v>
      </c>
      <c r="C108" s="264"/>
      <c r="D108" s="264"/>
      <c r="E108" s="264"/>
      <c r="F108" s="264"/>
      <c r="G108" s="264"/>
      <c r="H108" s="267"/>
      <c r="I108" s="269"/>
      <c r="J108" s="268"/>
      <c r="K108" s="268"/>
      <c r="L108" s="268"/>
      <c r="M108" s="268"/>
      <c r="N108" s="268"/>
      <c r="O108" s="268"/>
      <c r="P108" s="268"/>
      <c r="Q108" s="268"/>
      <c r="R108" s="268"/>
      <c r="S108" s="268"/>
      <c r="T108" s="268"/>
      <c r="U108" s="249"/>
    </row>
    <row r="109" spans="1:21" ht="10.5" hidden="1" outlineLevel="2">
      <c r="A109" s="98" t="s">
        <v>272</v>
      </c>
      <c r="B109" s="249"/>
      <c r="C109" s="264">
        <v>256113</v>
      </c>
      <c r="D109" s="264">
        <v>99189.71</v>
      </c>
      <c r="E109" s="264">
        <v>201744.28</v>
      </c>
      <c r="F109" s="264">
        <v>134638</v>
      </c>
      <c r="G109" s="264">
        <v>25223</v>
      </c>
      <c r="H109" s="267">
        <v>91665.52</v>
      </c>
      <c r="I109" s="268">
        <v>22540.16</v>
      </c>
      <c r="J109" s="268">
        <v>17152</v>
      </c>
      <c r="K109" s="268">
        <v>4037</v>
      </c>
      <c r="L109" s="268">
        <v>91159</v>
      </c>
      <c r="M109" s="268">
        <v>6758.8</v>
      </c>
      <c r="N109" s="268">
        <v>8301.58</v>
      </c>
      <c r="O109" s="268">
        <v>37930.38</v>
      </c>
      <c r="P109" s="268">
        <v>26736</v>
      </c>
      <c r="Q109" s="268">
        <v>33633</v>
      </c>
      <c r="R109" s="268">
        <v>28585.39</v>
      </c>
      <c r="S109" s="268">
        <v>24205</v>
      </c>
      <c r="T109" s="268">
        <f>34174+44626</f>
        <v>78800</v>
      </c>
      <c r="U109" s="249"/>
    </row>
    <row r="110" spans="1:21" ht="10.5" hidden="1" outlineLevel="2">
      <c r="A110" s="98" t="s">
        <v>273</v>
      </c>
      <c r="B110" s="249"/>
      <c r="C110" s="264">
        <v>25667</v>
      </c>
      <c r="D110" s="264">
        <v>7882.48</v>
      </c>
      <c r="E110" s="264">
        <v>7326.69</v>
      </c>
      <c r="F110" s="264">
        <v>5944</v>
      </c>
      <c r="G110" s="264">
        <v>7010</v>
      </c>
      <c r="H110" s="267">
        <v>14027.2</v>
      </c>
      <c r="I110" s="268">
        <v>3587.16</v>
      </c>
      <c r="J110" s="268">
        <v>4564</v>
      </c>
      <c r="K110" s="268">
        <v>4118</v>
      </c>
      <c r="L110" s="268">
        <v>8644</v>
      </c>
      <c r="M110" s="268"/>
      <c r="N110" s="268">
        <v>290.63</v>
      </c>
      <c r="O110" s="268">
        <v>3841.95</v>
      </c>
      <c r="P110" s="268">
        <v>2336</v>
      </c>
      <c r="Q110" s="268">
        <v>4929</v>
      </c>
      <c r="R110" s="268"/>
      <c r="S110" s="268">
        <v>7269.25</v>
      </c>
      <c r="T110" s="268">
        <f>483+2148</f>
        <v>2631</v>
      </c>
      <c r="U110" s="249"/>
    </row>
    <row r="111" spans="1:21" ht="10.5" outlineLevel="1" collapsed="1">
      <c r="A111" s="227" t="s">
        <v>274</v>
      </c>
      <c r="B111" s="249"/>
      <c r="C111" s="265">
        <f>SUM(C109:C110)</f>
        <v>281780</v>
      </c>
      <c r="D111" s="265">
        <f aca="true" t="shared" si="6" ref="D111:T111">SUM(D109:D110)</f>
        <v>107072.19</v>
      </c>
      <c r="E111" s="265">
        <f t="shared" si="6"/>
        <v>209070.97</v>
      </c>
      <c r="F111" s="265">
        <f t="shared" si="6"/>
        <v>140582</v>
      </c>
      <c r="G111" s="265">
        <f t="shared" si="6"/>
        <v>32233</v>
      </c>
      <c r="H111" s="270">
        <f t="shared" si="6"/>
        <v>105692.72</v>
      </c>
      <c r="I111" s="270">
        <f t="shared" si="6"/>
        <v>26127.32</v>
      </c>
      <c r="J111" s="270">
        <f t="shared" si="6"/>
        <v>21716</v>
      </c>
      <c r="K111" s="270">
        <f t="shared" si="6"/>
        <v>8155</v>
      </c>
      <c r="L111" s="270">
        <f t="shared" si="6"/>
        <v>99803</v>
      </c>
      <c r="M111" s="270">
        <f t="shared" si="6"/>
        <v>6758.8</v>
      </c>
      <c r="N111" s="270">
        <f t="shared" si="6"/>
        <v>8592.21</v>
      </c>
      <c r="O111" s="270">
        <f t="shared" si="6"/>
        <v>41772.329999999994</v>
      </c>
      <c r="P111" s="270">
        <f t="shared" si="6"/>
        <v>29072</v>
      </c>
      <c r="Q111" s="270">
        <f t="shared" si="6"/>
        <v>38562</v>
      </c>
      <c r="R111" s="270">
        <f t="shared" si="6"/>
        <v>28585.39</v>
      </c>
      <c r="S111" s="270">
        <f t="shared" si="6"/>
        <v>31474.25</v>
      </c>
      <c r="T111" s="270">
        <f t="shared" si="6"/>
        <v>81431</v>
      </c>
      <c r="U111" s="249"/>
    </row>
    <row r="112" spans="1:21" ht="10.5" outlineLevel="1">
      <c r="A112" s="227" t="s">
        <v>275</v>
      </c>
      <c r="B112" s="249"/>
      <c r="C112" s="265">
        <v>12797</v>
      </c>
      <c r="D112" s="265">
        <v>14916.5</v>
      </c>
      <c r="E112" s="265">
        <v>33116</v>
      </c>
      <c r="F112" s="265">
        <v>7058</v>
      </c>
      <c r="G112" s="265">
        <v>4708</v>
      </c>
      <c r="H112" s="270">
        <v>8977.72</v>
      </c>
      <c r="I112" s="271">
        <v>2081.12</v>
      </c>
      <c r="J112" s="271">
        <v>6606</v>
      </c>
      <c r="K112" s="271">
        <v>319</v>
      </c>
      <c r="L112" s="271">
        <v>5679</v>
      </c>
      <c r="M112" s="271">
        <v>231.98</v>
      </c>
      <c r="N112" s="271">
        <v>486.62</v>
      </c>
      <c r="O112" s="271">
        <v>11827.96</v>
      </c>
      <c r="P112" s="271">
        <v>4311</v>
      </c>
      <c r="Q112" s="271">
        <v>2014</v>
      </c>
      <c r="R112" s="271">
        <v>1790</v>
      </c>
      <c r="S112" s="271">
        <v>6376</v>
      </c>
      <c r="T112" s="271">
        <f>2131+3747</f>
        <v>5878</v>
      </c>
      <c r="U112" s="249"/>
    </row>
    <row r="113" spans="1:21" ht="10.5" hidden="1" outlineLevel="2">
      <c r="A113" s="98" t="s">
        <v>276</v>
      </c>
      <c r="B113" s="249"/>
      <c r="C113" s="264">
        <v>2447691</v>
      </c>
      <c r="D113" s="264">
        <v>978361.91</v>
      </c>
      <c r="E113" s="264">
        <v>3721346.71</v>
      </c>
      <c r="F113" s="264">
        <v>1365591</v>
      </c>
      <c r="G113" s="264">
        <v>210345</v>
      </c>
      <c r="H113" s="267">
        <v>971995.96</v>
      </c>
      <c r="I113" s="268">
        <v>197794.21</v>
      </c>
      <c r="J113" s="268">
        <v>147213</v>
      </c>
      <c r="K113" s="268">
        <v>40229</v>
      </c>
      <c r="L113" s="268">
        <v>925223</v>
      </c>
      <c r="M113" s="268">
        <v>76513.89</v>
      </c>
      <c r="N113" s="268">
        <v>24301.4</v>
      </c>
      <c r="O113" s="268">
        <v>703185.21</v>
      </c>
      <c r="P113" s="268">
        <v>178106</v>
      </c>
      <c r="Q113" s="268">
        <v>813313</v>
      </c>
      <c r="R113" s="268">
        <v>292678.34</v>
      </c>
      <c r="S113" s="268">
        <v>174803.25</v>
      </c>
      <c r="T113" s="268">
        <f>301668+395493</f>
        <v>697161</v>
      </c>
      <c r="U113" s="249"/>
    </row>
    <row r="114" spans="1:21" ht="10.5" hidden="1" outlineLevel="2">
      <c r="A114" s="98" t="s">
        <v>277</v>
      </c>
      <c r="B114" s="249"/>
      <c r="C114" s="264">
        <v>287077</v>
      </c>
      <c r="D114" s="264">
        <v>112579.02</v>
      </c>
      <c r="E114" s="264">
        <v>139116.01</v>
      </c>
      <c r="F114" s="264">
        <v>96366</v>
      </c>
      <c r="G114" s="264">
        <v>61405</v>
      </c>
      <c r="H114" s="267">
        <v>159058.87</v>
      </c>
      <c r="I114" s="268">
        <v>18355.65</v>
      </c>
      <c r="J114" s="268">
        <v>64164</v>
      </c>
      <c r="K114" s="268">
        <v>47780</v>
      </c>
      <c r="L114" s="268">
        <v>99360</v>
      </c>
      <c r="M114" s="268"/>
      <c r="N114" s="268">
        <v>919.31</v>
      </c>
      <c r="O114" s="268">
        <v>72879.83</v>
      </c>
      <c r="P114" s="268">
        <v>34508.75</v>
      </c>
      <c r="Q114" s="268">
        <v>29231</v>
      </c>
      <c r="R114" s="268"/>
      <c r="S114" s="268">
        <v>75358</v>
      </c>
      <c r="T114" s="268">
        <f>3005+22264</f>
        <v>25269</v>
      </c>
      <c r="U114" s="249"/>
    </row>
    <row r="115" spans="1:21" ht="10.5" outlineLevel="1" collapsed="1">
      <c r="A115" s="227" t="s">
        <v>278</v>
      </c>
      <c r="B115" s="249"/>
      <c r="C115" s="265">
        <f>SUM(C113:C114)</f>
        <v>2734768</v>
      </c>
      <c r="D115" s="265">
        <f aca="true" t="shared" si="7" ref="D115:T115">SUM(D113:D114)</f>
        <v>1090940.93</v>
      </c>
      <c r="E115" s="265">
        <f t="shared" si="7"/>
        <v>3860462.7199999997</v>
      </c>
      <c r="F115" s="265">
        <f t="shared" si="7"/>
        <v>1461957</v>
      </c>
      <c r="G115" s="265">
        <f t="shared" si="7"/>
        <v>271750</v>
      </c>
      <c r="H115" s="270">
        <f t="shared" si="7"/>
        <v>1131054.83</v>
      </c>
      <c r="I115" s="270">
        <f t="shared" si="7"/>
        <v>216149.86</v>
      </c>
      <c r="J115" s="270">
        <f t="shared" si="7"/>
        <v>211377</v>
      </c>
      <c r="K115" s="270">
        <f t="shared" si="7"/>
        <v>88009</v>
      </c>
      <c r="L115" s="270">
        <f t="shared" si="7"/>
        <v>1024583</v>
      </c>
      <c r="M115" s="270">
        <f t="shared" si="7"/>
        <v>76513.89</v>
      </c>
      <c r="N115" s="270">
        <f t="shared" si="7"/>
        <v>25220.710000000003</v>
      </c>
      <c r="O115" s="270">
        <f t="shared" si="7"/>
        <v>776065.0399999999</v>
      </c>
      <c r="P115" s="270">
        <f t="shared" si="7"/>
        <v>212614.75</v>
      </c>
      <c r="Q115" s="270">
        <f t="shared" si="7"/>
        <v>842544</v>
      </c>
      <c r="R115" s="270">
        <f t="shared" si="7"/>
        <v>292678.34</v>
      </c>
      <c r="S115" s="270">
        <f t="shared" si="7"/>
        <v>250161.25</v>
      </c>
      <c r="T115" s="270">
        <f t="shared" si="7"/>
        <v>722430</v>
      </c>
      <c r="U115" s="249"/>
    </row>
    <row r="116" spans="2:21" ht="10.5" outlineLevel="1">
      <c r="B116" s="249"/>
      <c r="C116" s="264"/>
      <c r="D116" s="264"/>
      <c r="E116" s="264"/>
      <c r="F116" s="264"/>
      <c r="G116" s="264"/>
      <c r="H116" s="267"/>
      <c r="I116" s="268"/>
      <c r="J116" s="268"/>
      <c r="K116" s="268"/>
      <c r="L116" s="268"/>
      <c r="M116" s="268"/>
      <c r="N116" s="268"/>
      <c r="O116" s="268"/>
      <c r="P116" s="268"/>
      <c r="Q116" s="268"/>
      <c r="R116" s="268"/>
      <c r="S116" s="268"/>
      <c r="T116" s="268"/>
      <c r="U116" s="249"/>
    </row>
    <row r="117" spans="2:21" ht="10.5" outlineLevel="1">
      <c r="B117" s="249"/>
      <c r="C117" s="264"/>
      <c r="D117" s="264"/>
      <c r="E117" s="264"/>
      <c r="F117" s="264"/>
      <c r="G117" s="264"/>
      <c r="H117" s="267"/>
      <c r="I117" s="268"/>
      <c r="J117" s="268"/>
      <c r="K117" s="268"/>
      <c r="L117" s="268"/>
      <c r="M117" s="268"/>
      <c r="N117" s="268"/>
      <c r="O117" s="268"/>
      <c r="P117" s="268"/>
      <c r="Q117" s="268"/>
      <c r="R117" s="268"/>
      <c r="S117" s="268"/>
      <c r="T117" s="268"/>
      <c r="U117" s="249"/>
    </row>
    <row r="118" spans="1:21" ht="10.5">
      <c r="A118" s="227" t="s">
        <v>283</v>
      </c>
      <c r="B118" s="253">
        <f>B105+B108+B111+B112+B115</f>
        <v>658010.16</v>
      </c>
      <c r="C118" s="265">
        <f aca="true" t="shared" si="8" ref="C118:T118">C105+C108+C111+C112+C115</f>
        <v>3029345</v>
      </c>
      <c r="D118" s="265">
        <f t="shared" si="8"/>
        <v>1212929.6199999999</v>
      </c>
      <c r="E118" s="265">
        <f t="shared" si="8"/>
        <v>4102649.69</v>
      </c>
      <c r="F118" s="265">
        <f t="shared" si="8"/>
        <v>1609597</v>
      </c>
      <c r="G118" s="265">
        <f t="shared" si="8"/>
        <v>308691</v>
      </c>
      <c r="H118" s="270">
        <f t="shared" si="8"/>
        <v>1245725.27</v>
      </c>
      <c r="I118" s="270">
        <f t="shared" si="8"/>
        <v>244358.3</v>
      </c>
      <c r="J118" s="270">
        <f t="shared" si="8"/>
        <v>239699</v>
      </c>
      <c r="K118" s="270">
        <f t="shared" si="8"/>
        <v>96483</v>
      </c>
      <c r="L118" s="270">
        <f t="shared" si="8"/>
        <v>1130065</v>
      </c>
      <c r="M118" s="270">
        <f t="shared" si="8"/>
        <v>83504.67</v>
      </c>
      <c r="N118" s="270">
        <f t="shared" si="8"/>
        <v>34299.54</v>
      </c>
      <c r="O118" s="270">
        <f t="shared" si="8"/>
        <v>829665.33</v>
      </c>
      <c r="P118" s="270">
        <f t="shared" si="8"/>
        <v>245997.75</v>
      </c>
      <c r="Q118" s="270">
        <f t="shared" si="8"/>
        <v>883120</v>
      </c>
      <c r="R118" s="270">
        <f t="shared" si="8"/>
        <v>323053.73000000004</v>
      </c>
      <c r="S118" s="270">
        <f t="shared" si="8"/>
        <v>288011.5</v>
      </c>
      <c r="T118" s="270">
        <f t="shared" si="8"/>
        <v>809739</v>
      </c>
      <c r="U118" s="273">
        <f>SUM(B118:T118)</f>
        <v>17374944.560000002</v>
      </c>
    </row>
    <row r="119" spans="1:21" ht="10.5">
      <c r="A119" s="227"/>
      <c r="B119" s="249"/>
      <c r="C119" s="264"/>
      <c r="D119" s="264"/>
      <c r="E119" s="264"/>
      <c r="F119" s="264"/>
      <c r="G119" s="264"/>
      <c r="H119" s="267"/>
      <c r="I119" s="268"/>
      <c r="J119" s="268"/>
      <c r="K119" s="268"/>
      <c r="L119" s="268"/>
      <c r="M119" s="268"/>
      <c r="N119" s="268"/>
      <c r="O119" s="268"/>
      <c r="P119" s="268"/>
      <c r="Q119" s="268"/>
      <c r="R119" s="268"/>
      <c r="S119" s="268"/>
      <c r="T119" s="268"/>
      <c r="U119" s="249"/>
    </row>
    <row r="120" spans="1:21" ht="10.5">
      <c r="A120" s="227" t="s">
        <v>308</v>
      </c>
      <c r="B120" s="249"/>
      <c r="C120" s="264"/>
      <c r="D120" s="264"/>
      <c r="E120" s="264"/>
      <c r="F120" s="264"/>
      <c r="G120" s="264"/>
      <c r="H120" s="267"/>
      <c r="I120" s="268"/>
      <c r="J120" s="268"/>
      <c r="K120" s="268"/>
      <c r="L120" s="268"/>
      <c r="M120" s="268"/>
      <c r="N120" s="268"/>
      <c r="O120" s="268"/>
      <c r="P120" s="268"/>
      <c r="Q120" s="268"/>
      <c r="R120" s="268"/>
      <c r="S120" s="268"/>
      <c r="T120" s="268"/>
      <c r="U120" s="253">
        <f>U93+U100-U118</f>
        <v>9878036.719999999</v>
      </c>
    </row>
    <row r="121" spans="2:21" ht="10.5">
      <c r="B121" s="249"/>
      <c r="C121" s="264"/>
      <c r="D121" s="264"/>
      <c r="E121" s="264"/>
      <c r="F121" s="264"/>
      <c r="G121" s="264"/>
      <c r="H121" s="267"/>
      <c r="I121" s="268"/>
      <c r="J121" s="268"/>
      <c r="K121" s="268"/>
      <c r="L121" s="268"/>
      <c r="M121" s="268"/>
      <c r="N121" s="268"/>
      <c r="O121" s="268"/>
      <c r="P121" s="268"/>
      <c r="Q121" s="268"/>
      <c r="R121" s="268"/>
      <c r="S121" s="268"/>
      <c r="T121" s="268"/>
      <c r="U121" s="249"/>
    </row>
    <row r="122" spans="1:21" ht="10.5">
      <c r="A122" s="227" t="s">
        <v>309</v>
      </c>
      <c r="B122" s="253">
        <f>'Obligations 13-15 at 6-30-15'!P179</f>
        <v>0</v>
      </c>
      <c r="C122" s="265">
        <f>'Obligations 13-15 at 6-30-15'!P45+'Obligations 13-15 at 6-30-15'!P55+'Obligations 13-15 at 6-30-15'!P141+'Obligations 13-15 at 6-30-15'!P151+'Obligations 13-15 at 6-30-15'!P165</f>
        <v>680811</v>
      </c>
      <c r="D122" s="265">
        <f>'Obligations 13-15 at 6-30-15'!P46+'Obligations 13-15 at 6-30-15'!P56+'Obligations 13-15 at 6-30-15'!P142+'Obligations 13-15 at 6-30-15'!P152+'Obligations 13-15 at 6-30-15'!P166</f>
        <v>809414.25</v>
      </c>
      <c r="E122" s="265">
        <f>'Obligations 13-15 at 6-30-15'!P47+'Obligations 13-15 at 6-30-15'!P57+'Obligations 13-15 at 6-30-15'!P143+'Obligations 13-15 at 6-30-15'!P153+'Obligations 13-15 at 6-30-15'!P167</f>
        <v>503140.31</v>
      </c>
      <c r="F122" s="265">
        <f>'Obligations 13-15 at 6-30-15'!P48+'Obligations 13-15 at 6-30-15'!P58+'Obligations 13-15 at 6-30-15'!P144+'Obligations 13-15 at 6-30-15'!P154+'Obligations 13-15 at 6-30-15'!P168</f>
        <v>210600.52</v>
      </c>
      <c r="G122" s="265">
        <f>'Obligations 13-15 at 6-30-15'!P49+'Obligations 13-15 at 6-30-15'!P59+'Obligations 13-15 at 6-30-15'!P145+'Obligations 13-15 at 6-30-15'!P155+'Obligations 13-15 at 6-30-15'!P169</f>
        <v>132781</v>
      </c>
      <c r="H122" s="270">
        <f>'Obligations 13-15 at 6-30-15'!P9+'Obligations 13-15 at 6-30-15'!P25+'Obligations 13-15 at 6-30-15'!P79+'Obligations 13-15 at 6-30-15'!P101+'Obligations 13-15 at 6-30-15'!P119</f>
        <v>176490.97999999998</v>
      </c>
      <c r="I122" s="271">
        <f>'Obligations 13-15 at 6-30-15'!P10+'Obligations 13-15 at 6-30-15'!P26+'Obligations 13-15 at 6-30-15'!P80+'Obligations 13-15 at 6-30-15'!P102+'Obligations 13-15 at 6-30-15'!P120</f>
        <v>63541.7</v>
      </c>
      <c r="J122" s="271">
        <f>'Obligations 13-15 at 6-30-15'!P11+'Obligations 13-15 at 6-30-15'!P27+'Obligations 13-15 at 6-30-15'!P81+'Obligations 13-15 at 6-30-15'!P103+'Obligations 13-15 at 6-30-15'!P121</f>
        <v>92902</v>
      </c>
      <c r="K122" s="271">
        <f>'Obligations 13-15 at 6-30-15'!P12+'Obligations 13-15 at 6-30-15'!P28+'Obligations 13-15 at 6-30-15'!P82+'Obligations 13-15 at 6-30-15'!P104+'Obligations 13-15 at 6-30-15'!P122</f>
        <v>28917</v>
      </c>
      <c r="L122" s="271">
        <f>'Obligations 13-15 at 6-30-15'!P13+'Obligations 13-15 at 6-30-15'!P29+'Obligations 13-15 at 6-30-15'!P83+'Obligations 13-15 at 6-30-15'!P105+'Obligations 13-15 at 6-30-15'!P123</f>
        <v>31294</v>
      </c>
      <c r="M122" s="271">
        <f>'Obligations 13-15 at 6-30-15'!P84+'Obligations 13-15 at 6-30-15'!P106+'Obligations 13-15 at 6-30-15'!P124</f>
        <v>18715.33</v>
      </c>
      <c r="N122" s="271">
        <f>'Obligations 13-15 at 6-30-15'!P14+'Obligations 13-15 at 6-30-15'!P30+'Obligations 13-15 at 6-30-15'!P85+'Obligations 13-15 at 6-30-15'!P107+'Obligations 13-15 at 6-30-15'!P125</f>
        <v>56505.98</v>
      </c>
      <c r="O122" s="271">
        <f>'Obligations 13-15 at 6-30-15'!P15+'Obligations 13-15 at 6-30-15'!P31+'Obligations 13-15 at 6-30-15'!P86+'Obligations 13-15 at 6-30-15'!P108+'Obligations 13-15 at 6-30-15'!P126</f>
        <v>492298.86</v>
      </c>
      <c r="P122" s="271">
        <f>'Obligations 13-15 at 6-30-15'!P16+'Obligations 13-15 at 6-30-15'!P32+'Obligations 13-15 at 6-30-15'!P87+'Obligations 13-15 at 6-30-15'!P109+'Obligations 13-15 at 6-30-15'!P127</f>
        <v>48503</v>
      </c>
      <c r="Q122" s="271">
        <f>'Obligations 13-15 at 6-30-15'!P17+'Obligations 13-15 at 6-30-15'!P33+'Obligations 13-15 at 6-30-15'!P88+'Obligations 13-15 at 6-30-15'!P110+'Obligations 13-15 at 6-30-15'!P128</f>
        <v>119430</v>
      </c>
      <c r="R122" s="271">
        <f>'Obligations 13-15 at 6-30-15'!P89+'Obligations 13-15 at 6-30-15'!P111+'Obligations 13-15 at 6-30-15'!P129</f>
        <v>255173.1</v>
      </c>
      <c r="S122" s="271">
        <f>'Obligations 13-15 at 6-30-15'!P18+'Obligations 13-15 at 6-30-15'!P34+'Obligations 13-15 at 6-30-15'!P90+'Obligations 13-15 at 6-30-15'!P112+'Obligations 13-15 at 6-30-15'!P130</f>
        <v>68736.75</v>
      </c>
      <c r="T122" s="271">
        <f>'Obligations 13-15 at 6-30-15'!P19+'Obligations 13-15 at 6-30-15'!P35+'Obligations 13-15 at 6-30-15'!P91+'Obligations 13-15 at 6-30-15'!P113+'Obligations 13-15 at 6-30-15'!P131</f>
        <v>53478</v>
      </c>
      <c r="U122" s="253">
        <f>SUM(B122:T122)</f>
        <v>3842733.7800000003</v>
      </c>
    </row>
    <row r="123" spans="2:21" ht="10.5">
      <c r="B123" s="249"/>
      <c r="C123" s="264"/>
      <c r="D123" s="264"/>
      <c r="E123" s="264"/>
      <c r="F123" s="264"/>
      <c r="G123" s="264"/>
      <c r="H123" s="267"/>
      <c r="I123" s="268"/>
      <c r="J123" s="268"/>
      <c r="K123" s="268"/>
      <c r="L123" s="268"/>
      <c r="M123" s="268"/>
      <c r="N123" s="268"/>
      <c r="O123" s="268"/>
      <c r="P123" s="268"/>
      <c r="Q123" s="268"/>
      <c r="R123" s="268"/>
      <c r="S123" s="268"/>
      <c r="T123" s="268"/>
      <c r="U123" s="249"/>
    </row>
    <row r="124" spans="1:21" ht="11.25" thickBot="1">
      <c r="A124" s="227" t="s">
        <v>310</v>
      </c>
      <c r="B124" s="249"/>
      <c r="C124" s="264"/>
      <c r="D124" s="264"/>
      <c r="E124" s="264"/>
      <c r="F124" s="264"/>
      <c r="G124" s="264"/>
      <c r="H124" s="267"/>
      <c r="I124" s="268"/>
      <c r="J124" s="268"/>
      <c r="K124" s="268"/>
      <c r="L124" s="268"/>
      <c r="M124" s="268"/>
      <c r="N124" s="268"/>
      <c r="O124" s="268"/>
      <c r="P124" s="268"/>
      <c r="Q124" s="268"/>
      <c r="R124" s="268"/>
      <c r="S124" s="268"/>
      <c r="T124" s="268"/>
      <c r="U124" s="272">
        <f>U120-U122</f>
        <v>6035302.939999999</v>
      </c>
    </row>
    <row r="125" spans="1:21" ht="11.25" thickTop="1">
      <c r="A125" s="227"/>
      <c r="B125" s="249"/>
      <c r="C125" s="250"/>
      <c r="D125" s="250"/>
      <c r="E125" s="250"/>
      <c r="F125" s="250"/>
      <c r="G125" s="250"/>
      <c r="H125" s="251"/>
      <c r="I125" s="252"/>
      <c r="J125" s="252"/>
      <c r="K125" s="252"/>
      <c r="L125" s="252"/>
      <c r="M125" s="252"/>
      <c r="N125" s="252"/>
      <c r="O125" s="252"/>
      <c r="P125" s="252"/>
      <c r="Q125" s="252"/>
      <c r="R125" s="252"/>
      <c r="S125" s="252"/>
      <c r="T125" s="252"/>
      <c r="U125" s="249"/>
    </row>
    <row r="126" spans="1:21" ht="10.5">
      <c r="A126" s="227"/>
      <c r="B126" s="249"/>
      <c r="C126" s="250"/>
      <c r="D126" s="250"/>
      <c r="E126" s="250"/>
      <c r="F126" s="250"/>
      <c r="G126" s="250"/>
      <c r="H126" s="251"/>
      <c r="I126" s="252"/>
      <c r="J126" s="252"/>
      <c r="K126" s="252"/>
      <c r="L126" s="252"/>
      <c r="M126" s="252"/>
      <c r="N126" s="252"/>
      <c r="O126" s="252"/>
      <c r="P126" s="252"/>
      <c r="Q126" s="252"/>
      <c r="R126" s="252"/>
      <c r="S126" s="252"/>
      <c r="T126" s="252"/>
      <c r="U126" s="249"/>
    </row>
    <row r="127" spans="1:21" ht="11.25">
      <c r="A127" s="350" t="s">
        <v>99</v>
      </c>
      <c r="B127" s="320"/>
      <c r="C127" s="577" t="s">
        <v>267</v>
      </c>
      <c r="D127" s="577"/>
      <c r="E127" s="577"/>
      <c r="F127" s="577"/>
      <c r="G127" s="577"/>
      <c r="H127" s="578" t="s">
        <v>286</v>
      </c>
      <c r="I127" s="578"/>
      <c r="J127" s="578"/>
      <c r="K127" s="578"/>
      <c r="L127" s="578"/>
      <c r="M127" s="578"/>
      <c r="N127" s="578"/>
      <c r="O127" s="578"/>
      <c r="P127" s="578"/>
      <c r="Q127" s="578"/>
      <c r="R127" s="578"/>
      <c r="S127" s="578"/>
      <c r="T127" s="578"/>
      <c r="U127" s="320"/>
    </row>
    <row r="128" spans="2:21" ht="11.25">
      <c r="B128" s="321" t="s">
        <v>13</v>
      </c>
      <c r="C128" s="322" t="s">
        <v>36</v>
      </c>
      <c r="D128" s="322" t="s">
        <v>37</v>
      </c>
      <c r="E128" s="322" t="s">
        <v>31</v>
      </c>
      <c r="F128" s="322" t="s">
        <v>32</v>
      </c>
      <c r="G128" s="322" t="s">
        <v>38</v>
      </c>
      <c r="H128" s="323" t="s">
        <v>25</v>
      </c>
      <c r="I128" s="323" t="s">
        <v>26</v>
      </c>
      <c r="J128" s="323" t="s">
        <v>27</v>
      </c>
      <c r="K128" s="323" t="s">
        <v>28</v>
      </c>
      <c r="L128" s="323" t="s">
        <v>29</v>
      </c>
      <c r="M128" s="323" t="s">
        <v>40</v>
      </c>
      <c r="N128" s="323" t="s">
        <v>30</v>
      </c>
      <c r="O128" s="323" t="s">
        <v>31</v>
      </c>
      <c r="P128" s="323" t="s">
        <v>32</v>
      </c>
      <c r="Q128" s="323" t="s">
        <v>33</v>
      </c>
      <c r="R128" s="323" t="s">
        <v>41</v>
      </c>
      <c r="S128" s="323" t="s">
        <v>34</v>
      </c>
      <c r="T128" s="323" t="s">
        <v>35</v>
      </c>
      <c r="U128" s="315"/>
    </row>
    <row r="129" spans="2:21" ht="33.75">
      <c r="B129" s="324" t="s">
        <v>75</v>
      </c>
      <c r="C129" s="325" t="s">
        <v>290</v>
      </c>
      <c r="D129" s="325" t="s">
        <v>289</v>
      </c>
      <c r="E129" s="325" t="s">
        <v>291</v>
      </c>
      <c r="F129" s="325" t="s">
        <v>292</v>
      </c>
      <c r="G129" s="325" t="s">
        <v>293</v>
      </c>
      <c r="H129" s="326" t="s">
        <v>294</v>
      </c>
      <c r="I129" s="326" t="s">
        <v>303</v>
      </c>
      <c r="J129" s="326" t="s">
        <v>300</v>
      </c>
      <c r="K129" s="326" t="s">
        <v>301</v>
      </c>
      <c r="L129" s="326" t="s">
        <v>295</v>
      </c>
      <c r="M129" s="326" t="s">
        <v>296</v>
      </c>
      <c r="N129" s="326" t="s">
        <v>302</v>
      </c>
      <c r="O129" s="326" t="s">
        <v>291</v>
      </c>
      <c r="P129" s="326" t="s">
        <v>292</v>
      </c>
      <c r="Q129" s="326" t="s">
        <v>304</v>
      </c>
      <c r="R129" s="326" t="s">
        <v>297</v>
      </c>
      <c r="S129" s="326" t="s">
        <v>298</v>
      </c>
      <c r="T129" s="326" t="s">
        <v>299</v>
      </c>
      <c r="U129" s="321" t="s">
        <v>118</v>
      </c>
    </row>
    <row r="130" spans="2:21" ht="11.25">
      <c r="B130" s="409"/>
      <c r="C130" s="410"/>
      <c r="D130" s="410"/>
      <c r="E130" s="410"/>
      <c r="F130" s="410"/>
      <c r="G130" s="410"/>
      <c r="H130" s="411"/>
      <c r="I130" s="411"/>
      <c r="J130" s="411"/>
      <c r="K130" s="411"/>
      <c r="L130" s="411"/>
      <c r="M130" s="411"/>
      <c r="N130" s="411"/>
      <c r="O130" s="411"/>
      <c r="P130" s="411"/>
      <c r="Q130" s="411"/>
      <c r="R130" s="411"/>
      <c r="S130" s="411"/>
      <c r="T130" s="411"/>
      <c r="U130" s="412"/>
    </row>
    <row r="131" spans="1:21" ht="11.25">
      <c r="A131" s="163" t="s">
        <v>383</v>
      </c>
      <c r="B131" s="249" t="s">
        <v>99</v>
      </c>
      <c r="C131" s="264" t="s">
        <v>99</v>
      </c>
      <c r="D131" s="264" t="s">
        <v>99</v>
      </c>
      <c r="E131" s="264" t="s">
        <v>99</v>
      </c>
      <c r="F131" s="264"/>
      <c r="G131" s="264" t="s">
        <v>99</v>
      </c>
      <c r="H131" s="413" t="s">
        <v>99</v>
      </c>
      <c r="I131" s="268"/>
      <c r="J131" s="268"/>
      <c r="K131" s="268"/>
      <c r="L131" s="268"/>
      <c r="M131" s="268"/>
      <c r="N131" s="268"/>
      <c r="O131" s="268"/>
      <c r="P131" s="268"/>
      <c r="Q131" s="268"/>
      <c r="R131" s="268"/>
      <c r="S131" s="268"/>
      <c r="T131" s="268"/>
      <c r="U131" s="414">
        <v>9878036.72</v>
      </c>
    </row>
    <row r="132" spans="1:21" ht="11.25">
      <c r="A132" s="160"/>
      <c r="B132" s="225"/>
      <c r="C132" s="415"/>
      <c r="D132" s="415"/>
      <c r="E132" s="415"/>
      <c r="F132" s="415"/>
      <c r="G132" s="415"/>
      <c r="H132" s="416"/>
      <c r="I132" s="188"/>
      <c r="J132" s="188"/>
      <c r="K132" s="188"/>
      <c r="L132" s="188"/>
      <c r="M132" s="188"/>
      <c r="N132" s="188"/>
      <c r="O132" s="188"/>
      <c r="P132" s="188"/>
      <c r="Q132" s="188"/>
      <c r="R132" s="188"/>
      <c r="S132" s="188"/>
      <c r="T132" s="188"/>
      <c r="U132" s="417"/>
    </row>
    <row r="133" spans="1:21" ht="11.25">
      <c r="A133" s="163" t="s">
        <v>384</v>
      </c>
      <c r="B133" s="248" t="s">
        <v>99</v>
      </c>
      <c r="C133" s="415" t="s">
        <v>99</v>
      </c>
      <c r="D133" s="415" t="s">
        <v>99</v>
      </c>
      <c r="E133" s="415" t="s">
        <v>99</v>
      </c>
      <c r="F133" s="415"/>
      <c r="G133" s="415" t="s">
        <v>99</v>
      </c>
      <c r="H133" s="418" t="s">
        <v>99</v>
      </c>
      <c r="I133" s="188"/>
      <c r="J133" s="188"/>
      <c r="K133" s="188"/>
      <c r="L133" s="188"/>
      <c r="M133" s="188"/>
      <c r="N133" s="188"/>
      <c r="O133" s="188"/>
      <c r="P133" s="188"/>
      <c r="Q133" s="188"/>
      <c r="R133" s="188"/>
      <c r="S133" s="188"/>
      <c r="T133" s="188"/>
      <c r="U133" s="417" t="s">
        <v>99</v>
      </c>
    </row>
    <row r="134" spans="1:21" ht="11.25">
      <c r="A134" s="315" t="s">
        <v>267</v>
      </c>
      <c r="B134" s="225"/>
      <c r="C134" s="415"/>
      <c r="D134" s="415"/>
      <c r="E134" s="415"/>
      <c r="F134" s="415"/>
      <c r="G134" s="415"/>
      <c r="H134" s="418"/>
      <c r="I134" s="188"/>
      <c r="J134" s="188"/>
      <c r="K134" s="188"/>
      <c r="L134" s="188"/>
      <c r="M134" s="188"/>
      <c r="N134" s="188"/>
      <c r="O134" s="188"/>
      <c r="P134" s="188"/>
      <c r="Q134" s="188"/>
      <c r="R134" s="188"/>
      <c r="S134" s="188"/>
      <c r="T134" s="188"/>
      <c r="U134" s="417">
        <f>10679534.23-182547.47</f>
        <v>10496986.76</v>
      </c>
    </row>
    <row r="135" spans="1:21" ht="11.25">
      <c r="A135" s="315" t="s">
        <v>386</v>
      </c>
      <c r="B135" s="225"/>
      <c r="C135" s="415"/>
      <c r="D135" s="415"/>
      <c r="E135" s="415"/>
      <c r="F135" s="415"/>
      <c r="G135" s="415"/>
      <c r="H135" s="418"/>
      <c r="I135" s="188"/>
      <c r="J135" s="188"/>
      <c r="K135" s="188"/>
      <c r="L135" s="188"/>
      <c r="M135" s="188"/>
      <c r="N135" s="188"/>
      <c r="O135" s="188"/>
      <c r="P135" s="188"/>
      <c r="Q135" s="188"/>
      <c r="R135" s="188"/>
      <c r="S135" s="188"/>
      <c r="T135" s="188"/>
      <c r="U135" s="417">
        <f>7710647.77-126855.02</f>
        <v>7583792.75</v>
      </c>
    </row>
    <row r="136" spans="1:21" ht="11.25">
      <c r="A136" s="315" t="s">
        <v>385</v>
      </c>
      <c r="B136" s="225"/>
      <c r="C136" s="415"/>
      <c r="D136" s="415"/>
      <c r="E136" s="419">
        <v>13648.58</v>
      </c>
      <c r="F136" s="415"/>
      <c r="G136" s="415"/>
      <c r="H136" s="434">
        <v>15634</v>
      </c>
      <c r="I136" s="188"/>
      <c r="J136" s="188"/>
      <c r="K136" s="188"/>
      <c r="L136" s="188"/>
      <c r="M136" s="188"/>
      <c r="N136" s="188"/>
      <c r="O136" s="188"/>
      <c r="P136" s="188"/>
      <c r="Q136" s="188"/>
      <c r="R136" s="188"/>
      <c r="S136" s="188"/>
      <c r="T136" s="188"/>
      <c r="U136" s="417">
        <v>29282.58</v>
      </c>
    </row>
    <row r="137" spans="1:21" ht="11.25">
      <c r="A137" s="315" t="s">
        <v>20</v>
      </c>
      <c r="B137" s="420"/>
      <c r="C137" s="421"/>
      <c r="D137" s="421"/>
      <c r="E137" s="421"/>
      <c r="F137" s="421"/>
      <c r="G137" s="421"/>
      <c r="H137" s="422" t="s">
        <v>99</v>
      </c>
      <c r="I137" s="189"/>
      <c r="J137" s="189"/>
      <c r="K137" s="189"/>
      <c r="L137" s="189"/>
      <c r="M137" s="189"/>
      <c r="N137" s="189"/>
      <c r="O137" s="189"/>
      <c r="P137" s="189"/>
      <c r="Q137" s="189"/>
      <c r="R137" s="189"/>
      <c r="S137" s="189"/>
      <c r="T137" s="189"/>
      <c r="U137" s="423">
        <v>329959.73</v>
      </c>
    </row>
    <row r="138" spans="1:21" ht="11.25">
      <c r="A138" s="315"/>
      <c r="B138" s="225"/>
      <c r="C138" s="415"/>
      <c r="D138" s="415"/>
      <c r="E138" s="415"/>
      <c r="F138" s="415"/>
      <c r="G138" s="415"/>
      <c r="H138" s="418"/>
      <c r="I138" s="188"/>
      <c r="J138" s="188"/>
      <c r="K138" s="188"/>
      <c r="L138" s="188"/>
      <c r="M138" s="188"/>
      <c r="N138" s="188"/>
      <c r="O138" s="188"/>
      <c r="P138" s="188"/>
      <c r="Q138" s="188"/>
      <c r="R138" s="188"/>
      <c r="S138" s="188"/>
      <c r="T138" s="188"/>
      <c r="U138" s="417"/>
    </row>
    <row r="139" spans="1:21" ht="11.25">
      <c r="A139" s="163" t="s">
        <v>7</v>
      </c>
      <c r="B139" s="225" t="s">
        <v>99</v>
      </c>
      <c r="C139" s="415" t="s">
        <v>99</v>
      </c>
      <c r="D139" s="415" t="s">
        <v>99</v>
      </c>
      <c r="E139" s="415" t="s">
        <v>99</v>
      </c>
      <c r="F139" s="415"/>
      <c r="G139" s="415" t="s">
        <v>99</v>
      </c>
      <c r="H139" s="418" t="s">
        <v>99</v>
      </c>
      <c r="I139" s="188"/>
      <c r="J139" s="188"/>
      <c r="K139" s="188"/>
      <c r="L139" s="188"/>
      <c r="M139" s="188"/>
      <c r="N139" s="188"/>
      <c r="O139" s="188"/>
      <c r="P139" s="188"/>
      <c r="Q139" s="188"/>
      <c r="R139" s="188"/>
      <c r="S139" s="188"/>
      <c r="T139" s="188"/>
      <c r="U139" s="424">
        <f>SUM(U134:U137)</f>
        <v>18440021.819999997</v>
      </c>
    </row>
    <row r="140" spans="2:21" ht="11.25">
      <c r="B140" s="248"/>
      <c r="C140" s="275"/>
      <c r="D140" s="275"/>
      <c r="E140" s="275"/>
      <c r="F140" s="275"/>
      <c r="G140" s="275"/>
      <c r="H140" s="276"/>
      <c r="I140" s="188"/>
      <c r="J140" s="188"/>
      <c r="K140" s="188"/>
      <c r="L140" s="188"/>
      <c r="M140" s="188"/>
      <c r="N140" s="188"/>
      <c r="O140" s="188"/>
      <c r="P140" s="188"/>
      <c r="Q140" s="188"/>
      <c r="R140" s="188"/>
      <c r="S140" s="188"/>
      <c r="T140" s="188"/>
      <c r="U140" s="412"/>
    </row>
    <row r="141" spans="1:21" ht="11.25">
      <c r="A141" s="163" t="s">
        <v>89</v>
      </c>
      <c r="B141" s="320"/>
      <c r="C141" s="425"/>
      <c r="D141" s="425"/>
      <c r="E141" s="425"/>
      <c r="F141" s="425"/>
      <c r="G141" s="425"/>
      <c r="H141" s="426"/>
      <c r="I141" s="427"/>
      <c r="J141" s="427"/>
      <c r="K141" s="427"/>
      <c r="L141" s="427"/>
      <c r="M141" s="427"/>
      <c r="N141" s="427"/>
      <c r="O141" s="427"/>
      <c r="P141" s="427"/>
      <c r="Q141" s="427"/>
      <c r="R141" s="427"/>
      <c r="S141" s="427"/>
      <c r="T141" s="427"/>
      <c r="U141" s="320"/>
    </row>
    <row r="142" spans="1:21" ht="11.25" outlineLevel="1">
      <c r="A142" s="315" t="s">
        <v>124</v>
      </c>
      <c r="B142" s="320">
        <f>559564.88+179.36</f>
        <v>559744.24</v>
      </c>
      <c r="C142" s="425"/>
      <c r="D142" s="425"/>
      <c r="E142" s="425"/>
      <c r="F142" s="425"/>
      <c r="G142" s="425"/>
      <c r="H142" s="426"/>
      <c r="I142" s="427"/>
      <c r="J142" s="427"/>
      <c r="K142" s="427"/>
      <c r="L142" s="427"/>
      <c r="M142" s="427"/>
      <c r="N142" s="427"/>
      <c r="O142" s="427"/>
      <c r="P142" s="427"/>
      <c r="Q142" s="427"/>
      <c r="R142" s="427"/>
      <c r="S142" s="427"/>
      <c r="T142" s="427"/>
      <c r="U142" s="320">
        <f>SUM(B142:T142)</f>
        <v>559744.24</v>
      </c>
    </row>
    <row r="143" spans="1:21" ht="11.25" outlineLevel="1">
      <c r="A143" s="315" t="s">
        <v>39</v>
      </c>
      <c r="B143" s="320">
        <v>69255</v>
      </c>
      <c r="C143" s="425"/>
      <c r="D143" s="425"/>
      <c r="E143" s="425"/>
      <c r="F143" s="425"/>
      <c r="G143" s="425"/>
      <c r="H143" s="426"/>
      <c r="I143" s="427"/>
      <c r="J143" s="427"/>
      <c r="K143" s="427"/>
      <c r="L143" s="427"/>
      <c r="M143" s="427"/>
      <c r="N143" s="427"/>
      <c r="O143" s="427"/>
      <c r="P143" s="427"/>
      <c r="Q143" s="427"/>
      <c r="R143" s="427"/>
      <c r="S143" s="427"/>
      <c r="T143" s="427"/>
      <c r="U143" s="320">
        <f aca="true" t="shared" si="9" ref="U143:U152">SUM(B143:T143)</f>
        <v>69255</v>
      </c>
    </row>
    <row r="144" spans="1:21" ht="11.25">
      <c r="A144" s="315" t="s">
        <v>270</v>
      </c>
      <c r="B144" s="320">
        <f>SUM(B142:B143)</f>
        <v>628999.24</v>
      </c>
      <c r="C144" s="425"/>
      <c r="D144" s="425"/>
      <c r="E144" s="425"/>
      <c r="F144" s="425"/>
      <c r="G144" s="425"/>
      <c r="H144" s="426"/>
      <c r="I144" s="427"/>
      <c r="J144" s="427"/>
      <c r="K144" s="427"/>
      <c r="L144" s="427"/>
      <c r="M144" s="427"/>
      <c r="N144" s="427"/>
      <c r="O144" s="427"/>
      <c r="P144" s="427"/>
      <c r="Q144" s="427"/>
      <c r="R144" s="427"/>
      <c r="S144" s="427"/>
      <c r="T144" s="427"/>
      <c r="U144" s="320">
        <f t="shared" si="9"/>
        <v>628999.24</v>
      </c>
    </row>
    <row r="145" spans="1:21" ht="11.25">
      <c r="A145" s="315" t="s">
        <v>271</v>
      </c>
      <c r="B145" s="320">
        <v>255609.07</v>
      </c>
      <c r="C145" s="425"/>
      <c r="D145" s="425"/>
      <c r="E145" s="425"/>
      <c r="F145" s="425"/>
      <c r="G145" s="425"/>
      <c r="H145" s="426"/>
      <c r="I145" s="427"/>
      <c r="J145" s="427"/>
      <c r="K145" s="427"/>
      <c r="L145" s="427"/>
      <c r="M145" s="427"/>
      <c r="N145" s="427"/>
      <c r="O145" s="427"/>
      <c r="P145" s="427"/>
      <c r="Q145" s="427"/>
      <c r="R145" s="427"/>
      <c r="S145" s="427"/>
      <c r="T145" s="427"/>
      <c r="U145" s="320">
        <f t="shared" si="9"/>
        <v>255609.07</v>
      </c>
    </row>
    <row r="146" spans="1:22" ht="11.25" outlineLevel="1">
      <c r="A146" s="315" t="s">
        <v>387</v>
      </c>
      <c r="B146" s="320"/>
      <c r="C146" s="425">
        <v>204196</v>
      </c>
      <c r="D146" s="425">
        <v>238315.51</v>
      </c>
      <c r="E146" s="425">
        <v>234515.1</v>
      </c>
      <c r="F146" s="425">
        <v>136914</v>
      </c>
      <c r="G146" s="425">
        <v>40505.61</v>
      </c>
      <c r="H146" s="426">
        <v>108714.23</v>
      </c>
      <c r="I146" s="427">
        <v>17413.79</v>
      </c>
      <c r="J146" s="427">
        <v>26037</v>
      </c>
      <c r="K146" s="427">
        <v>4194</v>
      </c>
      <c r="L146" s="427">
        <v>60137</v>
      </c>
      <c r="M146" s="427">
        <v>11030.02</v>
      </c>
      <c r="N146" s="427">
        <v>5860.58</v>
      </c>
      <c r="O146" s="427">
        <v>57901.53</v>
      </c>
      <c r="P146" s="427">
        <v>26120</v>
      </c>
      <c r="Q146" s="427">
        <v>52578</v>
      </c>
      <c r="R146" s="427">
        <v>47357.06</v>
      </c>
      <c r="S146" s="427">
        <v>13777</v>
      </c>
      <c r="T146" s="427">
        <v>91095</v>
      </c>
      <c r="U146" s="320">
        <f t="shared" si="9"/>
        <v>1376661.4300000002</v>
      </c>
      <c r="V146" s="168" t="s">
        <v>99</v>
      </c>
    </row>
    <row r="147" spans="1:21" ht="11.25" outlineLevel="1">
      <c r="A147" s="315" t="s">
        <v>388</v>
      </c>
      <c r="B147" s="320"/>
      <c r="C147" s="425">
        <v>29786</v>
      </c>
      <c r="D147" s="425">
        <v>22056.52</v>
      </c>
      <c r="E147" s="425">
        <v>4203.09</v>
      </c>
      <c r="F147" s="425">
        <v>2235</v>
      </c>
      <c r="G147" s="425">
        <v>11369.84</v>
      </c>
      <c r="H147" s="426">
        <v>16147</v>
      </c>
      <c r="I147" s="427">
        <v>839.22</v>
      </c>
      <c r="J147" s="427">
        <v>2379</v>
      </c>
      <c r="K147" s="427">
        <v>1518</v>
      </c>
      <c r="L147" s="427">
        <v>7544</v>
      </c>
      <c r="M147" s="427">
        <v>183</v>
      </c>
      <c r="N147" s="427">
        <v>114</v>
      </c>
      <c r="O147" s="427">
        <v>2614.54</v>
      </c>
      <c r="P147" s="427">
        <v>1556</v>
      </c>
      <c r="Q147" s="427">
        <v>4697</v>
      </c>
      <c r="R147" s="427"/>
      <c r="S147" s="427">
        <v>4576</v>
      </c>
      <c r="T147" s="427">
        <v>3322</v>
      </c>
      <c r="U147" s="320">
        <f t="shared" si="9"/>
        <v>115140.20999999999</v>
      </c>
    </row>
    <row r="148" spans="1:21" ht="11.25">
      <c r="A148" s="315" t="s">
        <v>274</v>
      </c>
      <c r="B148" s="320"/>
      <c r="C148" s="425">
        <f>SUM(C146:C147)</f>
        <v>233982</v>
      </c>
      <c r="D148" s="425">
        <f aca="true" t="shared" si="10" ref="D148:T148">SUM(D146:D147)</f>
        <v>260372.03</v>
      </c>
      <c r="E148" s="425">
        <f t="shared" si="10"/>
        <v>238718.19</v>
      </c>
      <c r="F148" s="425">
        <f t="shared" si="10"/>
        <v>139149</v>
      </c>
      <c r="G148" s="425">
        <f t="shared" si="10"/>
        <v>51875.45</v>
      </c>
      <c r="H148" s="426">
        <f t="shared" si="10"/>
        <v>124861.23</v>
      </c>
      <c r="I148" s="426">
        <f t="shared" si="10"/>
        <v>18253.010000000002</v>
      </c>
      <c r="J148" s="426">
        <f t="shared" si="10"/>
        <v>28416</v>
      </c>
      <c r="K148" s="426">
        <f t="shared" si="10"/>
        <v>5712</v>
      </c>
      <c r="L148" s="426">
        <f t="shared" si="10"/>
        <v>67681</v>
      </c>
      <c r="M148" s="426">
        <f t="shared" si="10"/>
        <v>11213.02</v>
      </c>
      <c r="N148" s="426">
        <f t="shared" si="10"/>
        <v>5974.58</v>
      </c>
      <c r="O148" s="426">
        <f t="shared" si="10"/>
        <v>60516.07</v>
      </c>
      <c r="P148" s="426">
        <f t="shared" si="10"/>
        <v>27676</v>
      </c>
      <c r="Q148" s="426">
        <f t="shared" si="10"/>
        <v>57275</v>
      </c>
      <c r="R148" s="426">
        <f t="shared" si="10"/>
        <v>47357.06</v>
      </c>
      <c r="S148" s="426">
        <f t="shared" si="10"/>
        <v>18353</v>
      </c>
      <c r="T148" s="426">
        <f t="shared" si="10"/>
        <v>94417</v>
      </c>
      <c r="U148" s="320">
        <f t="shared" si="9"/>
        <v>1491801.6400000001</v>
      </c>
    </row>
    <row r="149" spans="1:22" ht="11.25">
      <c r="A149" s="315" t="s">
        <v>275</v>
      </c>
      <c r="B149" s="320">
        <v>13651</v>
      </c>
      <c r="C149" s="425">
        <v>29487</v>
      </c>
      <c r="D149" s="425">
        <v>16670.56</v>
      </c>
      <c r="E149" s="425">
        <v>23720</v>
      </c>
      <c r="F149" s="425">
        <f>7086+7202</f>
        <v>14288</v>
      </c>
      <c r="G149" s="425">
        <v>6474.05</v>
      </c>
      <c r="H149" s="426">
        <v>7628</v>
      </c>
      <c r="I149" s="427">
        <v>3630</v>
      </c>
      <c r="J149" s="427">
        <v>5728.76</v>
      </c>
      <c r="K149" s="427">
        <v>214</v>
      </c>
      <c r="L149" s="427">
        <v>3924</v>
      </c>
      <c r="M149" s="427">
        <v>376</v>
      </c>
      <c r="N149" s="427">
        <v>340.12</v>
      </c>
      <c r="O149" s="427">
        <v>12102.04</v>
      </c>
      <c r="P149" s="427">
        <f>406+1075</f>
        <v>1481</v>
      </c>
      <c r="Q149" s="427">
        <v>2785</v>
      </c>
      <c r="R149" s="427">
        <v>1790</v>
      </c>
      <c r="S149" s="427">
        <v>5450</v>
      </c>
      <c r="T149" s="427">
        <v>5128</v>
      </c>
      <c r="U149" s="320">
        <f t="shared" si="9"/>
        <v>154867.53</v>
      </c>
      <c r="V149" s="168" t="s">
        <v>99</v>
      </c>
    </row>
    <row r="150" spans="1:21" ht="11.25" outlineLevel="1">
      <c r="A150" s="315" t="s">
        <v>238</v>
      </c>
      <c r="B150" s="320"/>
      <c r="C150" s="425">
        <v>3191780</v>
      </c>
      <c r="D150" s="425">
        <v>2251363.45</v>
      </c>
      <c r="E150" s="425">
        <v>4041733.63</v>
      </c>
      <c r="F150" s="425">
        <v>1433246</v>
      </c>
      <c r="G150" s="425">
        <v>310404.15</v>
      </c>
      <c r="H150" s="426">
        <v>1306464.83</v>
      </c>
      <c r="I150" s="427">
        <v>140470.76</v>
      </c>
      <c r="J150" s="427">
        <v>247684.22</v>
      </c>
      <c r="K150" s="427">
        <v>51437</v>
      </c>
      <c r="L150" s="427">
        <v>816179</v>
      </c>
      <c r="M150" s="427">
        <v>108243.46</v>
      </c>
      <c r="N150" s="427">
        <v>67066.79</v>
      </c>
      <c r="O150" s="427">
        <v>881679.82</v>
      </c>
      <c r="P150" s="427">
        <v>264031</v>
      </c>
      <c r="Q150" s="427">
        <v>892769</v>
      </c>
      <c r="R150" s="427">
        <v>529976.63</v>
      </c>
      <c r="S150" s="427">
        <v>186335</v>
      </c>
      <c r="T150" s="427">
        <v>638881</v>
      </c>
      <c r="U150" s="320">
        <f t="shared" si="9"/>
        <v>17359745.740000002</v>
      </c>
    </row>
    <row r="151" spans="1:21" ht="11.25" outlineLevel="1">
      <c r="A151" s="315" t="s">
        <v>389</v>
      </c>
      <c r="B151" s="320"/>
      <c r="C151" s="425">
        <v>484462</v>
      </c>
      <c r="D151" s="425">
        <v>194320.98</v>
      </c>
      <c r="E151" s="425">
        <v>72498.04</v>
      </c>
      <c r="F151" s="425">
        <v>26680</v>
      </c>
      <c r="G151" s="425">
        <v>89830.44</v>
      </c>
      <c r="H151" s="426">
        <v>97700</v>
      </c>
      <c r="I151" s="427">
        <v>9554.72</v>
      </c>
      <c r="J151" s="427">
        <v>46168.97</v>
      </c>
      <c r="K151" s="427">
        <v>17945</v>
      </c>
      <c r="L151" s="427">
        <v>65621</v>
      </c>
      <c r="M151" s="427">
        <v>1486.31</v>
      </c>
      <c r="N151" s="427">
        <v>395.69</v>
      </c>
      <c r="O151" s="427">
        <v>37048.04</v>
      </c>
      <c r="P151" s="427">
        <v>17478</v>
      </c>
      <c r="Q151" s="427">
        <v>31545</v>
      </c>
      <c r="R151" s="427"/>
      <c r="S151" s="427">
        <v>51797</v>
      </c>
      <c r="T151" s="427">
        <v>35449</v>
      </c>
      <c r="U151" s="320">
        <f t="shared" si="9"/>
        <v>1279980.19</v>
      </c>
    </row>
    <row r="152" spans="1:21" ht="11.25">
      <c r="A152" s="315" t="s">
        <v>390</v>
      </c>
      <c r="B152" s="320"/>
      <c r="C152" s="425">
        <f>SUM(C150:C151)</f>
        <v>3676242</v>
      </c>
      <c r="D152" s="425">
        <f aca="true" t="shared" si="11" ref="D152:T152">SUM(D150:D151)</f>
        <v>2445684.43</v>
      </c>
      <c r="E152" s="425">
        <f t="shared" si="11"/>
        <v>4114231.67</v>
      </c>
      <c r="F152" s="425">
        <f t="shared" si="11"/>
        <v>1459926</v>
      </c>
      <c r="G152" s="425">
        <f t="shared" si="11"/>
        <v>400234.59</v>
      </c>
      <c r="H152" s="426">
        <f t="shared" si="11"/>
        <v>1404164.83</v>
      </c>
      <c r="I152" s="426">
        <f t="shared" si="11"/>
        <v>150025.48</v>
      </c>
      <c r="J152" s="426">
        <f t="shared" si="11"/>
        <v>293853.19</v>
      </c>
      <c r="K152" s="426">
        <f t="shared" si="11"/>
        <v>69382</v>
      </c>
      <c r="L152" s="426">
        <f t="shared" si="11"/>
        <v>881800</v>
      </c>
      <c r="M152" s="426">
        <f t="shared" si="11"/>
        <v>109729.77</v>
      </c>
      <c r="N152" s="426">
        <f t="shared" si="11"/>
        <v>67462.48</v>
      </c>
      <c r="O152" s="426">
        <f t="shared" si="11"/>
        <v>918727.86</v>
      </c>
      <c r="P152" s="426">
        <f t="shared" si="11"/>
        <v>281509</v>
      </c>
      <c r="Q152" s="426">
        <f t="shared" si="11"/>
        <v>924314</v>
      </c>
      <c r="R152" s="426">
        <f t="shared" si="11"/>
        <v>529976.63</v>
      </c>
      <c r="S152" s="426">
        <f t="shared" si="11"/>
        <v>238132</v>
      </c>
      <c r="T152" s="426">
        <f t="shared" si="11"/>
        <v>674330</v>
      </c>
      <c r="U152" s="320">
        <f t="shared" si="9"/>
        <v>18639725.929999996</v>
      </c>
    </row>
    <row r="153" spans="1:21" ht="11.25">
      <c r="A153" s="315"/>
      <c r="B153" s="428"/>
      <c r="C153" s="429"/>
      <c r="D153" s="429"/>
      <c r="E153" s="429"/>
      <c r="F153" s="429"/>
      <c r="G153" s="429"/>
      <c r="H153" s="430"/>
      <c r="I153" s="430"/>
      <c r="J153" s="430"/>
      <c r="K153" s="430"/>
      <c r="L153" s="430"/>
      <c r="M153" s="430"/>
      <c r="N153" s="430"/>
      <c r="O153" s="430"/>
      <c r="P153" s="430"/>
      <c r="Q153" s="430"/>
      <c r="R153" s="430"/>
      <c r="S153" s="430"/>
      <c r="T153" s="430"/>
      <c r="U153" s="428"/>
    </row>
    <row r="154" spans="1:23" ht="11.25">
      <c r="A154" s="163" t="s">
        <v>8</v>
      </c>
      <c r="B154" s="320">
        <f>B144+B145+B148+B149+B152</f>
        <v>898259.31</v>
      </c>
      <c r="C154" s="425">
        <f aca="true" t="shared" si="12" ref="C154:T154">C144+C145+C148+C149+C152</f>
        <v>3939711</v>
      </c>
      <c r="D154" s="425">
        <f t="shared" si="12"/>
        <v>2722727.02</v>
      </c>
      <c r="E154" s="425">
        <f t="shared" si="12"/>
        <v>4376669.86</v>
      </c>
      <c r="F154" s="425">
        <f t="shared" si="12"/>
        <v>1613363</v>
      </c>
      <c r="G154" s="425">
        <f t="shared" si="12"/>
        <v>458584.09</v>
      </c>
      <c r="H154" s="426">
        <f t="shared" si="12"/>
        <v>1536654.06</v>
      </c>
      <c r="I154" s="426">
        <f t="shared" si="12"/>
        <v>171908.49000000002</v>
      </c>
      <c r="J154" s="426">
        <f t="shared" si="12"/>
        <v>327997.95</v>
      </c>
      <c r="K154" s="426">
        <f t="shared" si="12"/>
        <v>75308</v>
      </c>
      <c r="L154" s="426">
        <f t="shared" si="12"/>
        <v>953405</v>
      </c>
      <c r="M154" s="426">
        <f t="shared" si="12"/>
        <v>121318.79000000001</v>
      </c>
      <c r="N154" s="426">
        <f t="shared" si="12"/>
        <v>73777.18</v>
      </c>
      <c r="O154" s="426">
        <f t="shared" si="12"/>
        <v>991345.97</v>
      </c>
      <c r="P154" s="426">
        <f t="shared" si="12"/>
        <v>310666</v>
      </c>
      <c r="Q154" s="426">
        <f t="shared" si="12"/>
        <v>984374</v>
      </c>
      <c r="R154" s="426">
        <f t="shared" si="12"/>
        <v>579123.69</v>
      </c>
      <c r="S154" s="426">
        <f t="shared" si="12"/>
        <v>261935</v>
      </c>
      <c r="T154" s="426">
        <f t="shared" si="12"/>
        <v>773875</v>
      </c>
      <c r="U154" s="320">
        <f>SUM(B154:T154)</f>
        <v>21171003.41</v>
      </c>
      <c r="W154" s="168" t="s">
        <v>99</v>
      </c>
    </row>
    <row r="155" spans="1:21" ht="11.25">
      <c r="A155" s="163"/>
      <c r="B155" s="320"/>
      <c r="C155" s="425"/>
      <c r="D155" s="425"/>
      <c r="E155" s="425"/>
      <c r="F155" s="425"/>
      <c r="G155" s="425"/>
      <c r="H155" s="426"/>
      <c r="I155" s="426"/>
      <c r="J155" s="426"/>
      <c r="K155" s="426"/>
      <c r="L155" s="426"/>
      <c r="M155" s="426"/>
      <c r="N155" s="426"/>
      <c r="O155" s="426"/>
      <c r="P155" s="426"/>
      <c r="Q155" s="426"/>
      <c r="R155" s="426"/>
      <c r="S155" s="426"/>
      <c r="T155" s="426"/>
      <c r="U155" s="320"/>
    </row>
    <row r="156" spans="1:21" ht="12" thickBot="1">
      <c r="A156" s="163" t="s">
        <v>452</v>
      </c>
      <c r="B156" s="431"/>
      <c r="C156" s="432"/>
      <c r="D156" s="432"/>
      <c r="E156" s="432"/>
      <c r="F156" s="432"/>
      <c r="G156" s="432"/>
      <c r="H156" s="433"/>
      <c r="I156" s="433"/>
      <c r="J156" s="433"/>
      <c r="K156" s="433"/>
      <c r="L156" s="433"/>
      <c r="M156" s="433"/>
      <c r="N156" s="433"/>
      <c r="O156" s="433"/>
      <c r="P156" s="433"/>
      <c r="Q156" s="433"/>
      <c r="R156" s="433"/>
      <c r="S156" s="433"/>
      <c r="T156" s="433"/>
      <c r="U156" s="431">
        <f>U131+U139-U154</f>
        <v>7147055.129999999</v>
      </c>
    </row>
    <row r="157" spans="1:21" ht="12" thickTop="1">
      <c r="A157" s="315"/>
      <c r="B157" s="320"/>
      <c r="C157" s="425"/>
      <c r="D157" s="425"/>
      <c r="E157" s="425"/>
      <c r="F157" s="425"/>
      <c r="G157" s="425"/>
      <c r="H157" s="426"/>
      <c r="I157" s="427"/>
      <c r="J157" s="427"/>
      <c r="K157" s="427"/>
      <c r="L157" s="427"/>
      <c r="M157" s="427"/>
      <c r="N157" s="427"/>
      <c r="O157" s="427"/>
      <c r="P157" s="427"/>
      <c r="Q157" s="427"/>
      <c r="R157" s="427"/>
      <c r="S157" s="427"/>
      <c r="T157" s="427"/>
      <c r="U157" s="320"/>
    </row>
    <row r="158" spans="1:21" ht="11.25">
      <c r="A158" s="315" t="s">
        <v>453</v>
      </c>
      <c r="B158" s="417">
        <f>'Obligations 15-17 at 12-31-17'!P74+'Obligations 15-17 at 12-31-17'!P184+'Obligations 15-17 at 12-31-17'!P192</f>
        <v>0</v>
      </c>
      <c r="C158" s="419">
        <v>539789</v>
      </c>
      <c r="D158" s="419">
        <v>724950.23</v>
      </c>
      <c r="E158" s="419">
        <v>301580.45</v>
      </c>
      <c r="F158" s="419">
        <v>304107.52</v>
      </c>
      <c r="G158" s="419">
        <v>179419.91</v>
      </c>
      <c r="H158" s="434">
        <v>120968.92</v>
      </c>
      <c r="I158" s="434">
        <v>148185.21</v>
      </c>
      <c r="J158" s="434">
        <v>235783.05</v>
      </c>
      <c r="K158" s="434">
        <v>99529</v>
      </c>
      <c r="L158" s="434">
        <v>377131</v>
      </c>
      <c r="M158" s="434">
        <v>2750.54</v>
      </c>
      <c r="N158" s="434">
        <v>78716.8</v>
      </c>
      <c r="O158" s="434">
        <v>328142.27</v>
      </c>
      <c r="P158" s="434">
        <v>78513</v>
      </c>
      <c r="Q158" s="434">
        <v>173137</v>
      </c>
      <c r="R158" s="434">
        <v>138428.41</v>
      </c>
      <c r="S158" s="434">
        <v>214682.75</v>
      </c>
      <c r="T158" s="434">
        <v>384806</v>
      </c>
      <c r="U158" s="417">
        <f>SUM(B158:T158)</f>
        <v>4430621.06</v>
      </c>
    </row>
    <row r="159" spans="1:21" ht="11.25">
      <c r="A159" s="315"/>
      <c r="B159" s="412"/>
      <c r="C159" s="435"/>
      <c r="D159" s="435"/>
      <c r="E159" s="435"/>
      <c r="F159" s="435"/>
      <c r="G159" s="435"/>
      <c r="H159" s="436"/>
      <c r="I159" s="437"/>
      <c r="J159" s="437"/>
      <c r="K159" s="437"/>
      <c r="L159" s="437"/>
      <c r="M159" s="437"/>
      <c r="N159" s="437"/>
      <c r="O159" s="437"/>
      <c r="P159" s="437"/>
      <c r="Q159" s="437"/>
      <c r="R159" s="437"/>
      <c r="S159" s="437"/>
      <c r="T159" s="437"/>
      <c r="U159" s="412"/>
    </row>
    <row r="160" spans="1:21" ht="12" thickBot="1">
      <c r="A160" s="163" t="s">
        <v>454</v>
      </c>
      <c r="B160" s="438" t="s">
        <v>99</v>
      </c>
      <c r="C160" s="439" t="s">
        <v>99</v>
      </c>
      <c r="D160" s="439" t="s">
        <v>99</v>
      </c>
      <c r="E160" s="439" t="s">
        <v>99</v>
      </c>
      <c r="F160" s="439" t="s">
        <v>99</v>
      </c>
      <c r="G160" s="439" t="s">
        <v>99</v>
      </c>
      <c r="H160" s="440" t="s">
        <v>99</v>
      </c>
      <c r="I160" s="441"/>
      <c r="J160" s="441"/>
      <c r="K160" s="441"/>
      <c r="L160" s="441"/>
      <c r="M160" s="441"/>
      <c r="N160" s="441"/>
      <c r="O160" s="441"/>
      <c r="P160" s="441"/>
      <c r="Q160" s="441"/>
      <c r="R160" s="441"/>
      <c r="S160" s="441"/>
      <c r="T160" s="441"/>
      <c r="U160" s="438">
        <f>U156-U158</f>
        <v>2716434.0699999994</v>
      </c>
    </row>
    <row r="161" spans="2:21" ht="12" thickTop="1">
      <c r="B161" s="316"/>
      <c r="C161" s="317"/>
      <c r="D161" s="317"/>
      <c r="E161" s="317"/>
      <c r="F161" s="317"/>
      <c r="G161" s="317"/>
      <c r="H161" s="318"/>
      <c r="I161" s="319"/>
      <c r="J161" s="319"/>
      <c r="K161" s="319"/>
      <c r="L161" s="319"/>
      <c r="M161" s="319"/>
      <c r="N161" s="319"/>
      <c r="O161" s="319"/>
      <c r="P161" s="319"/>
      <c r="Q161" s="319"/>
      <c r="R161" s="319"/>
      <c r="S161" s="319"/>
      <c r="T161" s="319"/>
      <c r="U161" s="349"/>
    </row>
    <row r="162" spans="2:7" ht="10.5">
      <c r="B162" s="168"/>
      <c r="C162" s="168"/>
      <c r="D162" s="168"/>
      <c r="E162" s="168"/>
      <c r="F162" s="168"/>
      <c r="G162" s="168"/>
    </row>
    <row r="163" spans="1:21" ht="11.25">
      <c r="A163" s="350" t="s">
        <v>99</v>
      </c>
      <c r="B163" s="320"/>
      <c r="C163" s="577" t="s">
        <v>267</v>
      </c>
      <c r="D163" s="577"/>
      <c r="E163" s="577"/>
      <c r="F163" s="577"/>
      <c r="G163" s="577"/>
      <c r="H163" s="578" t="s">
        <v>286</v>
      </c>
      <c r="I163" s="578"/>
      <c r="J163" s="578"/>
      <c r="K163" s="578"/>
      <c r="L163" s="578"/>
      <c r="M163" s="578"/>
      <c r="N163" s="578"/>
      <c r="O163" s="578"/>
      <c r="P163" s="578"/>
      <c r="Q163" s="578"/>
      <c r="R163" s="578"/>
      <c r="S163" s="578"/>
      <c r="T163" s="578"/>
      <c r="U163" s="320"/>
    </row>
    <row r="164" spans="2:21" ht="11.25">
      <c r="B164" s="321" t="s">
        <v>13</v>
      </c>
      <c r="C164" s="474" t="s">
        <v>36</v>
      </c>
      <c r="D164" s="474" t="s">
        <v>37</v>
      </c>
      <c r="E164" s="474" t="s">
        <v>31</v>
      </c>
      <c r="F164" s="474" t="s">
        <v>32</v>
      </c>
      <c r="G164" s="474" t="s">
        <v>38</v>
      </c>
      <c r="H164" s="323" t="s">
        <v>25</v>
      </c>
      <c r="I164" s="323" t="s">
        <v>26</v>
      </c>
      <c r="J164" s="323" t="s">
        <v>27</v>
      </c>
      <c r="K164" s="323" t="s">
        <v>28</v>
      </c>
      <c r="L164" s="323" t="s">
        <v>29</v>
      </c>
      <c r="M164" s="323" t="s">
        <v>40</v>
      </c>
      <c r="N164" s="323" t="s">
        <v>30</v>
      </c>
      <c r="O164" s="323" t="s">
        <v>31</v>
      </c>
      <c r="P164" s="323" t="s">
        <v>32</v>
      </c>
      <c r="Q164" s="323" t="s">
        <v>33</v>
      </c>
      <c r="R164" s="323" t="s">
        <v>41</v>
      </c>
      <c r="S164" s="323" t="s">
        <v>34</v>
      </c>
      <c r="T164" s="323" t="s">
        <v>35</v>
      </c>
      <c r="U164" s="315"/>
    </row>
    <row r="165" spans="2:21" ht="33.75">
      <c r="B165" s="324" t="s">
        <v>75</v>
      </c>
      <c r="C165" s="325" t="s">
        <v>290</v>
      </c>
      <c r="D165" s="325" t="s">
        <v>289</v>
      </c>
      <c r="E165" s="325" t="s">
        <v>291</v>
      </c>
      <c r="F165" s="325" t="s">
        <v>292</v>
      </c>
      <c r="G165" s="325" t="s">
        <v>293</v>
      </c>
      <c r="H165" s="473" t="s">
        <v>294</v>
      </c>
      <c r="I165" s="473" t="s">
        <v>303</v>
      </c>
      <c r="J165" s="473" t="s">
        <v>300</v>
      </c>
      <c r="K165" s="473" t="s">
        <v>301</v>
      </c>
      <c r="L165" s="473" t="s">
        <v>295</v>
      </c>
      <c r="M165" s="473" t="s">
        <v>296</v>
      </c>
      <c r="N165" s="473" t="s">
        <v>302</v>
      </c>
      <c r="O165" s="473" t="s">
        <v>291</v>
      </c>
      <c r="P165" s="473" t="s">
        <v>292</v>
      </c>
      <c r="Q165" s="473" t="s">
        <v>304</v>
      </c>
      <c r="R165" s="473" t="s">
        <v>297</v>
      </c>
      <c r="S165" s="473" t="s">
        <v>298</v>
      </c>
      <c r="T165" s="473" t="s">
        <v>299</v>
      </c>
      <c r="U165" s="321" t="s">
        <v>118</v>
      </c>
    </row>
    <row r="166" spans="1:21" ht="11.25">
      <c r="A166" s="315"/>
      <c r="B166" s="506"/>
      <c r="C166" s="507"/>
      <c r="D166" s="507"/>
      <c r="E166" s="507"/>
      <c r="F166" s="507"/>
      <c r="G166" s="507"/>
      <c r="H166" s="508"/>
      <c r="I166" s="508"/>
      <c r="J166" s="508"/>
      <c r="K166" s="508"/>
      <c r="L166" s="508"/>
      <c r="M166" s="508"/>
      <c r="N166" s="508"/>
      <c r="O166" s="508"/>
      <c r="P166" s="508"/>
      <c r="Q166" s="508"/>
      <c r="R166" s="508"/>
      <c r="S166" s="508"/>
      <c r="T166" s="508"/>
      <c r="U166" s="412"/>
    </row>
    <row r="167" spans="1:21" ht="11.25">
      <c r="A167" s="315" t="s">
        <v>510</v>
      </c>
      <c r="B167" s="506"/>
      <c r="C167" s="507"/>
      <c r="D167" s="507"/>
      <c r="E167" s="507"/>
      <c r="F167" s="507"/>
      <c r="G167" s="507"/>
      <c r="H167" s="508"/>
      <c r="I167" s="508"/>
      <c r="J167" s="508"/>
      <c r="K167" s="508"/>
      <c r="L167" s="508"/>
      <c r="M167" s="508"/>
      <c r="N167" s="508"/>
      <c r="O167" s="508"/>
      <c r="P167" s="508"/>
      <c r="Q167" s="508"/>
      <c r="R167" s="508"/>
      <c r="S167" s="508"/>
      <c r="T167" s="508"/>
      <c r="U167" s="412"/>
    </row>
    <row r="168" spans="1:21" ht="11.25">
      <c r="A168" s="315" t="s">
        <v>511</v>
      </c>
      <c r="B168" s="417">
        <v>189598.85</v>
      </c>
      <c r="C168" s="507"/>
      <c r="D168" s="507"/>
      <c r="E168" s="507"/>
      <c r="F168" s="507"/>
      <c r="G168" s="507"/>
      <c r="H168" s="508"/>
      <c r="I168" s="508"/>
      <c r="J168" s="508"/>
      <c r="K168" s="508"/>
      <c r="L168" s="508"/>
      <c r="M168" s="508"/>
      <c r="N168" s="508"/>
      <c r="O168" s="508"/>
      <c r="P168" s="508"/>
      <c r="Q168" s="508"/>
      <c r="R168" s="508"/>
      <c r="S168" s="508"/>
      <c r="T168" s="508"/>
      <c r="U168" s="417">
        <f>SUM(B168:T168)</f>
        <v>189598.85</v>
      </c>
    </row>
    <row r="169" spans="1:21" ht="11.25">
      <c r="A169" s="315" t="s">
        <v>512</v>
      </c>
      <c r="B169" s="417">
        <v>902254.56</v>
      </c>
      <c r="C169" s="507"/>
      <c r="D169" s="507"/>
      <c r="E169" s="507"/>
      <c r="F169" s="507"/>
      <c r="G169" s="507"/>
      <c r="H169" s="508"/>
      <c r="I169" s="508"/>
      <c r="J169" s="508"/>
      <c r="K169" s="508"/>
      <c r="L169" s="508"/>
      <c r="M169" s="508"/>
      <c r="N169" s="508"/>
      <c r="O169" s="508"/>
      <c r="P169" s="508"/>
      <c r="Q169" s="508"/>
      <c r="R169" s="508"/>
      <c r="S169" s="508"/>
      <c r="T169" s="508"/>
      <c r="U169" s="417">
        <f aca="true" t="shared" si="13" ref="U169:U176">SUM(B169:T169)</f>
        <v>902254.56</v>
      </c>
    </row>
    <row r="170" spans="1:21" ht="11.25">
      <c r="A170" s="315" t="s">
        <v>513</v>
      </c>
      <c r="B170" s="417">
        <v>385341.39</v>
      </c>
      <c r="C170" s="507"/>
      <c r="D170" s="507"/>
      <c r="E170" s="507"/>
      <c r="F170" s="507"/>
      <c r="G170" s="507"/>
      <c r="H170" s="508"/>
      <c r="I170" s="508"/>
      <c r="J170" s="508"/>
      <c r="K170" s="508"/>
      <c r="L170" s="508"/>
      <c r="M170" s="508"/>
      <c r="N170" s="508"/>
      <c r="O170" s="508"/>
      <c r="P170" s="508"/>
      <c r="Q170" s="508"/>
      <c r="R170" s="508"/>
      <c r="S170" s="508"/>
      <c r="T170" s="508"/>
      <c r="U170" s="417">
        <f t="shared" si="13"/>
        <v>385341.39</v>
      </c>
    </row>
    <row r="171" spans="1:21" ht="11.25">
      <c r="A171" s="315" t="s">
        <v>514</v>
      </c>
      <c r="B171" s="417">
        <v>1239228.27</v>
      </c>
      <c r="C171" s="507"/>
      <c r="D171" s="507"/>
      <c r="E171" s="507"/>
      <c r="F171" s="507"/>
      <c r="G171" s="507"/>
      <c r="H171" s="508"/>
      <c r="I171" s="508"/>
      <c r="J171" s="508"/>
      <c r="K171" s="508"/>
      <c r="L171" s="508"/>
      <c r="M171" s="508"/>
      <c r="N171" s="508"/>
      <c r="O171" s="508"/>
      <c r="P171" s="508"/>
      <c r="Q171" s="508"/>
      <c r="R171" s="508"/>
      <c r="S171" s="508"/>
      <c r="T171" s="508"/>
      <c r="U171" s="417">
        <f t="shared" si="13"/>
        <v>1239228.27</v>
      </c>
    </row>
    <row r="172" spans="1:21" ht="11.25">
      <c r="A172" s="315"/>
      <c r="B172" s="506"/>
      <c r="C172" s="507"/>
      <c r="D172" s="507"/>
      <c r="E172" s="507"/>
      <c r="F172" s="507"/>
      <c r="G172" s="507"/>
      <c r="H172" s="508"/>
      <c r="I172" s="508"/>
      <c r="J172" s="508"/>
      <c r="K172" s="508"/>
      <c r="L172" s="508"/>
      <c r="M172" s="508"/>
      <c r="N172" s="508"/>
      <c r="O172" s="508"/>
      <c r="P172" s="508"/>
      <c r="Q172" s="508"/>
      <c r="R172" s="508"/>
      <c r="S172" s="508"/>
      <c r="T172" s="508"/>
      <c r="U172" s="417"/>
    </row>
    <row r="173" spans="1:21" ht="11.25">
      <c r="A173" s="315" t="s">
        <v>515</v>
      </c>
      <c r="B173" s="506"/>
      <c r="C173" s="419">
        <v>185028</v>
      </c>
      <c r="D173" s="419">
        <v>230035.99</v>
      </c>
      <c r="E173" s="419">
        <v>181951.84</v>
      </c>
      <c r="F173" s="419">
        <v>160619.15</v>
      </c>
      <c r="G173" s="419">
        <v>49256.98</v>
      </c>
      <c r="H173" s="434">
        <v>106491</v>
      </c>
      <c r="I173" s="434">
        <v>2202.16</v>
      </c>
      <c r="J173" s="434">
        <v>125222.25</v>
      </c>
      <c r="K173" s="434">
        <v>5713</v>
      </c>
      <c r="L173" s="434">
        <v>150636</v>
      </c>
      <c r="M173" s="434">
        <v>2750.54</v>
      </c>
      <c r="N173" s="434">
        <v>778.96</v>
      </c>
      <c r="O173" s="434">
        <v>75369.86</v>
      </c>
      <c r="P173" s="434">
        <v>45173.95</v>
      </c>
      <c r="Q173" s="434">
        <v>125925</v>
      </c>
      <c r="R173" s="434">
        <v>78853.16</v>
      </c>
      <c r="S173" s="434">
        <v>57562</v>
      </c>
      <c r="T173" s="434">
        <v>141859</v>
      </c>
      <c r="U173" s="417">
        <f t="shared" si="13"/>
        <v>1725428.84</v>
      </c>
    </row>
    <row r="174" spans="1:21" ht="11.25">
      <c r="A174" s="315" t="s">
        <v>516</v>
      </c>
      <c r="B174" s="506"/>
      <c r="C174" s="419">
        <v>0</v>
      </c>
      <c r="D174" s="419">
        <v>0</v>
      </c>
      <c r="E174" s="419">
        <v>0</v>
      </c>
      <c r="F174" s="419">
        <v>0</v>
      </c>
      <c r="G174" s="419">
        <v>40832.3</v>
      </c>
      <c r="H174" s="434">
        <v>0</v>
      </c>
      <c r="I174" s="434">
        <v>36344.9</v>
      </c>
      <c r="J174" s="434">
        <v>29914.8</v>
      </c>
      <c r="K174" s="434">
        <v>159</v>
      </c>
      <c r="L174" s="434">
        <v>0</v>
      </c>
      <c r="M174" s="434">
        <v>0</v>
      </c>
      <c r="N174" s="434">
        <v>0</v>
      </c>
      <c r="O174" s="434">
        <v>0</v>
      </c>
      <c r="P174" s="434">
        <v>0</v>
      </c>
      <c r="Q174" s="434">
        <v>0</v>
      </c>
      <c r="R174" s="434">
        <v>0</v>
      </c>
      <c r="S174" s="434">
        <v>48800.75</v>
      </c>
      <c r="T174" s="434">
        <v>0</v>
      </c>
      <c r="U174" s="417">
        <f t="shared" si="13"/>
        <v>156051.75</v>
      </c>
    </row>
    <row r="175" spans="1:21" ht="11.25">
      <c r="A175" s="315" t="s">
        <v>518</v>
      </c>
      <c r="B175" s="506"/>
      <c r="C175" s="419">
        <v>354761</v>
      </c>
      <c r="D175" s="419">
        <v>494914.24</v>
      </c>
      <c r="E175" s="419">
        <v>102479.43</v>
      </c>
      <c r="F175" s="419">
        <v>143488.37</v>
      </c>
      <c r="G175" s="419">
        <v>89330.63</v>
      </c>
      <c r="H175" s="434">
        <v>14477.92</v>
      </c>
      <c r="I175" s="434">
        <v>109638.15</v>
      </c>
      <c r="J175" s="434">
        <v>80646</v>
      </c>
      <c r="K175" s="434">
        <v>6029</v>
      </c>
      <c r="L175" s="434">
        <v>226495</v>
      </c>
      <c r="M175" s="434">
        <v>0</v>
      </c>
      <c r="N175" s="434">
        <v>17143.88</v>
      </c>
      <c r="O175" s="434">
        <v>237523.85</v>
      </c>
      <c r="P175" s="434">
        <v>33339.05</v>
      </c>
      <c r="Q175" s="434">
        <v>47212</v>
      </c>
      <c r="R175" s="434">
        <v>59585.25</v>
      </c>
      <c r="S175" s="434">
        <v>108321</v>
      </c>
      <c r="T175" s="434">
        <v>242947</v>
      </c>
      <c r="U175" s="417">
        <f t="shared" si="13"/>
        <v>2368331.7699999996</v>
      </c>
    </row>
    <row r="176" spans="1:21" ht="11.25">
      <c r="A176" s="315" t="s">
        <v>517</v>
      </c>
      <c r="B176" s="509"/>
      <c r="C176" s="512"/>
      <c r="D176" s="512"/>
      <c r="E176" s="512">
        <v>17149.18</v>
      </c>
      <c r="F176" s="512"/>
      <c r="G176" s="512"/>
      <c r="H176" s="513"/>
      <c r="I176" s="513"/>
      <c r="J176" s="513"/>
      <c r="K176" s="513">
        <v>87628</v>
      </c>
      <c r="L176" s="513"/>
      <c r="M176" s="513"/>
      <c r="N176" s="513">
        <v>60793.96</v>
      </c>
      <c r="O176" s="513">
        <v>15248.56</v>
      </c>
      <c r="P176" s="513"/>
      <c r="Q176" s="513"/>
      <c r="R176" s="513"/>
      <c r="S176" s="513"/>
      <c r="T176" s="513"/>
      <c r="U176" s="423">
        <f t="shared" si="13"/>
        <v>180819.69999999998</v>
      </c>
    </row>
    <row r="177" spans="1:21" ht="11.25">
      <c r="A177" s="163" t="s">
        <v>461</v>
      </c>
      <c r="B177" s="424">
        <f>SUM(B168:B176)</f>
        <v>2716423.0700000003</v>
      </c>
      <c r="C177" s="510">
        <f>SUM(C168:C176)</f>
        <v>539789</v>
      </c>
      <c r="D177" s="510">
        <f>SUM(D168:D176)</f>
        <v>724950.23</v>
      </c>
      <c r="E177" s="510">
        <f>SUM(E168:E176)</f>
        <v>301580.45</v>
      </c>
      <c r="F177" s="510">
        <f>SUM(F168:F176)</f>
        <v>304107.52</v>
      </c>
      <c r="G177" s="510">
        <f>SUM(G168:G176)</f>
        <v>179419.91</v>
      </c>
      <c r="H177" s="511">
        <f>SUM(H168:H176)</f>
        <v>120968.92</v>
      </c>
      <c r="I177" s="511">
        <f aca="true" t="shared" si="14" ref="I177:P177">SUM(I168:I176)</f>
        <v>148185.21</v>
      </c>
      <c r="J177" s="511">
        <f t="shared" si="14"/>
        <v>235783.05</v>
      </c>
      <c r="K177" s="511">
        <f t="shared" si="14"/>
        <v>99529</v>
      </c>
      <c r="L177" s="511">
        <f t="shared" si="14"/>
        <v>377131</v>
      </c>
      <c r="M177" s="511">
        <f t="shared" si="14"/>
        <v>2750.54</v>
      </c>
      <c r="N177" s="511">
        <f t="shared" si="14"/>
        <v>78716.8</v>
      </c>
      <c r="O177" s="511">
        <f t="shared" si="14"/>
        <v>328142.27</v>
      </c>
      <c r="P177" s="511">
        <f t="shared" si="14"/>
        <v>78513</v>
      </c>
      <c r="Q177" s="511">
        <f>SUM(Q168:Q176)</f>
        <v>173137</v>
      </c>
      <c r="R177" s="511">
        <f>SUM(R168:R176)</f>
        <v>138438.41</v>
      </c>
      <c r="S177" s="511">
        <f>SUM(S168:S176)</f>
        <v>214683.75</v>
      </c>
      <c r="T177" s="511">
        <f>SUM(T168:T176)</f>
        <v>384806</v>
      </c>
      <c r="U177" s="424">
        <f>SUM(U168:U176)</f>
        <v>7147055.13</v>
      </c>
    </row>
    <row r="178" spans="1:21" ht="11.25">
      <c r="A178" s="315"/>
      <c r="B178" s="506"/>
      <c r="C178" s="507"/>
      <c r="D178" s="507"/>
      <c r="E178" s="507"/>
      <c r="F178" s="507"/>
      <c r="G178" s="507"/>
      <c r="H178" s="508"/>
      <c r="I178" s="508"/>
      <c r="J178" s="508"/>
      <c r="K178" s="508"/>
      <c r="L178" s="508"/>
      <c r="M178" s="508"/>
      <c r="N178" s="508"/>
      <c r="O178" s="508"/>
      <c r="P178" s="508"/>
      <c r="Q178" s="508"/>
      <c r="R178" s="508"/>
      <c r="S178" s="508"/>
      <c r="T178" s="508"/>
      <c r="U178" s="412"/>
    </row>
    <row r="179" spans="1:21" ht="11.25">
      <c r="A179" s="163" t="s">
        <v>384</v>
      </c>
      <c r="B179" s="412" t="s">
        <v>99</v>
      </c>
      <c r="C179" s="419" t="s">
        <v>99</v>
      </c>
      <c r="D179" s="419" t="s">
        <v>99</v>
      </c>
      <c r="E179" s="419" t="s">
        <v>99</v>
      </c>
      <c r="F179" s="419"/>
      <c r="G179" s="419" t="s">
        <v>99</v>
      </c>
      <c r="H179" s="434" t="s">
        <v>99</v>
      </c>
      <c r="I179" s="437"/>
      <c r="J179" s="437"/>
      <c r="K179" s="437"/>
      <c r="L179" s="437"/>
      <c r="M179" s="437"/>
      <c r="N179" s="437"/>
      <c r="O179" s="437"/>
      <c r="P179" s="437"/>
      <c r="Q179" s="437"/>
      <c r="R179" s="437"/>
      <c r="S179" s="437"/>
      <c r="T179" s="437"/>
      <c r="U179" s="417" t="s">
        <v>99</v>
      </c>
    </row>
    <row r="180" spans="1:21" ht="11.25">
      <c r="A180" s="315" t="s">
        <v>267</v>
      </c>
      <c r="B180" s="417">
        <f>5353950.78-C180-D180-E180-F180-G180</f>
        <v>-825660.22</v>
      </c>
      <c r="C180" s="419">
        <f>2132787-22401-14398-79594-235586-2782</f>
        <v>1778026</v>
      </c>
      <c r="D180" s="419">
        <f>1789598.24-129.6-45870.82-425882.91-22158.49-872.42</f>
        <v>1294684</v>
      </c>
      <c r="E180" s="419">
        <f>2114164.43-52747.64-49731.79</f>
        <v>2011685.0000000002</v>
      </c>
      <c r="F180" s="419">
        <f>984478.37-916.86-12937.84-129633.67</f>
        <v>840990</v>
      </c>
      <c r="G180" s="419">
        <f>384388.93-289.01-28514.53-4035.18-96456.76-867.45</f>
        <v>254226</v>
      </c>
      <c r="H180" s="434"/>
      <c r="I180" s="437"/>
      <c r="J180" s="437"/>
      <c r="K180" s="437"/>
      <c r="L180" s="437"/>
      <c r="M180" s="437"/>
      <c r="N180" s="437"/>
      <c r="O180" s="437"/>
      <c r="P180" s="437"/>
      <c r="Q180" s="437"/>
      <c r="R180" s="437"/>
      <c r="S180" s="437"/>
      <c r="T180" s="437"/>
      <c r="U180" s="417">
        <f>SUM(B180:G180)</f>
        <v>5353950.78</v>
      </c>
    </row>
    <row r="181" spans="1:21" ht="11.25">
      <c r="A181" s="315" t="s">
        <v>386</v>
      </c>
      <c r="B181" s="417">
        <f>3879649.1-H181-I181-J181-K181-L181-M181-N181-O181-P181-Q181-R181-S181-T181</f>
        <v>-849488.8999999999</v>
      </c>
      <c r="C181" s="419"/>
      <c r="D181" s="419"/>
      <c r="E181" s="419"/>
      <c r="F181" s="419"/>
      <c r="G181" s="419"/>
      <c r="H181" s="434">
        <f>794745.92-8787.13-5690.79</f>
        <v>780268</v>
      </c>
      <c r="I181" s="437">
        <f>286370.05-4382.71-40642.58-10207.57-90750.19</f>
        <v>140386.99999999994</v>
      </c>
      <c r="J181" s="437">
        <f>326566.8-110460.68-100.12</f>
        <v>216006</v>
      </c>
      <c r="K181" s="437">
        <f>64652-1899-4289</f>
        <v>58464</v>
      </c>
      <c r="L181" s="437">
        <f>1014685-31312-195183</f>
        <v>788190</v>
      </c>
      <c r="M181" s="437">
        <f>60522</f>
        <v>60522</v>
      </c>
      <c r="N181" s="437">
        <f>82598.88-705-1612-14510-316.88</f>
        <v>65455.00000000001</v>
      </c>
      <c r="O181" s="437">
        <f>870296.85-51000.47-186523.38</f>
        <v>632773</v>
      </c>
      <c r="P181" s="437">
        <f>246298.05-51.05-5899.54-27388.46</f>
        <v>212959</v>
      </c>
      <c r="Q181" s="437">
        <f>654988-746-1710-44756</f>
        <v>607776</v>
      </c>
      <c r="R181" s="437">
        <f>334082.25-14446.58-45138.67</f>
        <v>274497</v>
      </c>
      <c r="S181" s="437">
        <f>383296.75-1865-15265-19482-120509.75</f>
        <v>226175</v>
      </c>
      <c r="T181" s="437">
        <f>908613-16055-226892</f>
        <v>665666</v>
      </c>
      <c r="U181" s="417">
        <f>SUM(B181:T181)</f>
        <v>3879649.1</v>
      </c>
    </row>
    <row r="182" spans="1:21" ht="11.25">
      <c r="A182" s="315" t="s">
        <v>520</v>
      </c>
      <c r="B182" s="417">
        <f>17149.18+87628+60793.96+15248.56</f>
        <v>180819.69999999998</v>
      </c>
      <c r="C182" s="419"/>
      <c r="D182" s="419"/>
      <c r="E182" s="419">
        <f>6892.05-17149.18</f>
        <v>-10257.130000000001</v>
      </c>
      <c r="F182" s="419"/>
      <c r="G182" s="419"/>
      <c r="H182" s="434">
        <v>0</v>
      </c>
      <c r="I182" s="437"/>
      <c r="J182" s="437"/>
      <c r="K182" s="437">
        <v>-87628</v>
      </c>
      <c r="L182" s="437"/>
      <c r="M182" s="437"/>
      <c r="N182" s="437">
        <v>-60793.96</v>
      </c>
      <c r="O182" s="437">
        <v>-15248.56</v>
      </c>
      <c r="P182" s="437"/>
      <c r="Q182" s="437"/>
      <c r="R182" s="437"/>
      <c r="S182" s="437"/>
      <c r="T182" s="437"/>
      <c r="U182" s="417">
        <f>SUM(B182:T182)</f>
        <v>6892.049999999979</v>
      </c>
    </row>
    <row r="183" spans="1:21" ht="11.25">
      <c r="A183" s="315" t="s">
        <v>20</v>
      </c>
      <c r="B183" s="423">
        <v>298414.41</v>
      </c>
      <c r="C183" s="512"/>
      <c r="D183" s="512"/>
      <c r="E183" s="512"/>
      <c r="F183" s="512"/>
      <c r="G183" s="512"/>
      <c r="H183" s="513" t="s">
        <v>99</v>
      </c>
      <c r="I183" s="514"/>
      <c r="J183" s="514"/>
      <c r="K183" s="514"/>
      <c r="L183" s="514"/>
      <c r="M183" s="514"/>
      <c r="N183" s="514"/>
      <c r="O183" s="514"/>
      <c r="P183" s="514"/>
      <c r="Q183" s="514"/>
      <c r="R183" s="514"/>
      <c r="S183" s="514"/>
      <c r="T183" s="514"/>
      <c r="U183" s="417">
        <f>SUM(B183:T183)</f>
        <v>298414.41</v>
      </c>
    </row>
    <row r="184" spans="1:21" ht="11.25">
      <c r="A184" s="315"/>
      <c r="B184" s="417"/>
      <c r="C184" s="419"/>
      <c r="D184" s="419"/>
      <c r="E184" s="419"/>
      <c r="F184" s="419"/>
      <c r="G184" s="419"/>
      <c r="H184" s="434"/>
      <c r="I184" s="437"/>
      <c r="J184" s="437"/>
      <c r="K184" s="437"/>
      <c r="L184" s="437"/>
      <c r="M184" s="437"/>
      <c r="N184" s="437"/>
      <c r="O184" s="437"/>
      <c r="P184" s="437"/>
      <c r="Q184" s="437"/>
      <c r="R184" s="437"/>
      <c r="S184" s="437"/>
      <c r="T184" s="437"/>
      <c r="U184" s="417"/>
    </row>
    <row r="185" spans="1:21" ht="11.25">
      <c r="A185" s="163" t="s">
        <v>519</v>
      </c>
      <c r="B185" s="417">
        <f>B177+B183+B180+B181+B182</f>
        <v>1520508.0600000008</v>
      </c>
      <c r="C185" s="419">
        <f>C177+C180+C181+C182+C183</f>
        <v>2317815</v>
      </c>
      <c r="D185" s="419">
        <f>D177+D180+D181+D182+D183</f>
        <v>2019634.23</v>
      </c>
      <c r="E185" s="419">
        <f>E177+E180+E181+E182+E183</f>
        <v>2303008.3200000003</v>
      </c>
      <c r="F185" s="419">
        <f>F177+F180+F181+F182+F183</f>
        <v>1145097.52</v>
      </c>
      <c r="G185" s="419">
        <f>G177+G180+G181+G182+G183</f>
        <v>433645.91000000003</v>
      </c>
      <c r="H185" s="434">
        <f aca="true" t="shared" si="15" ref="H185:T185">H177+H180+H181+H182</f>
        <v>901236.92</v>
      </c>
      <c r="I185" s="434">
        <f t="shared" si="15"/>
        <v>288572.20999999996</v>
      </c>
      <c r="J185" s="434">
        <f t="shared" si="15"/>
        <v>451789.05</v>
      </c>
      <c r="K185" s="434">
        <f t="shared" si="15"/>
        <v>70365</v>
      </c>
      <c r="L185" s="434">
        <f t="shared" si="15"/>
        <v>1165321</v>
      </c>
      <c r="M185" s="434">
        <f t="shared" si="15"/>
        <v>63272.54</v>
      </c>
      <c r="N185" s="434">
        <f t="shared" si="15"/>
        <v>83377.84000000003</v>
      </c>
      <c r="O185" s="434">
        <f t="shared" si="15"/>
        <v>945666.71</v>
      </c>
      <c r="P185" s="434">
        <f t="shared" si="15"/>
        <v>291472</v>
      </c>
      <c r="Q185" s="434">
        <f t="shared" si="15"/>
        <v>780913</v>
      </c>
      <c r="R185" s="434">
        <f t="shared" si="15"/>
        <v>412935.41000000003</v>
      </c>
      <c r="S185" s="434">
        <f t="shared" si="15"/>
        <v>440858.75</v>
      </c>
      <c r="T185" s="434">
        <f t="shared" si="15"/>
        <v>1050472</v>
      </c>
      <c r="U185" s="424">
        <f>SUM(U180:U183)</f>
        <v>9538906.340000002</v>
      </c>
    </row>
    <row r="186" spans="2:21" ht="11.25">
      <c r="B186" s="248"/>
      <c r="C186" s="275"/>
      <c r="D186" s="275"/>
      <c r="E186" s="275"/>
      <c r="F186" s="275"/>
      <c r="G186" s="275"/>
      <c r="H186" s="276"/>
      <c r="I186" s="188"/>
      <c r="J186" s="188"/>
      <c r="K186" s="188"/>
      <c r="L186" s="188"/>
      <c r="M186" s="188"/>
      <c r="N186" s="188"/>
      <c r="O186" s="188"/>
      <c r="P186" s="188"/>
      <c r="Q186" s="188"/>
      <c r="R186" s="188"/>
      <c r="S186" s="188"/>
      <c r="T186" s="188"/>
      <c r="U186" s="412"/>
    </row>
    <row r="187" spans="1:21" ht="11.25">
      <c r="A187" s="163" t="s">
        <v>89</v>
      </c>
      <c r="B187" s="320"/>
      <c r="C187" s="425"/>
      <c r="D187" s="425"/>
      <c r="E187" s="425"/>
      <c r="F187" s="425"/>
      <c r="G187" s="425"/>
      <c r="H187" s="426"/>
      <c r="I187" s="427"/>
      <c r="J187" s="427"/>
      <c r="K187" s="427"/>
      <c r="L187" s="427"/>
      <c r="M187" s="427"/>
      <c r="N187" s="427"/>
      <c r="O187" s="427"/>
      <c r="P187" s="427"/>
      <c r="Q187" s="427"/>
      <c r="R187" s="427"/>
      <c r="S187" s="427"/>
      <c r="T187" s="427"/>
      <c r="U187" s="320"/>
    </row>
    <row r="188" spans="1:21" ht="11.25" outlineLevel="1">
      <c r="A188" s="315" t="s">
        <v>124</v>
      </c>
      <c r="B188" s="320">
        <v>304921.26</v>
      </c>
      <c r="C188" s="425"/>
      <c r="D188" s="425"/>
      <c r="E188" s="425"/>
      <c r="F188" s="425"/>
      <c r="G188" s="425"/>
      <c r="H188" s="426"/>
      <c r="I188" s="427"/>
      <c r="J188" s="427"/>
      <c r="K188" s="427"/>
      <c r="L188" s="427"/>
      <c r="M188" s="427"/>
      <c r="N188" s="427"/>
      <c r="O188" s="427"/>
      <c r="P188" s="427"/>
      <c r="Q188" s="427"/>
      <c r="R188" s="427"/>
      <c r="S188" s="427"/>
      <c r="T188" s="427"/>
      <c r="U188" s="320">
        <f>SUM(B188:T188)</f>
        <v>304921.26</v>
      </c>
    </row>
    <row r="189" spans="1:21" ht="11.25" outlineLevel="1">
      <c r="A189" s="315" t="s">
        <v>39</v>
      </c>
      <c r="B189" s="320">
        <v>40865</v>
      </c>
      <c r="C189" s="425"/>
      <c r="D189" s="425"/>
      <c r="E189" s="425"/>
      <c r="F189" s="425"/>
      <c r="G189" s="425"/>
      <c r="H189" s="426"/>
      <c r="I189" s="427"/>
      <c r="J189" s="427"/>
      <c r="K189" s="427"/>
      <c r="L189" s="427"/>
      <c r="M189" s="427"/>
      <c r="N189" s="427"/>
      <c r="O189" s="427"/>
      <c r="P189" s="427"/>
      <c r="Q189" s="427"/>
      <c r="R189" s="427"/>
      <c r="S189" s="427"/>
      <c r="T189" s="427"/>
      <c r="U189" s="320">
        <f aca="true" t="shared" si="16" ref="U189:U198">SUM(B189:T189)</f>
        <v>40865</v>
      </c>
    </row>
    <row r="190" spans="1:21" ht="11.25">
      <c r="A190" s="315" t="s">
        <v>270</v>
      </c>
      <c r="B190" s="320">
        <f>SUM(B188:B189)</f>
        <v>345786.26</v>
      </c>
      <c r="C190" s="425"/>
      <c r="D190" s="425"/>
      <c r="E190" s="425"/>
      <c r="F190" s="425"/>
      <c r="G190" s="425"/>
      <c r="H190" s="426"/>
      <c r="I190" s="427"/>
      <c r="J190" s="427"/>
      <c r="K190" s="427"/>
      <c r="L190" s="427"/>
      <c r="M190" s="427"/>
      <c r="N190" s="427"/>
      <c r="O190" s="427"/>
      <c r="P190" s="427"/>
      <c r="Q190" s="427"/>
      <c r="R190" s="427"/>
      <c r="S190" s="427"/>
      <c r="T190" s="427"/>
      <c r="U190" s="320">
        <f t="shared" si="16"/>
        <v>345786.26</v>
      </c>
    </row>
    <row r="191" spans="1:21" ht="11.25">
      <c r="A191" s="315" t="s">
        <v>271</v>
      </c>
      <c r="B191" s="320">
        <v>207646.82</v>
      </c>
      <c r="C191" s="425"/>
      <c r="D191" s="425"/>
      <c r="E191" s="425"/>
      <c r="F191" s="425"/>
      <c r="G191" s="425"/>
      <c r="H191" s="426"/>
      <c r="I191" s="427"/>
      <c r="J191" s="427"/>
      <c r="K191" s="427"/>
      <c r="L191" s="427"/>
      <c r="M191" s="427"/>
      <c r="N191" s="427"/>
      <c r="O191" s="427"/>
      <c r="P191" s="427"/>
      <c r="Q191" s="427"/>
      <c r="R191" s="427"/>
      <c r="S191" s="427"/>
      <c r="T191" s="427"/>
      <c r="U191" s="320">
        <f t="shared" si="16"/>
        <v>207646.82</v>
      </c>
    </row>
    <row r="192" spans="1:21" ht="11.25" outlineLevel="1">
      <c r="A192" s="315" t="s">
        <v>387</v>
      </c>
      <c r="B192" s="320"/>
      <c r="C192" s="425">
        <v>95780</v>
      </c>
      <c r="D192" s="425">
        <v>166122.87</v>
      </c>
      <c r="E192" s="425">
        <v>197170.88</v>
      </c>
      <c r="F192" s="425">
        <v>82473.16</v>
      </c>
      <c r="G192" s="425">
        <v>24246.78</v>
      </c>
      <c r="H192" s="426">
        <v>104421.88</v>
      </c>
      <c r="I192" s="427">
        <v>9376.45</v>
      </c>
      <c r="J192" s="427">
        <v>28234</v>
      </c>
      <c r="K192" s="427">
        <v>1823</v>
      </c>
      <c r="L192" s="427">
        <v>95786</v>
      </c>
      <c r="M192" s="427">
        <v>5895.18</v>
      </c>
      <c r="N192" s="427">
        <v>3122.92</v>
      </c>
      <c r="O192" s="427">
        <v>73394.98</v>
      </c>
      <c r="P192" s="427">
        <v>17717.46</v>
      </c>
      <c r="Q192" s="427">
        <v>38440</v>
      </c>
      <c r="R192" s="427">
        <v>21458.56</v>
      </c>
      <c r="S192" s="427">
        <v>9764</v>
      </c>
      <c r="T192" s="427">
        <v>49890</v>
      </c>
      <c r="U192" s="320">
        <f t="shared" si="16"/>
        <v>1025118.1200000001</v>
      </c>
    </row>
    <row r="193" spans="1:21" ht="11.25" outlineLevel="1">
      <c r="A193" s="315" t="s">
        <v>388</v>
      </c>
      <c r="B193" s="320"/>
      <c r="C193" s="425">
        <v>9856</v>
      </c>
      <c r="D193" s="425">
        <v>4782.82</v>
      </c>
      <c r="E193" s="425">
        <v>0</v>
      </c>
      <c r="F193" s="425">
        <v>423.14</v>
      </c>
      <c r="G193" s="425">
        <v>5320.57</v>
      </c>
      <c r="H193" s="426">
        <v>8979</v>
      </c>
      <c r="I193" s="427">
        <v>849.48</v>
      </c>
      <c r="J193" s="427">
        <v>9727</v>
      </c>
      <c r="K193" s="427">
        <v>196</v>
      </c>
      <c r="L193" s="427">
        <v>1274</v>
      </c>
      <c r="M193" s="427">
        <v>0</v>
      </c>
      <c r="N193" s="427">
        <v>0</v>
      </c>
      <c r="O193" s="427">
        <v>0</v>
      </c>
      <c r="P193" s="427">
        <v>282.95</v>
      </c>
      <c r="Q193" s="427">
        <v>2896</v>
      </c>
      <c r="R193" s="427"/>
      <c r="S193" s="427">
        <v>1599</v>
      </c>
      <c r="T193" s="427">
        <v>657</v>
      </c>
      <c r="U193" s="320">
        <f t="shared" si="16"/>
        <v>46842.95999999999</v>
      </c>
    </row>
    <row r="194" spans="1:21" ht="11.25">
      <c r="A194" s="315" t="s">
        <v>274</v>
      </c>
      <c r="B194" s="320"/>
      <c r="C194" s="425">
        <f>SUM(C192:C193)</f>
        <v>105636</v>
      </c>
      <c r="D194" s="425">
        <f aca="true" t="shared" si="17" ref="D194:T194">SUM(D192:D193)</f>
        <v>170905.69</v>
      </c>
      <c r="E194" s="425">
        <f t="shared" si="17"/>
        <v>197170.88</v>
      </c>
      <c r="F194" s="425">
        <f t="shared" si="17"/>
        <v>82896.3</v>
      </c>
      <c r="G194" s="425">
        <f t="shared" si="17"/>
        <v>29567.35</v>
      </c>
      <c r="H194" s="426">
        <f t="shared" si="17"/>
        <v>113400.88</v>
      </c>
      <c r="I194" s="426">
        <f t="shared" si="17"/>
        <v>10225.93</v>
      </c>
      <c r="J194" s="426">
        <f t="shared" si="17"/>
        <v>37961</v>
      </c>
      <c r="K194" s="426">
        <f t="shared" si="17"/>
        <v>2019</v>
      </c>
      <c r="L194" s="426">
        <f t="shared" si="17"/>
        <v>97060</v>
      </c>
      <c r="M194" s="426">
        <f t="shared" si="17"/>
        <v>5895.18</v>
      </c>
      <c r="N194" s="426">
        <f t="shared" si="17"/>
        <v>3122.92</v>
      </c>
      <c r="O194" s="426">
        <f t="shared" si="17"/>
        <v>73394.98</v>
      </c>
      <c r="P194" s="426">
        <f t="shared" si="17"/>
        <v>18000.41</v>
      </c>
      <c r="Q194" s="426">
        <f t="shared" si="17"/>
        <v>41336</v>
      </c>
      <c r="R194" s="426">
        <f t="shared" si="17"/>
        <v>21458.56</v>
      </c>
      <c r="S194" s="426">
        <f t="shared" si="17"/>
        <v>11363</v>
      </c>
      <c r="T194" s="426">
        <f t="shared" si="17"/>
        <v>50547</v>
      </c>
      <c r="U194" s="320">
        <f t="shared" si="16"/>
        <v>1071961.08</v>
      </c>
    </row>
    <row r="195" spans="1:21" ht="11.25">
      <c r="A195" s="315" t="s">
        <v>275</v>
      </c>
      <c r="B195" s="320">
        <v>10389</v>
      </c>
      <c r="C195" s="425">
        <v>6906.5</v>
      </c>
      <c r="D195" s="425">
        <v>14846.94</v>
      </c>
      <c r="E195" s="425">
        <v>19671</v>
      </c>
      <c r="F195" s="425">
        <f>6032+2740</f>
        <v>8772</v>
      </c>
      <c r="G195" s="425">
        <v>2691.13</v>
      </c>
      <c r="H195" s="426">
        <v>817.45</v>
      </c>
      <c r="I195" s="427">
        <v>921.5</v>
      </c>
      <c r="J195" s="427">
        <v>115.3</v>
      </c>
      <c r="K195" s="427">
        <v>0</v>
      </c>
      <c r="L195" s="427">
        <v>573</v>
      </c>
      <c r="M195" s="427">
        <v>0</v>
      </c>
      <c r="N195" s="427">
        <v>431.88</v>
      </c>
      <c r="O195" s="427">
        <v>6123</v>
      </c>
      <c r="P195" s="427">
        <f>1180+260+2468</f>
        <v>3908</v>
      </c>
      <c r="Q195" s="427">
        <v>5078</v>
      </c>
      <c r="R195" s="427">
        <v>0</v>
      </c>
      <c r="S195" s="427">
        <v>2899</v>
      </c>
      <c r="T195" s="427">
        <v>625</v>
      </c>
      <c r="U195" s="320">
        <f t="shared" si="16"/>
        <v>84768.70000000001</v>
      </c>
    </row>
    <row r="196" spans="1:21" ht="11.25" outlineLevel="1">
      <c r="A196" s="315" t="s">
        <v>238</v>
      </c>
      <c r="B196" s="320"/>
      <c r="C196" s="425">
        <v>1624456.5</v>
      </c>
      <c r="D196" s="425">
        <v>1381775.45</v>
      </c>
      <c r="E196" s="425">
        <v>1546575.64</v>
      </c>
      <c r="F196" s="425">
        <v>877536.85</v>
      </c>
      <c r="G196" s="425">
        <v>190581.79</v>
      </c>
      <c r="H196" s="426">
        <v>449118.52</v>
      </c>
      <c r="I196" s="427">
        <v>125032.87</v>
      </c>
      <c r="J196" s="427">
        <v>135025.87</v>
      </c>
      <c r="K196" s="427">
        <v>14376</v>
      </c>
      <c r="L196" s="427">
        <v>706030</v>
      </c>
      <c r="M196" s="427">
        <v>27198.36</v>
      </c>
      <c r="N196" s="427">
        <v>19197.73</v>
      </c>
      <c r="O196" s="427">
        <v>419770.99</v>
      </c>
      <c r="P196" s="427">
        <v>200321.54</v>
      </c>
      <c r="Q196" s="427">
        <v>521781</v>
      </c>
      <c r="R196" s="427">
        <v>238428.61</v>
      </c>
      <c r="S196" s="427">
        <v>122308</v>
      </c>
      <c r="T196" s="427">
        <v>705304</v>
      </c>
      <c r="U196" s="320">
        <f t="shared" si="16"/>
        <v>9304819.72</v>
      </c>
    </row>
    <row r="197" spans="1:21" ht="11.25" outlineLevel="1">
      <c r="A197" s="315" t="s">
        <v>389</v>
      </c>
      <c r="B197" s="320"/>
      <c r="C197" s="425">
        <v>163642</v>
      </c>
      <c r="D197" s="425">
        <v>58634</v>
      </c>
      <c r="E197" s="425">
        <v>31134.78</v>
      </c>
      <c r="F197" s="425">
        <v>6200</v>
      </c>
      <c r="G197" s="425">
        <v>44096.57</v>
      </c>
      <c r="H197" s="426">
        <v>99850.15</v>
      </c>
      <c r="I197" s="427">
        <v>18059.63</v>
      </c>
      <c r="J197" s="427">
        <v>61853.5</v>
      </c>
      <c r="K197" s="427">
        <v>1488</v>
      </c>
      <c r="L197" s="427">
        <v>19127</v>
      </c>
      <c r="M197" s="427">
        <v>0</v>
      </c>
      <c r="N197" s="427">
        <v>0</v>
      </c>
      <c r="O197" s="427">
        <v>17530.4</v>
      </c>
      <c r="P197" s="427">
        <v>2053</v>
      </c>
      <c r="Q197" s="427">
        <v>16083</v>
      </c>
      <c r="R197" s="427"/>
      <c r="S197" s="427">
        <v>2603</v>
      </c>
      <c r="T197" s="427">
        <v>9475</v>
      </c>
      <c r="U197" s="320">
        <f t="shared" si="16"/>
        <v>551830.03</v>
      </c>
    </row>
    <row r="198" spans="1:21" ht="11.25">
      <c r="A198" s="315" t="s">
        <v>390</v>
      </c>
      <c r="B198" s="320"/>
      <c r="C198" s="425">
        <f>SUM(C196:C197)</f>
        <v>1788098.5</v>
      </c>
      <c r="D198" s="425">
        <f aca="true" t="shared" si="18" ref="D198:T198">SUM(D196:D197)</f>
        <v>1440409.45</v>
      </c>
      <c r="E198" s="425">
        <f t="shared" si="18"/>
        <v>1577710.42</v>
      </c>
      <c r="F198" s="425">
        <f t="shared" si="18"/>
        <v>883736.85</v>
      </c>
      <c r="G198" s="425">
        <f t="shared" si="18"/>
        <v>234678.36000000002</v>
      </c>
      <c r="H198" s="426">
        <f t="shared" si="18"/>
        <v>548968.67</v>
      </c>
      <c r="I198" s="426">
        <f t="shared" si="18"/>
        <v>143092.5</v>
      </c>
      <c r="J198" s="426">
        <f t="shared" si="18"/>
        <v>196879.37</v>
      </c>
      <c r="K198" s="426">
        <f t="shared" si="18"/>
        <v>15864</v>
      </c>
      <c r="L198" s="426">
        <f t="shared" si="18"/>
        <v>725157</v>
      </c>
      <c r="M198" s="426">
        <f t="shared" si="18"/>
        <v>27198.36</v>
      </c>
      <c r="N198" s="426">
        <f t="shared" si="18"/>
        <v>19197.73</v>
      </c>
      <c r="O198" s="426">
        <f t="shared" si="18"/>
        <v>437301.39</v>
      </c>
      <c r="P198" s="426">
        <f t="shared" si="18"/>
        <v>202374.54</v>
      </c>
      <c r="Q198" s="426">
        <f t="shared" si="18"/>
        <v>537864</v>
      </c>
      <c r="R198" s="426">
        <f t="shared" si="18"/>
        <v>238428.61</v>
      </c>
      <c r="S198" s="426">
        <f t="shared" si="18"/>
        <v>124911</v>
      </c>
      <c r="T198" s="426">
        <f t="shared" si="18"/>
        <v>714779</v>
      </c>
      <c r="U198" s="320">
        <f t="shared" si="16"/>
        <v>9856649.75</v>
      </c>
    </row>
    <row r="199" spans="1:21" ht="11.25">
      <c r="A199" s="315"/>
      <c r="B199" s="428"/>
      <c r="C199" s="429"/>
      <c r="D199" s="429"/>
      <c r="E199" s="429"/>
      <c r="F199" s="429"/>
      <c r="G199" s="429"/>
      <c r="H199" s="430"/>
      <c r="I199" s="430"/>
      <c r="J199" s="430"/>
      <c r="K199" s="430"/>
      <c r="L199" s="430"/>
      <c r="M199" s="430"/>
      <c r="N199" s="430"/>
      <c r="O199" s="430"/>
      <c r="P199" s="430"/>
      <c r="Q199" s="430"/>
      <c r="R199" s="430"/>
      <c r="S199" s="430"/>
      <c r="T199" s="430"/>
      <c r="U199" s="428"/>
    </row>
    <row r="200" spans="1:21" ht="11.25">
      <c r="A200" s="163" t="s">
        <v>8</v>
      </c>
      <c r="B200" s="320">
        <f>B190+B191+B194+B195+B198</f>
        <v>563822.0800000001</v>
      </c>
      <c r="C200" s="425">
        <f aca="true" t="shared" si="19" ref="C200:T200">C190+C191+C194+C195+C198</f>
        <v>1900641</v>
      </c>
      <c r="D200" s="425">
        <f t="shared" si="19"/>
        <v>1626162.08</v>
      </c>
      <c r="E200" s="425">
        <f t="shared" si="19"/>
        <v>1794552.2999999998</v>
      </c>
      <c r="F200" s="425">
        <f t="shared" si="19"/>
        <v>975405.15</v>
      </c>
      <c r="G200" s="425">
        <f t="shared" si="19"/>
        <v>266936.84</v>
      </c>
      <c r="H200" s="426">
        <f t="shared" si="19"/>
        <v>663187</v>
      </c>
      <c r="I200" s="426">
        <f t="shared" si="19"/>
        <v>154239.93</v>
      </c>
      <c r="J200" s="426">
        <f t="shared" si="19"/>
        <v>234955.66999999998</v>
      </c>
      <c r="K200" s="426">
        <f t="shared" si="19"/>
        <v>17883</v>
      </c>
      <c r="L200" s="426">
        <f t="shared" si="19"/>
        <v>822790</v>
      </c>
      <c r="M200" s="426">
        <f t="shared" si="19"/>
        <v>33093.54</v>
      </c>
      <c r="N200" s="426">
        <f t="shared" si="19"/>
        <v>22752.53</v>
      </c>
      <c r="O200" s="426">
        <f t="shared" si="19"/>
        <v>516819.37</v>
      </c>
      <c r="P200" s="426">
        <f t="shared" si="19"/>
        <v>224282.95</v>
      </c>
      <c r="Q200" s="426">
        <f t="shared" si="19"/>
        <v>584278</v>
      </c>
      <c r="R200" s="426">
        <f t="shared" si="19"/>
        <v>259887.16999999998</v>
      </c>
      <c r="S200" s="426">
        <f t="shared" si="19"/>
        <v>139173</v>
      </c>
      <c r="T200" s="426">
        <f t="shared" si="19"/>
        <v>765951</v>
      </c>
      <c r="U200" s="320">
        <f>SUM(B200:T200)</f>
        <v>11566812.609999998</v>
      </c>
    </row>
    <row r="201" spans="1:21" ht="11.25">
      <c r="A201" s="163"/>
      <c r="B201" s="320"/>
      <c r="C201" s="425"/>
      <c r="D201" s="425"/>
      <c r="E201" s="425"/>
      <c r="F201" s="425"/>
      <c r="G201" s="425"/>
      <c r="H201" s="426"/>
      <c r="I201" s="426"/>
      <c r="J201" s="426"/>
      <c r="K201" s="426"/>
      <c r="L201" s="426"/>
      <c r="M201" s="426"/>
      <c r="N201" s="426"/>
      <c r="O201" s="426"/>
      <c r="P201" s="426"/>
      <c r="Q201" s="426"/>
      <c r="R201" s="426"/>
      <c r="S201" s="426"/>
      <c r="T201" s="426"/>
      <c r="U201" s="320"/>
    </row>
    <row r="202" spans="1:21" ht="12" thickBot="1">
      <c r="A202" s="163" t="s">
        <v>527</v>
      </c>
      <c r="B202" s="431">
        <f>B185-B200</f>
        <v>956685.9800000007</v>
      </c>
      <c r="C202" s="432">
        <f>C185-C200</f>
        <v>417174</v>
      </c>
      <c r="D202" s="432">
        <f>D185-D200</f>
        <v>393472.1499999999</v>
      </c>
      <c r="E202" s="432">
        <f>E185-E200</f>
        <v>508456.0200000005</v>
      </c>
      <c r="F202" s="432">
        <f>F185-F200</f>
        <v>169692.37</v>
      </c>
      <c r="G202" s="432">
        <f>G185-G200</f>
        <v>166709.07</v>
      </c>
      <c r="H202" s="433">
        <f>H185-H200</f>
        <v>238049.92000000004</v>
      </c>
      <c r="I202" s="433">
        <f aca="true" t="shared" si="20" ref="I202:T202">I185-I200</f>
        <v>134332.27999999997</v>
      </c>
      <c r="J202" s="433">
        <f t="shared" si="20"/>
        <v>216833.38</v>
      </c>
      <c r="K202" s="433">
        <f t="shared" si="20"/>
        <v>52482</v>
      </c>
      <c r="L202" s="433">
        <f t="shared" si="20"/>
        <v>342531</v>
      </c>
      <c r="M202" s="433">
        <f t="shared" si="20"/>
        <v>30179</v>
      </c>
      <c r="N202" s="433">
        <f t="shared" si="20"/>
        <v>60625.31000000003</v>
      </c>
      <c r="O202" s="433">
        <f t="shared" si="20"/>
        <v>428847.33999999997</v>
      </c>
      <c r="P202" s="433">
        <f t="shared" si="20"/>
        <v>67189.04999999999</v>
      </c>
      <c r="Q202" s="433">
        <f t="shared" si="20"/>
        <v>196635</v>
      </c>
      <c r="R202" s="433">
        <f t="shared" si="20"/>
        <v>153048.24000000005</v>
      </c>
      <c r="S202" s="433">
        <f t="shared" si="20"/>
        <v>301685.75</v>
      </c>
      <c r="T202" s="433">
        <f t="shared" si="20"/>
        <v>284521</v>
      </c>
      <c r="U202" s="431">
        <f>U177+U185-U200</f>
        <v>5119148.860000005</v>
      </c>
    </row>
    <row r="203" spans="1:21" ht="12" thickTop="1">
      <c r="A203" s="315"/>
      <c r="B203" s="320"/>
      <c r="C203" s="425"/>
      <c r="D203" s="425"/>
      <c r="E203" s="425"/>
      <c r="F203" s="425"/>
      <c r="G203" s="425"/>
      <c r="H203" s="426"/>
      <c r="I203" s="427"/>
      <c r="J203" s="427"/>
      <c r="K203" s="427"/>
      <c r="L203" s="427"/>
      <c r="M203" s="427"/>
      <c r="N203" s="427"/>
      <c r="O203" s="427"/>
      <c r="P203" s="427"/>
      <c r="Q203" s="427"/>
      <c r="R203" s="427"/>
      <c r="S203" s="427"/>
      <c r="T203" s="427"/>
      <c r="U203" s="320"/>
    </row>
    <row r="204" spans="1:21" ht="11.25">
      <c r="A204" s="315" t="s">
        <v>528</v>
      </c>
      <c r="B204" s="417">
        <f>424</f>
        <v>424</v>
      </c>
      <c r="C204" s="419">
        <f>339+4310+157087+255438</f>
        <v>417174</v>
      </c>
      <c r="D204" s="419">
        <f>6417.18+31366+41525.36+288733.27+25430.34</f>
        <v>393472.1500000001</v>
      </c>
      <c r="E204" s="419">
        <f>61966.51+439597.46</f>
        <v>501563.97000000003</v>
      </c>
      <c r="F204" s="419">
        <f>2270.86+5992+31845.84+122632.67+6951</f>
        <v>169692.37</v>
      </c>
      <c r="G204" s="419">
        <f>2046.59+51570.99+1524.61+110533.06+1033.82</f>
        <v>166709.07</v>
      </c>
      <c r="H204" s="434">
        <f>23255.85+10495.25+198144.27+6154.55</f>
        <v>238049.91999999998</v>
      </c>
      <c r="I204" s="434">
        <f>4353.41+30079.01+15139.81+83721.55+1038.5</f>
        <v>134332.28</v>
      </c>
      <c r="J204" s="434">
        <f>2304+14996.53+12906+183920.91+2705.94</f>
        <v>216833.38</v>
      </c>
      <c r="K204" s="434">
        <f>40+244+6421+45255+522</f>
        <v>52482</v>
      </c>
      <c r="L204" s="434">
        <f>5699+44543+45875+239747+6667</f>
        <v>342531</v>
      </c>
      <c r="M204" s="434">
        <f>893+29286</f>
        <v>30179</v>
      </c>
      <c r="N204" s="434">
        <f>705+5408.04+53660.27+852</f>
        <v>60625.31</v>
      </c>
      <c r="O204" s="434">
        <f>34710.11+394137.23</f>
        <v>428847.33999999997</v>
      </c>
      <c r="P204" s="434">
        <f>930.05+5854+9949.54+48878.46+1577</f>
        <v>67189.05</v>
      </c>
      <c r="Q204" s="434">
        <f>448+8701+19534+167055+897</f>
        <v>196635</v>
      </c>
      <c r="R204" s="434">
        <f>12637.01+140411.23</f>
        <v>153048.24000000002</v>
      </c>
      <c r="S204" s="434">
        <f>4473+40254+32666+224292.75</f>
        <v>301685.75</v>
      </c>
      <c r="T204" s="434">
        <f>1236+6603+35762+235103+5817</f>
        <v>284521</v>
      </c>
      <c r="U204" s="417">
        <f>SUM(B204:T204)</f>
        <v>4155994.83</v>
      </c>
    </row>
    <row r="205" spans="1:21" ht="11.25">
      <c r="A205" s="315"/>
      <c r="B205" s="412"/>
      <c r="C205" s="435"/>
      <c r="D205" s="435"/>
      <c r="E205" s="435"/>
      <c r="F205" s="435"/>
      <c r="G205" s="435"/>
      <c r="H205" s="436"/>
      <c r="I205" s="437"/>
      <c r="J205" s="437"/>
      <c r="K205" s="437"/>
      <c r="L205" s="437"/>
      <c r="M205" s="437"/>
      <c r="N205" s="437" t="s">
        <v>99</v>
      </c>
      <c r="O205" s="437"/>
      <c r="P205" s="437"/>
      <c r="Q205" s="437"/>
      <c r="R205" s="437"/>
      <c r="S205" s="437"/>
      <c r="T205" s="437"/>
      <c r="U205" s="412"/>
    </row>
    <row r="206" spans="1:21" ht="12" thickBot="1">
      <c r="A206" s="163" t="s">
        <v>529</v>
      </c>
      <c r="B206" s="438">
        <f>B202-B204</f>
        <v>956261.9800000007</v>
      </c>
      <c r="C206" s="439">
        <f>C202-C204</f>
        <v>0</v>
      </c>
      <c r="D206" s="439">
        <f>D202-D204</f>
        <v>0</v>
      </c>
      <c r="E206" s="439">
        <f>E202-E204</f>
        <v>6892.050000000454</v>
      </c>
      <c r="F206" s="439">
        <f>F202-F204</f>
        <v>0</v>
      </c>
      <c r="G206" s="439">
        <f>G202-G204</f>
        <v>0</v>
      </c>
      <c r="H206" s="440">
        <f>H202-H204</f>
        <v>0</v>
      </c>
      <c r="I206" s="440">
        <f aca="true" t="shared" si="21" ref="I206:T206">I202-I204</f>
        <v>0</v>
      </c>
      <c r="J206" s="440">
        <f t="shared" si="21"/>
        <v>0</v>
      </c>
      <c r="K206" s="440">
        <f t="shared" si="21"/>
        <v>0</v>
      </c>
      <c r="L206" s="440">
        <f t="shared" si="21"/>
        <v>0</v>
      </c>
      <c r="M206" s="440">
        <f t="shared" si="21"/>
        <v>0</v>
      </c>
      <c r="N206" s="440">
        <f t="shared" si="21"/>
        <v>0</v>
      </c>
      <c r="O206" s="440">
        <f t="shared" si="21"/>
        <v>0</v>
      </c>
      <c r="P206" s="440">
        <f t="shared" si="21"/>
        <v>0</v>
      </c>
      <c r="Q206" s="440">
        <f t="shared" si="21"/>
        <v>0</v>
      </c>
      <c r="R206" s="440">
        <f t="shared" si="21"/>
        <v>0</v>
      </c>
      <c r="S206" s="440">
        <f t="shared" si="21"/>
        <v>0</v>
      </c>
      <c r="T206" s="440">
        <f t="shared" si="21"/>
        <v>0</v>
      </c>
      <c r="U206" s="438">
        <f>U202-U204</f>
        <v>963154.0300000049</v>
      </c>
    </row>
    <row r="207" ht="11.25" thickTop="1"/>
  </sheetData>
  <sheetProtection/>
  <mergeCells count="14">
    <mergeCell ref="C163:G163"/>
    <mergeCell ref="H163:T163"/>
    <mergeCell ref="A1:U1"/>
    <mergeCell ref="A2:U2"/>
    <mergeCell ref="A3:U3"/>
    <mergeCell ref="A4:U4"/>
    <mergeCell ref="C89:G89"/>
    <mergeCell ref="C6:G6"/>
    <mergeCell ref="H6:T6"/>
    <mergeCell ref="C127:G127"/>
    <mergeCell ref="H127:T127"/>
    <mergeCell ref="H89:T89"/>
    <mergeCell ref="H47:T47"/>
    <mergeCell ref="C47:G47"/>
  </mergeCells>
  <printOptions/>
  <pageMargins left="0.25" right="0.25" top="0.75" bottom="0.75" header="0.3" footer="0.3"/>
  <pageSetup horizontalDpi="600" verticalDpi="600" orientation="landscape" paperSize="5" r:id="rId3"/>
  <headerFooter>
    <oddFooter>&amp;C&amp;Z&amp;F</oddFooter>
  </headerFooter>
  <rowBreaks count="1" manualBreakCount="1">
    <brk id="125" max="255" man="1"/>
  </rowBreaks>
  <ignoredErrors>
    <ignoredError sqref="B154:U154 B105:B106 B108 C111:T111 B118:T118 B122:T122 C72:D72 B64:B67 I73:I74 J72:K72 N72:N73 N76:N77 F71:F75 P72:Q72 P76:Q76 T71:T72 T75:T77 C73:E73 G72:H73 J73:M73 O73:T73 C76:D77 O77:Q77 B80:T80 P74 B84:T84 B158 C148:U148 F76:L77 T109:T110 T112:T115 B103 B70 B68 B22:B26 B28 B38:F38 C31:T31 B42:F42 G38:T38 G42:T42 U158 U142:U147 U149:U152 U156 U160 U139 B144 U118:U124 P149 F149 U134:U135 B142 U185:U202 B190:T190 B199:T200 B198 B194 C191:T191 B192 B197 B196 B193 E193 F195 D194:T194 L193:O193 M197:N197 R193 R197 C194 K195 R195 P195 B177:C177 D177:H177 I177:N177 U168:U176 H181:I181 B180:D180 J181:L181 M181:N181 G180 P181:U181 Q177:S177 O177:P177 T177:U177 O181 H185 I185:T185 B185:G185 C202:G202 C206:G206 H202:T202 H205:T206 B202 B205:B206 M195 B184 J182 L182 E180:F180 B203 H203:T203 B204 C203:G203 B182:E182 U180 U182:U183 U203:U206 C204:G204 S204 J204:K204 H204:I204 L204:R204 T204 B181" unlockedFormula="1"/>
    <ignoredError sqref="K152:T152 C152:H153 I152:J152 C198:T198" formulaRange="1" unlockedFormula="1"/>
  </ignoredErrors>
  <legacyDrawing r:id="rId2"/>
</worksheet>
</file>

<file path=xl/worksheets/sheet9.xml><?xml version="1.0" encoding="utf-8"?>
<worksheet xmlns="http://schemas.openxmlformats.org/spreadsheetml/2006/main" xmlns:r="http://schemas.openxmlformats.org/officeDocument/2006/relationships">
  <sheetPr>
    <tabColor theme="7" tint="-0.24997000396251678"/>
  </sheetPr>
  <dimension ref="A1:AO73"/>
  <sheetViews>
    <sheetView zoomScale="75" zoomScaleNormal="75" zoomScalePageLayoutView="0" workbookViewId="0" topLeftCell="A1">
      <pane xSplit="3" topLeftCell="P1" activePane="topRight" state="frozen"/>
      <selection pane="topLeft" activeCell="A1" sqref="A1"/>
      <selection pane="topRight" activeCell="Y12" sqref="Y12:AA13"/>
    </sheetView>
  </sheetViews>
  <sheetFormatPr defaultColWidth="8.16015625" defaultRowHeight="10.5"/>
  <cols>
    <col min="1" max="1" width="9.16015625" style="3" customWidth="1"/>
    <col min="2" max="2" width="43.16015625" style="3" customWidth="1"/>
    <col min="3" max="3" width="12.16015625" style="24" customWidth="1"/>
    <col min="4" max="4" width="16.66015625" style="1" customWidth="1"/>
    <col min="5" max="26" width="17" style="1" bestFit="1" customWidth="1"/>
    <col min="27" max="27" width="20.33203125" style="1" bestFit="1" customWidth="1"/>
    <col min="28" max="28" width="2.33203125" style="3" customWidth="1"/>
    <col min="29" max="31" width="16.33203125" style="3" bestFit="1" customWidth="1"/>
    <col min="32" max="32" width="4" style="3" customWidth="1"/>
    <col min="33" max="33" width="17.16015625" style="3" customWidth="1"/>
    <col min="34" max="16384" width="8.16015625" style="3" customWidth="1"/>
  </cols>
  <sheetData>
    <row r="1" spans="1:28" s="28" customFormat="1" ht="12.75">
      <c r="A1" s="26" t="s">
        <v>11</v>
      </c>
      <c r="B1" s="27"/>
      <c r="C1" s="27"/>
      <c r="D1" s="44"/>
      <c r="E1" s="44"/>
      <c r="F1" s="44"/>
      <c r="G1" s="44"/>
      <c r="H1" s="44"/>
      <c r="I1" s="44"/>
      <c r="J1" s="44"/>
      <c r="K1" s="44"/>
      <c r="L1" s="44"/>
      <c r="M1" s="44"/>
      <c r="N1" s="44"/>
      <c r="O1" s="44"/>
      <c r="P1" s="44"/>
      <c r="Q1" s="44"/>
      <c r="R1" s="44"/>
      <c r="S1" s="44"/>
      <c r="T1" s="44"/>
      <c r="U1" s="44"/>
      <c r="V1" s="44"/>
      <c r="W1" s="44"/>
      <c r="X1" s="44"/>
      <c r="Y1" s="44"/>
      <c r="Z1" s="44"/>
      <c r="AA1" s="44"/>
      <c r="AB1" s="27"/>
    </row>
    <row r="2" spans="1:28" s="28" customFormat="1" ht="12.75">
      <c r="A2" s="26" t="s">
        <v>182</v>
      </c>
      <c r="B2" s="27"/>
      <c r="C2" s="27"/>
      <c r="D2" s="543" t="s">
        <v>183</v>
      </c>
      <c r="E2" s="543"/>
      <c r="F2" s="543"/>
      <c r="G2" s="543"/>
      <c r="H2" s="543"/>
      <c r="I2" s="543"/>
      <c r="J2" s="543"/>
      <c r="K2" s="543"/>
      <c r="L2" s="543"/>
      <c r="M2" s="543"/>
      <c r="N2" s="543"/>
      <c r="O2" s="543"/>
      <c r="P2" s="543" t="s">
        <v>184</v>
      </c>
      <c r="Q2" s="543"/>
      <c r="R2" s="543"/>
      <c r="S2" s="543"/>
      <c r="T2" s="543"/>
      <c r="U2" s="543"/>
      <c r="V2" s="543"/>
      <c r="W2" s="543"/>
      <c r="X2" s="543"/>
      <c r="Y2" s="543"/>
      <c r="Z2" s="543"/>
      <c r="AA2" s="543"/>
      <c r="AB2" s="27"/>
    </row>
    <row r="3" spans="1:31" s="28" customFormat="1" ht="12.75">
      <c r="A3" s="26" t="s">
        <v>112</v>
      </c>
      <c r="B3" s="27"/>
      <c r="C3" s="27"/>
      <c r="D3" s="93">
        <v>1</v>
      </c>
      <c r="E3" s="93">
        <v>2</v>
      </c>
      <c r="F3" s="93">
        <v>3</v>
      </c>
      <c r="G3" s="93">
        <v>4</v>
      </c>
      <c r="H3" s="296">
        <v>5</v>
      </c>
      <c r="I3" s="314">
        <v>6</v>
      </c>
      <c r="J3" s="407">
        <v>7</v>
      </c>
      <c r="K3" s="442">
        <v>8</v>
      </c>
      <c r="L3" s="444">
        <v>9</v>
      </c>
      <c r="M3" s="451">
        <v>10</v>
      </c>
      <c r="N3" s="452">
        <v>11</v>
      </c>
      <c r="O3" s="454">
        <v>12</v>
      </c>
      <c r="P3" s="455">
        <v>1</v>
      </c>
      <c r="Q3" s="456">
        <v>2</v>
      </c>
      <c r="R3" s="457">
        <v>3</v>
      </c>
      <c r="S3" s="458">
        <v>4</v>
      </c>
      <c r="T3" s="459">
        <v>5</v>
      </c>
      <c r="U3" s="460">
        <v>6</v>
      </c>
      <c r="V3" s="461">
        <v>7</v>
      </c>
      <c r="W3" s="462">
        <v>8</v>
      </c>
      <c r="X3" s="463">
        <v>9</v>
      </c>
      <c r="Y3" s="465">
        <v>10</v>
      </c>
      <c r="Z3" s="466">
        <v>11</v>
      </c>
      <c r="AA3" s="467">
        <v>12</v>
      </c>
      <c r="AB3" s="27"/>
      <c r="AC3" s="37" t="s">
        <v>5</v>
      </c>
      <c r="AD3" s="38" t="s">
        <v>3</v>
      </c>
      <c r="AE3" s="39" t="s">
        <v>4</v>
      </c>
    </row>
    <row r="4" spans="1:38" s="26" customFormat="1" ht="12.75">
      <c r="A4" s="28"/>
      <c r="B4" s="28"/>
      <c r="D4" s="49" t="s">
        <v>3</v>
      </c>
      <c r="E4" s="143" t="s">
        <v>3</v>
      </c>
      <c r="F4" s="143" t="s">
        <v>3</v>
      </c>
      <c r="G4" s="143" t="s">
        <v>3</v>
      </c>
      <c r="H4" s="143" t="s">
        <v>3</v>
      </c>
      <c r="I4" s="143" t="s">
        <v>3</v>
      </c>
      <c r="J4" s="143" t="s">
        <v>3</v>
      </c>
      <c r="K4" s="143" t="s">
        <v>3</v>
      </c>
      <c r="L4" s="143" t="s">
        <v>3</v>
      </c>
      <c r="M4" s="143" t="s">
        <v>3</v>
      </c>
      <c r="N4" s="143" t="s">
        <v>3</v>
      </c>
      <c r="O4" s="143" t="s">
        <v>3</v>
      </c>
      <c r="P4" s="143" t="s">
        <v>3</v>
      </c>
      <c r="Q4" s="143" t="s">
        <v>3</v>
      </c>
      <c r="R4" s="143" t="s">
        <v>3</v>
      </c>
      <c r="S4" s="143" t="s">
        <v>3</v>
      </c>
      <c r="T4" s="143" t="s">
        <v>3</v>
      </c>
      <c r="U4" s="143" t="s">
        <v>3</v>
      </c>
      <c r="V4" s="143" t="s">
        <v>3</v>
      </c>
      <c r="W4" s="143" t="s">
        <v>3</v>
      </c>
      <c r="X4" s="143" t="s">
        <v>3</v>
      </c>
      <c r="Y4" s="143" t="s">
        <v>3</v>
      </c>
      <c r="Z4" s="143" t="s">
        <v>3</v>
      </c>
      <c r="AA4" s="143" t="s">
        <v>3</v>
      </c>
      <c r="AB4" s="29"/>
      <c r="AC4" s="135" t="s">
        <v>185</v>
      </c>
      <c r="AD4" s="40" t="s">
        <v>186</v>
      </c>
      <c r="AE4" s="40" t="s">
        <v>187</v>
      </c>
      <c r="AF4" s="28"/>
      <c r="AG4" s="28"/>
      <c r="AH4" s="28"/>
      <c r="AI4" s="28"/>
      <c r="AJ4" s="28"/>
      <c r="AK4" s="28"/>
      <c r="AL4" s="28"/>
    </row>
    <row r="5" spans="1:38" s="26" customFormat="1" ht="12.75">
      <c r="A5" s="29"/>
      <c r="B5" s="29"/>
      <c r="C5" s="30"/>
      <c r="D5" s="50">
        <v>42186</v>
      </c>
      <c r="E5" s="50">
        <v>42217</v>
      </c>
      <c r="F5" s="50">
        <v>42248</v>
      </c>
      <c r="G5" s="50">
        <v>42278</v>
      </c>
      <c r="H5" s="144">
        <v>42309</v>
      </c>
      <c r="I5" s="144">
        <v>42339</v>
      </c>
      <c r="J5" s="144">
        <v>42370</v>
      </c>
      <c r="K5" s="144">
        <v>42401</v>
      </c>
      <c r="L5" s="144">
        <v>42430</v>
      </c>
      <c r="M5" s="144">
        <v>42461</v>
      </c>
      <c r="N5" s="144">
        <v>42491</v>
      </c>
      <c r="O5" s="144">
        <v>42522</v>
      </c>
      <c r="P5" s="144">
        <v>42552</v>
      </c>
      <c r="Q5" s="144">
        <v>42583</v>
      </c>
      <c r="R5" s="144">
        <v>42614</v>
      </c>
      <c r="S5" s="144">
        <v>42644</v>
      </c>
      <c r="T5" s="144">
        <v>42675</v>
      </c>
      <c r="U5" s="144">
        <v>42705</v>
      </c>
      <c r="V5" s="144">
        <v>42736</v>
      </c>
      <c r="W5" s="144">
        <v>42767</v>
      </c>
      <c r="X5" s="144">
        <v>42795</v>
      </c>
      <c r="Y5" s="144">
        <v>42826</v>
      </c>
      <c r="Z5" s="144">
        <v>42856</v>
      </c>
      <c r="AA5" s="144">
        <v>42887</v>
      </c>
      <c r="AB5" s="29"/>
      <c r="AC5" s="41" t="s">
        <v>1</v>
      </c>
      <c r="AD5" s="42" t="s">
        <v>187</v>
      </c>
      <c r="AE5" s="42" t="s">
        <v>187</v>
      </c>
      <c r="AF5" s="28"/>
      <c r="AG5" s="28"/>
      <c r="AH5" s="28"/>
      <c r="AI5" s="28"/>
      <c r="AJ5" s="28"/>
      <c r="AK5" s="28"/>
      <c r="AL5" s="28"/>
    </row>
    <row r="6" spans="1:31" ht="15.75">
      <c r="A6" s="33"/>
      <c r="B6" s="4" t="s">
        <v>112</v>
      </c>
      <c r="C6" s="22"/>
      <c r="D6" s="51"/>
      <c r="E6" s="51"/>
      <c r="F6" s="51"/>
      <c r="G6" s="51"/>
      <c r="H6" s="145"/>
      <c r="I6" s="145"/>
      <c r="J6" s="145"/>
      <c r="K6" s="145"/>
      <c r="L6" s="145"/>
      <c r="M6" s="145"/>
      <c r="N6" s="145"/>
      <c r="O6" s="145"/>
      <c r="P6" s="145"/>
      <c r="Q6" s="145"/>
      <c r="R6" s="145"/>
      <c r="S6" s="145"/>
      <c r="T6" s="145"/>
      <c r="U6" s="145"/>
      <c r="V6" s="145"/>
      <c r="W6" s="145"/>
      <c r="X6" s="145"/>
      <c r="Y6" s="145"/>
      <c r="Z6" s="145"/>
      <c r="AA6" s="145"/>
      <c r="AB6" s="5"/>
      <c r="AC6" s="6"/>
      <c r="AD6" s="6"/>
      <c r="AE6" s="6"/>
    </row>
    <row r="7" spans="1:31" ht="15">
      <c r="A7" s="33"/>
      <c r="B7" s="2"/>
      <c r="C7" s="22"/>
      <c r="D7" s="86"/>
      <c r="E7" s="52"/>
      <c r="F7" s="52"/>
      <c r="G7" s="52"/>
      <c r="H7" s="146"/>
      <c r="I7" s="146"/>
      <c r="J7" s="146"/>
      <c r="K7" s="146"/>
      <c r="L7" s="146"/>
      <c r="M7" s="146"/>
      <c r="N7" s="146"/>
      <c r="O7" s="146"/>
      <c r="P7" s="152"/>
      <c r="Q7" s="146"/>
      <c r="R7" s="146"/>
      <c r="S7" s="146"/>
      <c r="T7" s="146"/>
      <c r="U7" s="146"/>
      <c r="V7" s="146"/>
      <c r="W7" s="146"/>
      <c r="X7" s="146"/>
      <c r="Y7" s="146"/>
      <c r="Z7" s="146"/>
      <c r="AA7" s="146"/>
      <c r="AB7" s="7"/>
      <c r="AC7" s="6">
        <f>C26</f>
        <v>9878036.72</v>
      </c>
      <c r="AD7" s="6">
        <f>C26</f>
        <v>9878036.72</v>
      </c>
      <c r="AE7" s="6"/>
    </row>
    <row r="8" spans="1:38" s="8" customFormat="1" ht="15">
      <c r="A8" s="34" t="s">
        <v>0</v>
      </c>
      <c r="B8" s="105" t="s">
        <v>500</v>
      </c>
      <c r="C8" s="119"/>
      <c r="D8" s="53">
        <f>41838.09+41838.09+370154.57+257416.85</f>
        <v>711247.6</v>
      </c>
      <c r="E8" s="53">
        <v>811618.58</v>
      </c>
      <c r="F8" s="53">
        <v>797567.86</v>
      </c>
      <c r="G8" s="53">
        <v>748105.89</v>
      </c>
      <c r="H8" s="147">
        <f>39762.7+39762.7+349039.61+247400.9</f>
        <v>675965.91</v>
      </c>
      <c r="I8" s="147">
        <v>724262.78</v>
      </c>
      <c r="J8" s="147">
        <v>886980.96</v>
      </c>
      <c r="K8" s="147">
        <v>918071.74</v>
      </c>
      <c r="L8" s="147">
        <v>776633.31</v>
      </c>
      <c r="M8" s="147">
        <v>723270.6</v>
      </c>
      <c r="N8" s="147">
        <v>689314.53</v>
      </c>
      <c r="O8" s="147">
        <v>660256.86</v>
      </c>
      <c r="P8" s="147">
        <v>17410.03</v>
      </c>
      <c r="Q8" s="147">
        <v>18092.29</v>
      </c>
      <c r="R8" s="147">
        <v>18765.04</v>
      </c>
      <c r="S8" s="147">
        <v>18289.08</v>
      </c>
      <c r="T8" s="147">
        <v>16733.06</v>
      </c>
      <c r="U8" s="147">
        <v>15401.11</v>
      </c>
      <c r="V8" s="147">
        <v>18261.7</v>
      </c>
      <c r="W8" s="147">
        <v>22288.99</v>
      </c>
      <c r="X8" s="147">
        <v>18441.84</v>
      </c>
      <c r="Y8" s="147">
        <v>16513.35</v>
      </c>
      <c r="Z8" s="147">
        <v>15578.15</v>
      </c>
      <c r="AA8" s="147">
        <v>14550.43</v>
      </c>
      <c r="AB8" s="9"/>
      <c r="AC8" s="10">
        <f aca="true" t="shared" si="0" ref="AC8:AC17">SUM(D8:AA8)</f>
        <v>9333621.689999996</v>
      </c>
      <c r="AD8" s="10">
        <f>SUM(D8:AA8)</f>
        <v>9333621.689999996</v>
      </c>
      <c r="AE8" s="10">
        <f aca="true" t="shared" si="1" ref="AE8:AE17">AC8-AD8</f>
        <v>0</v>
      </c>
      <c r="AF8" s="9"/>
      <c r="AG8" s="3"/>
      <c r="AH8" s="11"/>
      <c r="AI8" s="11"/>
      <c r="AJ8" s="11"/>
      <c r="AK8" s="11"/>
      <c r="AL8" s="11"/>
    </row>
    <row r="9" spans="1:38" s="105" customFormat="1" ht="15">
      <c r="A9" s="129"/>
      <c r="B9" s="105" t="s">
        <v>502</v>
      </c>
      <c r="C9" s="119"/>
      <c r="D9" s="147"/>
      <c r="E9" s="147"/>
      <c r="F9" s="147"/>
      <c r="G9" s="147"/>
      <c r="H9" s="147"/>
      <c r="I9" s="147"/>
      <c r="J9" s="147"/>
      <c r="K9" s="147"/>
      <c r="L9" s="147"/>
      <c r="M9" s="147"/>
      <c r="N9" s="147"/>
      <c r="O9" s="147"/>
      <c r="P9" s="147">
        <v>17410.03</v>
      </c>
      <c r="Q9" s="147">
        <v>18092.29</v>
      </c>
      <c r="R9" s="147">
        <v>18765.04</v>
      </c>
      <c r="S9" s="147">
        <v>18289.08</v>
      </c>
      <c r="T9" s="147">
        <v>16733.06</v>
      </c>
      <c r="U9" s="147">
        <v>18118.95</v>
      </c>
      <c r="V9" s="147">
        <v>21484.35</v>
      </c>
      <c r="W9" s="147">
        <v>26222.34</v>
      </c>
      <c r="X9" s="147">
        <v>21696.28</v>
      </c>
      <c r="Y9" s="147">
        <v>19427.47</v>
      </c>
      <c r="Z9" s="147">
        <v>18327.23</v>
      </c>
      <c r="AA9" s="147">
        <v>17118.15</v>
      </c>
      <c r="AB9" s="106"/>
      <c r="AC9" s="107">
        <f t="shared" si="0"/>
        <v>231684.27</v>
      </c>
      <c r="AD9" s="107">
        <f>SUM(D9:AA9)</f>
        <v>231684.27</v>
      </c>
      <c r="AE9" s="107">
        <f t="shared" si="1"/>
        <v>0</v>
      </c>
      <c r="AF9" s="106"/>
      <c r="AG9" s="100"/>
      <c r="AH9" s="108"/>
      <c r="AI9" s="108"/>
      <c r="AJ9" s="108"/>
      <c r="AK9" s="108"/>
      <c r="AL9" s="108"/>
    </row>
    <row r="10" spans="1:38" s="105" customFormat="1" ht="15">
      <c r="A10" s="129"/>
      <c r="B10" s="105" t="s">
        <v>504</v>
      </c>
      <c r="C10" s="119"/>
      <c r="D10" s="147"/>
      <c r="E10" s="147"/>
      <c r="F10" s="147"/>
      <c r="G10" s="147"/>
      <c r="H10" s="147"/>
      <c r="I10" s="147"/>
      <c r="J10" s="147"/>
      <c r="K10" s="147"/>
      <c r="L10" s="147"/>
      <c r="M10" s="147"/>
      <c r="N10" s="147"/>
      <c r="O10" s="147"/>
      <c r="P10" s="147">
        <v>261150.44</v>
      </c>
      <c r="Q10" s="147">
        <v>271384.32</v>
      </c>
      <c r="R10" s="147">
        <v>281475.6</v>
      </c>
      <c r="S10" s="147">
        <v>274336.19</v>
      </c>
      <c r="T10" s="147">
        <v>250995.91</v>
      </c>
      <c r="U10" s="147">
        <v>271784.28</v>
      </c>
      <c r="V10" s="147">
        <v>322265.23</v>
      </c>
      <c r="W10" s="147">
        <v>393335.03</v>
      </c>
      <c r="X10" s="147">
        <v>325444.13</v>
      </c>
      <c r="Y10" s="147">
        <v>291412.07</v>
      </c>
      <c r="Z10" s="147">
        <v>274908.39</v>
      </c>
      <c r="AA10" s="147">
        <v>256772.24</v>
      </c>
      <c r="AB10" s="106"/>
      <c r="AC10" s="107">
        <f t="shared" si="0"/>
        <v>3475263.83</v>
      </c>
      <c r="AD10" s="107">
        <f>SUM(D10:AA10)</f>
        <v>3475263.83</v>
      </c>
      <c r="AE10" s="107">
        <f t="shared" si="1"/>
        <v>0</v>
      </c>
      <c r="AF10" s="106"/>
      <c r="AG10" s="100"/>
      <c r="AH10" s="108"/>
      <c r="AI10" s="108"/>
      <c r="AJ10" s="108"/>
      <c r="AK10" s="108"/>
      <c r="AL10" s="108"/>
    </row>
    <row r="11" spans="1:38" s="105" customFormat="1" ht="15">
      <c r="A11" s="129"/>
      <c r="B11" s="105" t="s">
        <v>501</v>
      </c>
      <c r="C11" s="119"/>
      <c r="D11" s="147"/>
      <c r="E11" s="147"/>
      <c r="F11" s="147"/>
      <c r="G11" s="147"/>
      <c r="H11" s="147"/>
      <c r="I11" s="147"/>
      <c r="J11" s="147"/>
      <c r="K11" s="147"/>
      <c r="L11" s="147"/>
      <c r="M11" s="147"/>
      <c r="N11" s="147"/>
      <c r="O11" s="147"/>
      <c r="P11" s="147">
        <v>23776.63</v>
      </c>
      <c r="Q11" s="147">
        <v>25224</v>
      </c>
      <c r="R11" s="147">
        <v>23458.59</v>
      </c>
      <c r="S11" s="147">
        <v>26498.21</v>
      </c>
      <c r="T11" s="147">
        <v>23436.52</v>
      </c>
      <c r="U11" s="147">
        <v>20266.1</v>
      </c>
      <c r="V11" s="147">
        <v>24687.4</v>
      </c>
      <c r="W11" s="147">
        <v>28906.93</v>
      </c>
      <c r="X11" s="147">
        <v>26074.96</v>
      </c>
      <c r="Y11" s="147">
        <v>23590.77</v>
      </c>
      <c r="Z11" s="147">
        <v>21192.04</v>
      </c>
      <c r="AA11" s="147">
        <v>20182.55</v>
      </c>
      <c r="AB11" s="106"/>
      <c r="AC11" s="107">
        <f t="shared" si="0"/>
        <v>287294.69999999995</v>
      </c>
      <c r="AD11" s="107">
        <f>SUM(D11:AA11)</f>
        <v>287294.69999999995</v>
      </c>
      <c r="AE11" s="107">
        <f t="shared" si="1"/>
        <v>0</v>
      </c>
      <c r="AF11" s="106"/>
      <c r="AG11" s="100"/>
      <c r="AH11" s="108"/>
      <c r="AI11" s="108"/>
      <c r="AJ11" s="108"/>
      <c r="AK11" s="108"/>
      <c r="AL11" s="108"/>
    </row>
    <row r="12" spans="1:38" s="105" customFormat="1" ht="15">
      <c r="A12" s="129"/>
      <c r="B12" s="105" t="s">
        <v>503</v>
      </c>
      <c r="C12" s="119"/>
      <c r="D12" s="147"/>
      <c r="E12" s="147"/>
      <c r="F12" s="147"/>
      <c r="G12" s="147"/>
      <c r="H12" s="147"/>
      <c r="I12" s="147"/>
      <c r="J12" s="147"/>
      <c r="K12" s="147"/>
      <c r="L12" s="147"/>
      <c r="M12" s="147"/>
      <c r="N12" s="147"/>
      <c r="O12" s="147"/>
      <c r="P12" s="147">
        <v>23776.63</v>
      </c>
      <c r="Q12" s="147">
        <v>25224</v>
      </c>
      <c r="R12" s="147">
        <v>23458.59</v>
      </c>
      <c r="S12" s="147">
        <v>26498.21</v>
      </c>
      <c r="T12" s="147">
        <v>23436.52</v>
      </c>
      <c r="U12" s="147">
        <v>23842.47</v>
      </c>
      <c r="V12" s="147">
        <v>29044</v>
      </c>
      <c r="W12" s="147">
        <v>34008.15</v>
      </c>
      <c r="X12" s="147">
        <v>30676.42</v>
      </c>
      <c r="Y12" s="147">
        <v>27753.85</v>
      </c>
      <c r="Z12" s="147">
        <v>24931.81</v>
      </c>
      <c r="AA12" s="147">
        <v>23744.18</v>
      </c>
      <c r="AB12" s="106"/>
      <c r="AC12" s="107">
        <f t="shared" si="0"/>
        <v>316394.82999999996</v>
      </c>
      <c r="AD12" s="107">
        <f>SUM(D12:AA12)</f>
        <v>316394.82999999996</v>
      </c>
      <c r="AE12" s="107">
        <f t="shared" si="1"/>
        <v>0</v>
      </c>
      <c r="AF12" s="106"/>
      <c r="AG12" s="100"/>
      <c r="AH12" s="108"/>
      <c r="AI12" s="108"/>
      <c r="AJ12" s="108"/>
      <c r="AK12" s="108"/>
      <c r="AL12" s="108"/>
    </row>
    <row r="13" spans="1:38" s="105" customFormat="1" ht="15">
      <c r="A13" s="129"/>
      <c r="B13" s="105" t="s">
        <v>505</v>
      </c>
      <c r="C13" s="119"/>
      <c r="D13" s="147"/>
      <c r="E13" s="147"/>
      <c r="F13" s="147"/>
      <c r="G13" s="147"/>
      <c r="H13" s="147"/>
      <c r="I13" s="147"/>
      <c r="J13" s="147"/>
      <c r="K13" s="147"/>
      <c r="L13" s="147"/>
      <c r="M13" s="147"/>
      <c r="N13" s="147"/>
      <c r="O13" s="147"/>
      <c r="P13" s="147">
        <v>356649.49</v>
      </c>
      <c r="Q13" s="147">
        <v>378360.03</v>
      </c>
      <c r="R13" s="147">
        <v>351878.92</v>
      </c>
      <c r="S13" s="147">
        <v>397473.2</v>
      </c>
      <c r="T13" s="147">
        <v>351547.78</v>
      </c>
      <c r="U13" s="147">
        <v>357637.05</v>
      </c>
      <c r="V13" s="147">
        <v>435660.01</v>
      </c>
      <c r="W13" s="147">
        <v>510122.32</v>
      </c>
      <c r="X13" s="147">
        <v>460146.29</v>
      </c>
      <c r="Y13" s="147">
        <v>416307.82</v>
      </c>
      <c r="Z13" s="147">
        <v>373977.1</v>
      </c>
      <c r="AA13" s="147">
        <v>356162.67</v>
      </c>
      <c r="AB13" s="106"/>
      <c r="AC13" s="107">
        <f t="shared" si="0"/>
        <v>4745922.679999999</v>
      </c>
      <c r="AD13" s="107">
        <f>SUM(D13:AA13)</f>
        <v>4745922.679999999</v>
      </c>
      <c r="AE13" s="107">
        <f t="shared" si="1"/>
        <v>0</v>
      </c>
      <c r="AF13" s="106"/>
      <c r="AG13" s="100"/>
      <c r="AH13" s="108"/>
      <c r="AI13" s="108"/>
      <c r="AJ13" s="108"/>
      <c r="AK13" s="108"/>
      <c r="AL13" s="108"/>
    </row>
    <row r="14" spans="1:38" s="8" customFormat="1" ht="15">
      <c r="A14" s="34" t="s">
        <v>68</v>
      </c>
      <c r="B14" s="8" t="s">
        <v>69</v>
      </c>
      <c r="C14" s="23"/>
      <c r="D14" s="53"/>
      <c r="E14" s="53"/>
      <c r="F14" s="53"/>
      <c r="G14" s="53"/>
      <c r="H14" s="147"/>
      <c r="I14" s="147"/>
      <c r="J14" s="147"/>
      <c r="K14" s="147"/>
      <c r="L14" s="147"/>
      <c r="M14" s="147"/>
      <c r="N14" s="147"/>
      <c r="O14" s="147"/>
      <c r="P14" s="147"/>
      <c r="Q14" s="147"/>
      <c r="R14" s="147"/>
      <c r="S14" s="147"/>
      <c r="T14" s="147"/>
      <c r="U14" s="147"/>
      <c r="V14" s="147"/>
      <c r="W14" s="147"/>
      <c r="X14" s="147"/>
      <c r="Y14" s="147"/>
      <c r="Z14" s="147"/>
      <c r="AA14" s="147"/>
      <c r="AB14" s="9"/>
      <c r="AC14" s="10">
        <f t="shared" si="0"/>
        <v>0</v>
      </c>
      <c r="AD14" s="107">
        <f>SUM(D14:AA14)</f>
        <v>0</v>
      </c>
      <c r="AE14" s="10"/>
      <c r="AF14" s="9"/>
      <c r="AG14" s="3"/>
      <c r="AH14" s="11"/>
      <c r="AI14" s="11"/>
      <c r="AJ14" s="11"/>
      <c r="AK14" s="11"/>
      <c r="AL14" s="11"/>
    </row>
    <row r="15" spans="1:38" s="105" customFormat="1" ht="15">
      <c r="A15" s="129" t="s">
        <v>195</v>
      </c>
      <c r="B15" s="105" t="s">
        <v>196</v>
      </c>
      <c r="C15" s="119"/>
      <c r="D15" s="147">
        <v>4266.68</v>
      </c>
      <c r="E15" s="147"/>
      <c r="F15" s="147">
        <v>5463</v>
      </c>
      <c r="G15" s="147"/>
      <c r="H15" s="147"/>
      <c r="I15" s="147"/>
      <c r="J15" s="147"/>
      <c r="K15" s="147"/>
      <c r="L15" s="147"/>
      <c r="M15" s="147">
        <v>3918.9</v>
      </c>
      <c r="N15" s="147"/>
      <c r="O15" s="147"/>
      <c r="P15" s="147"/>
      <c r="Q15" s="147"/>
      <c r="R15" s="147"/>
      <c r="S15" s="147"/>
      <c r="T15" s="147"/>
      <c r="U15" s="147">
        <v>15634</v>
      </c>
      <c r="V15" s="147"/>
      <c r="W15" s="147"/>
      <c r="X15" s="147"/>
      <c r="Y15" s="147"/>
      <c r="Z15" s="147"/>
      <c r="AA15" s="147"/>
      <c r="AB15" s="106"/>
      <c r="AC15" s="107"/>
      <c r="AD15" s="107">
        <f>SUM(D15:AA15)</f>
        <v>29282.58</v>
      </c>
      <c r="AE15" s="107"/>
      <c r="AF15" s="106"/>
      <c r="AG15" s="100"/>
      <c r="AH15" s="108"/>
      <c r="AI15" s="108"/>
      <c r="AJ15" s="108"/>
      <c r="AK15" s="108"/>
      <c r="AL15" s="108"/>
    </row>
    <row r="16" spans="1:38" s="8" customFormat="1" ht="15">
      <c r="A16" s="35" t="s">
        <v>17</v>
      </c>
      <c r="B16" s="8" t="s">
        <v>18</v>
      </c>
      <c r="C16" s="23"/>
      <c r="D16" s="53"/>
      <c r="E16" s="53"/>
      <c r="F16" s="53"/>
      <c r="G16" s="53">
        <v>0</v>
      </c>
      <c r="H16" s="147"/>
      <c r="I16" s="147"/>
      <c r="J16" s="147"/>
      <c r="K16" s="147"/>
      <c r="L16" s="147"/>
      <c r="M16" s="147"/>
      <c r="N16" s="147"/>
      <c r="O16" s="147"/>
      <c r="P16" s="147"/>
      <c r="Q16" s="147"/>
      <c r="R16" s="147"/>
      <c r="S16" s="147"/>
      <c r="T16" s="147">
        <v>-267872.82</v>
      </c>
      <c r="U16" s="147">
        <v>-41529.67</v>
      </c>
      <c r="V16" s="147"/>
      <c r="W16" s="147"/>
      <c r="X16" s="147"/>
      <c r="Y16" s="147"/>
      <c r="Z16" s="147"/>
      <c r="AA16" s="147"/>
      <c r="AB16" s="12"/>
      <c r="AC16" s="10">
        <f t="shared" si="0"/>
        <v>-309402.49</v>
      </c>
      <c r="AD16" s="107">
        <f>SUM(D16:AA16)</f>
        <v>-309402.49</v>
      </c>
      <c r="AE16" s="10">
        <f t="shared" si="1"/>
        <v>0</v>
      </c>
      <c r="AF16" s="12"/>
      <c r="AG16" s="3"/>
      <c r="AH16" s="13"/>
      <c r="AI16" s="13"/>
      <c r="AJ16" s="13"/>
      <c r="AK16" s="13"/>
      <c r="AL16" s="13"/>
    </row>
    <row r="17" spans="1:38" s="8" customFormat="1" ht="15">
      <c r="A17" s="35" t="s">
        <v>19</v>
      </c>
      <c r="B17" s="8" t="s">
        <v>20</v>
      </c>
      <c r="C17" s="23"/>
      <c r="D17" s="54">
        <v>8660.79</v>
      </c>
      <c r="E17" s="54">
        <v>8715.07</v>
      </c>
      <c r="F17" s="54">
        <v>8457.86</v>
      </c>
      <c r="G17" s="54">
        <v>8718.47</v>
      </c>
      <c r="H17" s="148">
        <v>8261.72</v>
      </c>
      <c r="I17" s="148">
        <v>9262.78</v>
      </c>
      <c r="J17" s="148">
        <v>10264.84</v>
      </c>
      <c r="K17" s="148">
        <v>10306.01</v>
      </c>
      <c r="L17" s="148">
        <v>12041.39</v>
      </c>
      <c r="M17" s="148">
        <v>11840.31</v>
      </c>
      <c r="N17" s="148">
        <v>12713.11</v>
      </c>
      <c r="O17" s="148">
        <v>14011.07</v>
      </c>
      <c r="P17" s="148">
        <v>14493.62</v>
      </c>
      <c r="Q17" s="148">
        <v>14780.34</v>
      </c>
      <c r="R17" s="148">
        <v>14310.48</v>
      </c>
      <c r="S17" s="148">
        <v>16663.93</v>
      </c>
      <c r="T17" s="148">
        <v>15538.22</v>
      </c>
      <c r="U17" s="148">
        <v>15870.43</v>
      </c>
      <c r="V17" s="148">
        <v>18259.15</v>
      </c>
      <c r="W17" s="148">
        <v>16616.8</v>
      </c>
      <c r="X17" s="148">
        <v>19427.47</v>
      </c>
      <c r="Y17" s="148">
        <v>20326.7</v>
      </c>
      <c r="Z17" s="148">
        <v>20719.88</v>
      </c>
      <c r="AA17" s="148">
        <v>19699.29</v>
      </c>
      <c r="AB17" s="12"/>
      <c r="AC17" s="10">
        <f t="shared" si="0"/>
        <v>329959.73</v>
      </c>
      <c r="AD17" s="107">
        <f>SUM(D17:AA17)</f>
        <v>329959.73</v>
      </c>
      <c r="AE17" s="14">
        <f t="shared" si="1"/>
        <v>0</v>
      </c>
      <c r="AF17" s="12"/>
      <c r="AG17" s="3"/>
      <c r="AH17" s="13"/>
      <c r="AI17" s="13"/>
      <c r="AJ17" s="13"/>
      <c r="AK17" s="13"/>
      <c r="AL17" s="13"/>
    </row>
    <row r="18" spans="1:38" s="8" customFormat="1" ht="15.75">
      <c r="A18" s="36" t="s">
        <v>7</v>
      </c>
      <c r="C18" s="23"/>
      <c r="D18" s="53">
        <f aca="true" t="shared" si="2" ref="D18:AA18">SUM(D8:D17)</f>
        <v>724175.0700000001</v>
      </c>
      <c r="E18" s="53">
        <f t="shared" si="2"/>
        <v>820333.6499999999</v>
      </c>
      <c r="F18" s="53">
        <f t="shared" si="2"/>
        <v>811488.72</v>
      </c>
      <c r="G18" s="53">
        <f t="shared" si="2"/>
        <v>756824.36</v>
      </c>
      <c r="H18" s="147">
        <f t="shared" si="2"/>
        <v>684227.63</v>
      </c>
      <c r="I18" s="147">
        <f t="shared" si="2"/>
        <v>733525.56</v>
      </c>
      <c r="J18" s="147">
        <f t="shared" si="2"/>
        <v>897245.7999999999</v>
      </c>
      <c r="K18" s="147">
        <f t="shared" si="2"/>
        <v>928377.75</v>
      </c>
      <c r="L18" s="147">
        <f t="shared" si="2"/>
        <v>788674.7000000001</v>
      </c>
      <c r="M18" s="147">
        <f t="shared" si="2"/>
        <v>739029.81</v>
      </c>
      <c r="N18" s="147">
        <f t="shared" si="2"/>
        <v>702027.64</v>
      </c>
      <c r="O18" s="147">
        <f>SUM(O8:O17)</f>
        <v>674267.9299999999</v>
      </c>
      <c r="P18" s="147">
        <f>SUM(P8:P17)</f>
        <v>714666.87</v>
      </c>
      <c r="Q18" s="147">
        <f t="shared" si="2"/>
        <v>751157.27</v>
      </c>
      <c r="R18" s="147">
        <f t="shared" si="2"/>
        <v>732112.26</v>
      </c>
      <c r="S18" s="147">
        <f t="shared" si="2"/>
        <v>778047.9</v>
      </c>
      <c r="T18" s="147">
        <f t="shared" si="2"/>
        <v>430548.25000000006</v>
      </c>
      <c r="U18" s="147">
        <f t="shared" si="2"/>
        <v>697024.72</v>
      </c>
      <c r="V18" s="147">
        <f t="shared" si="2"/>
        <v>869661.84</v>
      </c>
      <c r="W18" s="147">
        <f t="shared" si="2"/>
        <v>1031500.56</v>
      </c>
      <c r="X18" s="147">
        <f t="shared" si="2"/>
        <v>901907.3899999999</v>
      </c>
      <c r="Y18" s="147">
        <f t="shared" si="2"/>
        <v>815332.03</v>
      </c>
      <c r="Z18" s="147">
        <f t="shared" si="2"/>
        <v>749634.6</v>
      </c>
      <c r="AA18" s="147">
        <f t="shared" si="2"/>
        <v>708229.51</v>
      </c>
      <c r="AB18" s="12"/>
      <c r="AC18" s="16">
        <f>SUM(AC7:AC17)</f>
        <v>28288775.959999997</v>
      </c>
      <c r="AD18" s="16">
        <f>SUM(AD7:AD17)</f>
        <v>28318058.539999995</v>
      </c>
      <c r="AE18" s="16">
        <f>SUM(AE8:AE17)</f>
        <v>0</v>
      </c>
      <c r="AF18" s="12"/>
      <c r="AG18" s="3"/>
      <c r="AH18" s="13"/>
      <c r="AI18" s="13"/>
      <c r="AJ18" s="13"/>
      <c r="AK18" s="13"/>
      <c r="AL18" s="13"/>
    </row>
    <row r="19" spans="1:38" s="8" customFormat="1" ht="15">
      <c r="A19" s="34"/>
      <c r="C19" s="23"/>
      <c r="D19" s="55"/>
      <c r="E19" s="55"/>
      <c r="F19" s="55"/>
      <c r="G19" s="55"/>
      <c r="H19" s="149"/>
      <c r="I19" s="149"/>
      <c r="J19" s="149"/>
      <c r="K19" s="149"/>
      <c r="L19" s="149"/>
      <c r="M19" s="149"/>
      <c r="N19" s="149"/>
      <c r="O19" s="149"/>
      <c r="P19" s="149"/>
      <c r="Q19" s="149"/>
      <c r="R19" s="149"/>
      <c r="S19" s="149"/>
      <c r="T19" s="149"/>
      <c r="U19" s="149"/>
      <c r="V19" s="149"/>
      <c r="W19" s="149"/>
      <c r="X19" s="149"/>
      <c r="Y19" s="149"/>
      <c r="Z19" s="149"/>
      <c r="AA19" s="149"/>
      <c r="AB19" s="12"/>
      <c r="AC19" s="17"/>
      <c r="AD19" s="17"/>
      <c r="AE19" s="17"/>
      <c r="AF19" s="12"/>
      <c r="AG19" s="3"/>
      <c r="AH19" s="13"/>
      <c r="AI19" s="13"/>
      <c r="AJ19" s="13"/>
      <c r="AK19" s="13"/>
      <c r="AL19" s="13"/>
    </row>
    <row r="20" spans="1:38" s="8" customFormat="1" ht="15">
      <c r="A20" s="34" t="s">
        <v>21</v>
      </c>
      <c r="B20" s="8" t="s">
        <v>22</v>
      </c>
      <c r="C20" s="23"/>
      <c r="D20" s="55">
        <v>0</v>
      </c>
      <c r="E20" s="55">
        <v>0</v>
      </c>
      <c r="F20" s="55">
        <v>22005.65</v>
      </c>
      <c r="G20" s="55">
        <v>5042.75</v>
      </c>
      <c r="H20" s="149">
        <f>2536.3+139.37</f>
        <v>2675.67</v>
      </c>
      <c r="I20" s="149">
        <v>-4501.66</v>
      </c>
      <c r="J20" s="149">
        <v>-1307.34</v>
      </c>
      <c r="K20" s="149">
        <v>-411.75</v>
      </c>
      <c r="L20" s="149">
        <v>1893.18</v>
      </c>
      <c r="M20" s="149">
        <v>-4136.73</v>
      </c>
      <c r="N20" s="149">
        <v>-4987.85</v>
      </c>
      <c r="O20" s="149">
        <v>1030.99</v>
      </c>
      <c r="P20" s="149">
        <v>3226.86</v>
      </c>
      <c r="Q20" s="149">
        <v>-653.75</v>
      </c>
      <c r="R20" s="149">
        <v>-91.64</v>
      </c>
      <c r="S20" s="149">
        <v>1217.34</v>
      </c>
      <c r="T20" s="149">
        <v>-114.96</v>
      </c>
      <c r="U20" s="149">
        <v>8601.02</v>
      </c>
      <c r="V20" s="149">
        <v>-1743.78</v>
      </c>
      <c r="W20" s="149">
        <v>-5105.12</v>
      </c>
      <c r="X20" s="149">
        <v>-4812.41</v>
      </c>
      <c r="Y20" s="149">
        <v>1629.08</v>
      </c>
      <c r="Z20" s="149">
        <v>-1353.6</v>
      </c>
      <c r="AA20" s="149">
        <v>4153.04</v>
      </c>
      <c r="AB20" s="12"/>
      <c r="AC20" s="10">
        <f>SUM(D20:AB20)</f>
        <v>22254.990000000005</v>
      </c>
      <c r="AD20" s="107">
        <f>SUM(D20:AA20)</f>
        <v>22254.990000000005</v>
      </c>
      <c r="AE20" s="10">
        <f>AC20-AD20</f>
        <v>0</v>
      </c>
      <c r="AF20" s="12"/>
      <c r="AG20" s="3"/>
      <c r="AH20" s="13"/>
      <c r="AI20" s="13"/>
      <c r="AJ20" s="13"/>
      <c r="AK20" s="13"/>
      <c r="AL20" s="13"/>
    </row>
    <row r="21" spans="1:38" s="8" customFormat="1" ht="15">
      <c r="A21" s="34" t="s">
        <v>44</v>
      </c>
      <c r="B21" s="8" t="s">
        <v>23</v>
      </c>
      <c r="C21" s="23"/>
      <c r="D21" s="55">
        <f>16789.92+15010.22</f>
        <v>31800.14</v>
      </c>
      <c r="E21" s="55">
        <v>26835.7</v>
      </c>
      <c r="F21" s="55">
        <v>0</v>
      </c>
      <c r="G21" s="55">
        <v>26236.82</v>
      </c>
      <c r="H21" s="149">
        <f>22046.06-2536.3+16510.94-139.37</f>
        <v>35881.329999999994</v>
      </c>
      <c r="I21" s="149">
        <v>29905.81</v>
      </c>
      <c r="J21" s="149">
        <v>25688.46</v>
      </c>
      <c r="K21" s="149">
        <v>24021.4</v>
      </c>
      <c r="L21" s="149">
        <v>24348.6</v>
      </c>
      <c r="M21" s="149">
        <v>26414.79</v>
      </c>
      <c r="N21" s="149">
        <v>-4407.64</v>
      </c>
      <c r="O21" s="149">
        <v>6920.8</v>
      </c>
      <c r="P21" s="149">
        <v>17302.91</v>
      </c>
      <c r="Q21" s="149">
        <v>21259.1</v>
      </c>
      <c r="R21" s="149">
        <v>19752.32</v>
      </c>
      <c r="S21" s="149">
        <v>19821.15</v>
      </c>
      <c r="T21" s="149">
        <v>21001.72</v>
      </c>
      <c r="U21" s="149">
        <v>20886.55</v>
      </c>
      <c r="V21" s="149">
        <v>29646.25</v>
      </c>
      <c r="W21" s="149">
        <v>28815.46</v>
      </c>
      <c r="X21" s="149">
        <v>23715.04</v>
      </c>
      <c r="Y21" s="149">
        <v>17995.64</v>
      </c>
      <c r="Z21" s="149">
        <v>24836.2</v>
      </c>
      <c r="AA21" s="149">
        <v>18254.32</v>
      </c>
      <c r="AB21" s="12"/>
      <c r="AC21" s="10">
        <f>SUM(D21:AB21)</f>
        <v>516932.86999999994</v>
      </c>
      <c r="AD21" s="107">
        <f>SUM(D21:AA21)</f>
        <v>516932.86999999994</v>
      </c>
      <c r="AE21" s="10">
        <f>AC21-AD21</f>
        <v>0</v>
      </c>
      <c r="AF21" s="12"/>
      <c r="AG21" s="3"/>
      <c r="AH21" s="13"/>
      <c r="AI21" s="13"/>
      <c r="AJ21" s="13"/>
      <c r="AK21" s="13"/>
      <c r="AL21" s="13"/>
    </row>
    <row r="22" spans="1:38" s="8" customFormat="1" ht="15">
      <c r="A22" s="34" t="s">
        <v>43</v>
      </c>
      <c r="B22" s="8" t="s">
        <v>24</v>
      </c>
      <c r="C22" s="23"/>
      <c r="D22" s="55">
        <v>0</v>
      </c>
      <c r="E22" s="55">
        <v>2856.47</v>
      </c>
      <c r="F22" s="55">
        <v>17973.93</v>
      </c>
      <c r="G22" s="55">
        <v>8420.48</v>
      </c>
      <c r="H22" s="149">
        <f>1963.07+2267.28</f>
        <v>4230.35</v>
      </c>
      <c r="I22" s="149">
        <v>6691.34</v>
      </c>
      <c r="J22" s="149">
        <v>2818.38</v>
      </c>
      <c r="K22" s="149">
        <v>3563.46</v>
      </c>
      <c r="L22" s="149">
        <v>3202.03</v>
      </c>
      <c r="M22" s="149">
        <v>5204.33</v>
      </c>
      <c r="N22" s="149">
        <v>-4491.51</v>
      </c>
      <c r="O22" s="149">
        <v>1650.29</v>
      </c>
      <c r="P22" s="149">
        <v>4052.66</v>
      </c>
      <c r="Q22" s="149">
        <v>3522.31</v>
      </c>
      <c r="R22" s="149">
        <v>12801.61</v>
      </c>
      <c r="S22" s="149">
        <v>4047.53</v>
      </c>
      <c r="T22" s="149">
        <v>5221.45</v>
      </c>
      <c r="U22" s="149">
        <v>3022.49</v>
      </c>
      <c r="V22" s="149">
        <v>6361.4</v>
      </c>
      <c r="W22" s="149">
        <v>26281.08</v>
      </c>
      <c r="X22" s="149">
        <v>5569.04</v>
      </c>
      <c r="Y22" s="149">
        <v>3610.87</v>
      </c>
      <c r="Z22" s="149">
        <v>144730.83</v>
      </c>
      <c r="AA22" s="149">
        <v>4824.63</v>
      </c>
      <c r="AB22" s="12"/>
      <c r="AC22" s="10">
        <f>SUM(D22:AB22)</f>
        <v>276165.44999999995</v>
      </c>
      <c r="AD22" s="107">
        <f>SUM(D22:AA22)</f>
        <v>276165.44999999995</v>
      </c>
      <c r="AE22" s="10">
        <f>AC22-AD22</f>
        <v>0</v>
      </c>
      <c r="AF22" s="12"/>
      <c r="AG22" s="3"/>
      <c r="AH22" s="13"/>
      <c r="AI22" s="13"/>
      <c r="AJ22" s="13"/>
      <c r="AK22" s="13"/>
      <c r="AL22" s="13"/>
    </row>
    <row r="23" spans="1:38" s="8" customFormat="1" ht="15">
      <c r="A23" s="34" t="s">
        <v>42</v>
      </c>
      <c r="B23" s="8" t="s">
        <v>45</v>
      </c>
      <c r="C23" s="23"/>
      <c r="D23" s="55">
        <f>1074.39+56856.07+312185.33+21372.64+207575.23+1000+25690.12+1986.94+9991.06</f>
        <v>637731.78</v>
      </c>
      <c r="E23" s="55">
        <v>962170.53</v>
      </c>
      <c r="F23" s="55">
        <v>288368.41</v>
      </c>
      <c r="G23" s="55">
        <v>1356324.62</v>
      </c>
      <c r="H23" s="149">
        <f>93.86+8325.92+596812.08+319638.57+53646.22+4631.7</f>
        <v>983148.3499999999</v>
      </c>
      <c r="I23" s="149">
        <v>611605.59</v>
      </c>
      <c r="J23" s="149">
        <v>606152.19</v>
      </c>
      <c r="K23" s="149">
        <v>608891.11</v>
      </c>
      <c r="L23" s="149">
        <v>1313140.42</v>
      </c>
      <c r="M23" s="149">
        <v>880524.94</v>
      </c>
      <c r="N23" s="149">
        <v>763755.05</v>
      </c>
      <c r="O23" s="149">
        <v>846243.8</v>
      </c>
      <c r="P23" s="149">
        <v>491895.87</v>
      </c>
      <c r="Q23" s="149">
        <f>1645261.85+84453.21</f>
        <v>1729715.06</v>
      </c>
      <c r="R23" s="149">
        <v>460380.83</v>
      </c>
      <c r="S23" s="149">
        <v>486941.58</v>
      </c>
      <c r="T23" s="149">
        <v>890790.8</v>
      </c>
      <c r="U23" s="149">
        <v>872660.04</v>
      </c>
      <c r="V23" s="149">
        <v>578346.71</v>
      </c>
      <c r="W23" s="149">
        <v>979770.16</v>
      </c>
      <c r="X23" s="149">
        <v>1147363.23</v>
      </c>
      <c r="Y23" s="149">
        <v>642625.84</v>
      </c>
      <c r="Z23" s="149">
        <v>827084.98</v>
      </c>
      <c r="AA23" s="149">
        <v>1390018.21</v>
      </c>
      <c r="AB23" s="12"/>
      <c r="AC23" s="10">
        <f>SUM(D23:AB23)</f>
        <v>20355650.100000005</v>
      </c>
      <c r="AD23" s="107">
        <f>SUM(D23:AA23)</f>
        <v>20355650.100000005</v>
      </c>
      <c r="AE23" s="10">
        <f>AC23-AD23</f>
        <v>0</v>
      </c>
      <c r="AF23" s="12"/>
      <c r="AG23" s="3"/>
      <c r="AH23" s="13"/>
      <c r="AI23" s="13"/>
      <c r="AJ23" s="13"/>
      <c r="AK23" s="13"/>
      <c r="AL23" s="13"/>
    </row>
    <row r="24" spans="1:38" s="8" customFormat="1" ht="15.75">
      <c r="A24" s="15" t="s">
        <v>8</v>
      </c>
      <c r="C24" s="23"/>
      <c r="D24" s="89">
        <f aca="true" t="shared" si="3" ref="D24:AA24">SUM(D20:D23)</f>
        <v>669531.92</v>
      </c>
      <c r="E24" s="89">
        <f t="shared" si="3"/>
        <v>991862.7000000001</v>
      </c>
      <c r="F24" s="89">
        <f t="shared" si="3"/>
        <v>328347.99</v>
      </c>
      <c r="G24" s="89">
        <f t="shared" si="3"/>
        <v>1396024.6700000002</v>
      </c>
      <c r="H24" s="153">
        <f t="shared" si="3"/>
        <v>1025935.6999999998</v>
      </c>
      <c r="I24" s="153">
        <f t="shared" si="3"/>
        <v>643701.08</v>
      </c>
      <c r="J24" s="153">
        <f t="shared" si="3"/>
        <v>633351.69</v>
      </c>
      <c r="K24" s="153">
        <f t="shared" si="3"/>
        <v>636064.22</v>
      </c>
      <c r="L24" s="153">
        <f>SUM(L20:L23)</f>
        <v>1342584.23</v>
      </c>
      <c r="M24" s="153">
        <f t="shared" si="3"/>
        <v>908007.33</v>
      </c>
      <c r="N24" s="153">
        <f t="shared" si="3"/>
        <v>749868.05</v>
      </c>
      <c r="O24" s="153">
        <f t="shared" si="3"/>
        <v>855845.88</v>
      </c>
      <c r="P24" s="153">
        <f t="shared" si="3"/>
        <v>516478.3</v>
      </c>
      <c r="Q24" s="153">
        <f t="shared" si="3"/>
        <v>1753842.72</v>
      </c>
      <c r="R24" s="153">
        <f t="shared" si="3"/>
        <v>492843.12</v>
      </c>
      <c r="S24" s="153">
        <f t="shared" si="3"/>
        <v>512027.60000000003</v>
      </c>
      <c r="T24" s="153">
        <f t="shared" si="3"/>
        <v>916899.01</v>
      </c>
      <c r="U24" s="153">
        <f t="shared" si="3"/>
        <v>905170.1000000001</v>
      </c>
      <c r="V24" s="153">
        <f t="shared" si="3"/>
        <v>612610.58</v>
      </c>
      <c r="W24" s="153">
        <f t="shared" si="3"/>
        <v>1029761.5800000001</v>
      </c>
      <c r="X24" s="153">
        <f t="shared" si="3"/>
        <v>1171834.9</v>
      </c>
      <c r="Y24" s="153">
        <f t="shared" si="3"/>
        <v>665861.4299999999</v>
      </c>
      <c r="Z24" s="153">
        <f t="shared" si="3"/>
        <v>995298.4099999999</v>
      </c>
      <c r="AA24" s="153">
        <f t="shared" si="3"/>
        <v>1417250.2</v>
      </c>
      <c r="AB24" s="12"/>
      <c r="AC24" s="16">
        <f>SUM(AC20:AC23)</f>
        <v>21171003.410000004</v>
      </c>
      <c r="AD24" s="16">
        <f>SUM(AD20:AD23)</f>
        <v>21171003.410000004</v>
      </c>
      <c r="AE24" s="16">
        <f>SUM(AE20:AE23)</f>
        <v>0</v>
      </c>
      <c r="AF24" s="12"/>
      <c r="AG24" s="3"/>
      <c r="AH24" s="13"/>
      <c r="AI24" s="13"/>
      <c r="AJ24" s="13"/>
      <c r="AK24" s="13"/>
      <c r="AL24" s="13"/>
    </row>
    <row r="25" spans="3:38" s="8" customFormat="1" ht="15">
      <c r="C25" s="23"/>
      <c r="D25" s="53"/>
      <c r="E25" s="53"/>
      <c r="F25" s="53"/>
      <c r="G25" s="53"/>
      <c r="H25" s="147"/>
      <c r="I25" s="147"/>
      <c r="J25" s="147"/>
      <c r="K25" s="147"/>
      <c r="L25" s="147"/>
      <c r="M25" s="147"/>
      <c r="N25" s="147"/>
      <c r="O25" s="147"/>
      <c r="P25" s="147"/>
      <c r="Q25" s="147"/>
      <c r="R25" s="147"/>
      <c r="S25" s="147"/>
      <c r="T25" s="147"/>
      <c r="U25" s="147"/>
      <c r="V25" s="147"/>
      <c r="W25" s="147"/>
      <c r="X25" s="147"/>
      <c r="Y25" s="147"/>
      <c r="Z25" s="147"/>
      <c r="AA25" s="147"/>
      <c r="AB25" s="12"/>
      <c r="AC25" s="17"/>
      <c r="AD25" s="17"/>
      <c r="AE25" s="17"/>
      <c r="AF25" s="12"/>
      <c r="AG25" s="3"/>
      <c r="AH25" s="13"/>
      <c r="AI25" s="13"/>
      <c r="AJ25" s="13"/>
      <c r="AK25" s="13"/>
      <c r="AL25" s="13"/>
    </row>
    <row r="26" spans="1:38" s="8" customFormat="1" ht="15.75">
      <c r="A26" s="15" t="s">
        <v>9</v>
      </c>
      <c r="C26" s="31">
        <f>9878036.72</f>
        <v>9878036.72</v>
      </c>
      <c r="D26" s="56">
        <f aca="true" t="shared" si="4" ref="D26:AA26">C26+D18-D24</f>
        <v>9932679.870000001</v>
      </c>
      <c r="E26" s="56">
        <f t="shared" si="4"/>
        <v>9761150.820000002</v>
      </c>
      <c r="F26" s="56">
        <f t="shared" si="4"/>
        <v>10244291.550000003</v>
      </c>
      <c r="G26" s="56">
        <f t="shared" si="4"/>
        <v>9605091.240000002</v>
      </c>
      <c r="H26" s="150">
        <f t="shared" si="4"/>
        <v>9263383.170000004</v>
      </c>
      <c r="I26" s="150">
        <f t="shared" si="4"/>
        <v>9353207.650000004</v>
      </c>
      <c r="J26" s="150">
        <f t="shared" si="4"/>
        <v>9617101.760000005</v>
      </c>
      <c r="K26" s="150">
        <f t="shared" si="4"/>
        <v>9909415.290000005</v>
      </c>
      <c r="L26" s="150">
        <f t="shared" si="4"/>
        <v>9355505.760000004</v>
      </c>
      <c r="M26" s="150">
        <f t="shared" si="4"/>
        <v>9186528.240000004</v>
      </c>
      <c r="N26" s="150">
        <f t="shared" si="4"/>
        <v>9138687.830000004</v>
      </c>
      <c r="O26" s="150">
        <f t="shared" si="4"/>
        <v>8957109.880000003</v>
      </c>
      <c r="P26" s="150">
        <f t="shared" si="4"/>
        <v>9155298.450000001</v>
      </c>
      <c r="Q26" s="150">
        <f t="shared" si="4"/>
        <v>8152613.000000001</v>
      </c>
      <c r="R26" s="150">
        <f t="shared" si="4"/>
        <v>8391882.140000002</v>
      </c>
      <c r="S26" s="150">
        <f t="shared" si="4"/>
        <v>8657902.440000003</v>
      </c>
      <c r="T26" s="150">
        <f t="shared" si="4"/>
        <v>8171551.680000003</v>
      </c>
      <c r="U26" s="150">
        <f t="shared" si="4"/>
        <v>7963406.3000000045</v>
      </c>
      <c r="V26" s="150">
        <f t="shared" si="4"/>
        <v>8220457.560000004</v>
      </c>
      <c r="W26" s="150">
        <f t="shared" si="4"/>
        <v>8222196.540000005</v>
      </c>
      <c r="X26" s="150">
        <f t="shared" si="4"/>
        <v>7952269.030000005</v>
      </c>
      <c r="Y26" s="150">
        <f t="shared" si="4"/>
        <v>8101739.630000005</v>
      </c>
      <c r="Z26" s="150">
        <f t="shared" si="4"/>
        <v>7856075.820000004</v>
      </c>
      <c r="AA26" s="469">
        <f t="shared" si="4"/>
        <v>7147055.130000004</v>
      </c>
      <c r="AB26" s="12"/>
      <c r="AC26" s="17">
        <f>AC18-AC24</f>
        <v>7117772.549999993</v>
      </c>
      <c r="AD26" s="17">
        <f>AD18-AD24</f>
        <v>7147055.1299999915</v>
      </c>
      <c r="AE26" s="17">
        <f>AE18-AE24</f>
        <v>0</v>
      </c>
      <c r="AF26" s="12"/>
      <c r="AG26" s="3"/>
      <c r="AH26" s="13"/>
      <c r="AI26" s="13"/>
      <c r="AJ26" s="13"/>
      <c r="AK26" s="13"/>
      <c r="AL26" s="13"/>
    </row>
    <row r="27" spans="3:38" s="8" customFormat="1" ht="15">
      <c r="C27" s="32"/>
      <c r="D27" s="45"/>
      <c r="E27" s="45"/>
      <c r="F27" s="45"/>
      <c r="G27" s="45"/>
      <c r="H27" s="45"/>
      <c r="I27" s="45"/>
      <c r="J27" s="45"/>
      <c r="K27" s="45"/>
      <c r="L27" s="45"/>
      <c r="M27" s="45"/>
      <c r="N27" s="45"/>
      <c r="O27" s="45"/>
      <c r="P27" s="45"/>
      <c r="Q27" s="45"/>
      <c r="R27" s="45"/>
      <c r="S27" s="45"/>
      <c r="T27" s="45"/>
      <c r="U27" s="45"/>
      <c r="V27" s="45"/>
      <c r="W27" s="45"/>
      <c r="X27" s="45"/>
      <c r="Y27" s="45"/>
      <c r="Z27" s="45"/>
      <c r="AA27" s="45"/>
      <c r="AB27" s="12"/>
      <c r="AC27" s="17"/>
      <c r="AD27" s="17"/>
      <c r="AE27" s="17"/>
      <c r="AF27" s="12"/>
      <c r="AG27" s="3"/>
      <c r="AH27" s="13"/>
      <c r="AI27" s="13"/>
      <c r="AJ27" s="13"/>
      <c r="AK27" s="13"/>
      <c r="AL27" s="13"/>
    </row>
    <row r="28" spans="4:32" ht="15">
      <c r="D28" s="19"/>
      <c r="E28" s="19"/>
      <c r="F28" s="19"/>
      <c r="G28" s="19"/>
      <c r="H28" s="19"/>
      <c r="I28" s="19"/>
      <c r="J28" s="19"/>
      <c r="K28" s="19"/>
      <c r="L28" s="19"/>
      <c r="M28" s="19"/>
      <c r="N28" s="19"/>
      <c r="O28" s="19"/>
      <c r="P28" s="19"/>
      <c r="Q28" s="19"/>
      <c r="R28" s="19"/>
      <c r="S28" s="19"/>
      <c r="T28" s="19"/>
      <c r="U28" s="19"/>
      <c r="V28" s="19"/>
      <c r="W28" s="19"/>
      <c r="X28" s="19"/>
      <c r="Y28" s="19"/>
      <c r="Z28" s="19"/>
      <c r="AA28" s="19"/>
      <c r="AB28" s="18"/>
      <c r="AC28" s="19"/>
      <c r="AD28" s="18"/>
      <c r="AE28" s="18"/>
      <c r="AF28" s="18"/>
    </row>
    <row r="29" spans="1:27" ht="15">
      <c r="A29" s="8"/>
      <c r="D29" s="21"/>
      <c r="E29" s="21"/>
      <c r="F29" s="21"/>
      <c r="G29" s="21"/>
      <c r="H29" s="21"/>
      <c r="I29" s="21"/>
      <c r="J29" s="21"/>
      <c r="K29" s="21"/>
      <c r="L29" s="21"/>
      <c r="M29" s="21"/>
      <c r="N29" s="21"/>
      <c r="O29" s="21"/>
      <c r="P29" s="21"/>
      <c r="Q29" s="21"/>
      <c r="R29" s="21"/>
      <c r="S29" s="21"/>
      <c r="T29" s="21"/>
      <c r="U29" s="21"/>
      <c r="V29" s="21"/>
      <c r="W29" s="21"/>
      <c r="X29" s="21"/>
      <c r="Y29" s="21"/>
      <c r="Z29" s="21"/>
      <c r="AA29" s="21"/>
    </row>
    <row r="30" spans="1:32" ht="15">
      <c r="A30" s="8"/>
      <c r="D30" s="19"/>
      <c r="E30" s="19"/>
      <c r="F30" s="19"/>
      <c r="G30" s="19"/>
      <c r="H30" s="19"/>
      <c r="I30" s="19"/>
      <c r="J30" s="19"/>
      <c r="K30" s="19"/>
      <c r="L30" s="19"/>
      <c r="M30" s="19"/>
      <c r="N30" s="19"/>
      <c r="O30" s="19"/>
      <c r="P30" s="19"/>
      <c r="Q30" s="19"/>
      <c r="R30" s="19"/>
      <c r="S30" s="19"/>
      <c r="T30" s="19"/>
      <c r="U30" s="19"/>
      <c r="V30" s="19"/>
      <c r="W30" s="19"/>
      <c r="X30" s="19"/>
      <c r="Y30" s="19"/>
      <c r="Z30" s="19"/>
      <c r="AA30" s="19"/>
      <c r="AB30" s="18"/>
      <c r="AC30" s="18"/>
      <c r="AD30" s="18"/>
      <c r="AE30" s="18"/>
      <c r="AF30" s="18"/>
    </row>
    <row r="31" spans="1:32" ht="15">
      <c r="A31" s="8"/>
      <c r="C31" s="25"/>
      <c r="D31" s="46"/>
      <c r="E31" s="46"/>
      <c r="F31" s="46"/>
      <c r="G31" s="46"/>
      <c r="H31" s="46"/>
      <c r="I31" s="46"/>
      <c r="J31" s="46"/>
      <c r="K31" s="46"/>
      <c r="L31" s="46"/>
      <c r="M31" s="46"/>
      <c r="N31" s="46"/>
      <c r="O31" s="46"/>
      <c r="P31" s="46"/>
      <c r="Q31" s="46"/>
      <c r="R31" s="46"/>
      <c r="S31" s="46"/>
      <c r="T31" s="46"/>
      <c r="U31" s="46"/>
      <c r="V31" s="46"/>
      <c r="W31" s="46"/>
      <c r="X31" s="46"/>
      <c r="Y31" s="46"/>
      <c r="Z31" s="46"/>
      <c r="AA31" s="46"/>
      <c r="AB31" s="18"/>
      <c r="AC31" s="18"/>
      <c r="AD31" s="18"/>
      <c r="AE31" s="18"/>
      <c r="AF31" s="18"/>
    </row>
    <row r="32" spans="1:32" ht="15">
      <c r="A32" s="90" t="s">
        <v>46</v>
      </c>
      <c r="B32" s="91"/>
      <c r="C32" s="92"/>
      <c r="D32" s="57">
        <v>0</v>
      </c>
      <c r="E32" s="57">
        <v>0</v>
      </c>
      <c r="F32" s="57">
        <v>0</v>
      </c>
      <c r="G32" s="57">
        <v>0</v>
      </c>
      <c r="H32" s="57">
        <v>0</v>
      </c>
      <c r="I32" s="57">
        <v>0</v>
      </c>
      <c r="J32" s="57">
        <v>0</v>
      </c>
      <c r="K32" s="57">
        <v>0</v>
      </c>
      <c r="L32" s="57">
        <v>0</v>
      </c>
      <c r="M32" s="57">
        <v>0</v>
      </c>
      <c r="N32" s="57">
        <v>0</v>
      </c>
      <c r="O32" s="57">
        <v>0</v>
      </c>
      <c r="P32" s="57">
        <v>0</v>
      </c>
      <c r="Q32" s="57">
        <v>0</v>
      </c>
      <c r="R32" s="57">
        <v>0</v>
      </c>
      <c r="S32" s="57">
        <v>0</v>
      </c>
      <c r="T32" s="57">
        <v>0</v>
      </c>
      <c r="U32" s="57">
        <v>0</v>
      </c>
      <c r="V32" s="57">
        <v>0</v>
      </c>
      <c r="W32" s="57">
        <v>0</v>
      </c>
      <c r="X32" s="57">
        <v>0</v>
      </c>
      <c r="Y32" s="57">
        <v>0</v>
      </c>
      <c r="Z32" s="57">
        <v>0</v>
      </c>
      <c r="AA32" s="57">
        <v>0</v>
      </c>
      <c r="AB32" s="18"/>
      <c r="AC32" s="18"/>
      <c r="AD32" s="18"/>
      <c r="AE32" s="18"/>
      <c r="AF32" s="18"/>
    </row>
    <row r="33" spans="1:32" ht="15">
      <c r="A33" s="90" t="s">
        <v>47</v>
      </c>
      <c r="B33" s="91"/>
      <c r="C33" s="92">
        <v>8123.61</v>
      </c>
      <c r="D33" s="57">
        <v>8648.88</v>
      </c>
      <c r="E33" s="57">
        <v>8703.76</v>
      </c>
      <c r="F33" s="57">
        <v>8445.9</v>
      </c>
      <c r="G33" s="57">
        <v>8706.91</v>
      </c>
      <c r="H33" s="57">
        <v>8249.81</v>
      </c>
      <c r="I33" s="57">
        <v>9250.62</v>
      </c>
      <c r="J33" s="57">
        <v>10253.43</v>
      </c>
      <c r="K33" s="57">
        <v>10294.55</v>
      </c>
      <c r="L33" s="57">
        <v>12031.39</v>
      </c>
      <c r="M33" s="57">
        <v>11827.5</v>
      </c>
      <c r="N33" s="57">
        <v>12700.65</v>
      </c>
      <c r="O33" s="57">
        <v>13994.36</v>
      </c>
      <c r="P33" s="57">
        <v>14481.81</v>
      </c>
      <c r="Q33" s="57">
        <v>14768.53</v>
      </c>
      <c r="R33" s="57">
        <v>14297.77</v>
      </c>
      <c r="S33" s="57">
        <v>16637.27</v>
      </c>
      <c r="T33" s="57">
        <v>15526.46</v>
      </c>
      <c r="U33" s="57">
        <v>15856.67</v>
      </c>
      <c r="V33" s="57">
        <v>18245.74</v>
      </c>
      <c r="W33" s="57">
        <v>16605.19</v>
      </c>
      <c r="X33" s="57">
        <v>-11.61</v>
      </c>
      <c r="Y33" s="57">
        <v>20300.09</v>
      </c>
      <c r="Z33" s="57">
        <v>20708.42</v>
      </c>
      <c r="AA33" s="95">
        <v>19686.33</v>
      </c>
      <c r="AB33" s="18"/>
      <c r="AC33" s="18"/>
      <c r="AD33" s="18"/>
      <c r="AE33" s="18"/>
      <c r="AF33" s="18"/>
    </row>
    <row r="34" spans="1:32" ht="15">
      <c r="A34" s="90" t="s">
        <v>48</v>
      </c>
      <c r="B34" s="91"/>
      <c r="C34" s="92">
        <v>575208.18</v>
      </c>
      <c r="D34" s="57">
        <v>129883.9</v>
      </c>
      <c r="E34" s="57">
        <v>-38409.71</v>
      </c>
      <c r="F34" s="57">
        <v>158835.08</v>
      </c>
      <c r="G34" s="57">
        <v>293036.31</v>
      </c>
      <c r="H34" s="57">
        <v>107257.17</v>
      </c>
      <c r="I34" s="57">
        <v>64817.72</v>
      </c>
      <c r="J34" s="57">
        <v>-40051.95</v>
      </c>
      <c r="K34" s="57">
        <v>-66395.81</v>
      </c>
      <c r="L34" s="57">
        <v>120962.82</v>
      </c>
      <c r="M34" s="57">
        <v>467970.13</v>
      </c>
      <c r="N34" s="151">
        <v>532033.88</v>
      </c>
      <c r="O34" s="151">
        <v>634622.15</v>
      </c>
      <c r="P34" s="57">
        <v>516590.56</v>
      </c>
      <c r="Q34" s="57">
        <v>-77251.68</v>
      </c>
      <c r="R34" s="57">
        <v>236011.32</v>
      </c>
      <c r="S34" s="57">
        <v>250594.99</v>
      </c>
      <c r="T34" s="57">
        <v>-349250.82</v>
      </c>
      <c r="U34" s="57">
        <v>-584213.78</v>
      </c>
      <c r="V34" s="57">
        <v>-107292.5</v>
      </c>
      <c r="W34" s="57">
        <v>-94667.09</v>
      </c>
      <c r="X34" s="57">
        <v>17422.34</v>
      </c>
      <c r="Y34" s="57">
        <v>77065.82</v>
      </c>
      <c r="Z34" s="57">
        <v>-8848.26</v>
      </c>
      <c r="AA34" s="95">
        <v>180530.97</v>
      </c>
      <c r="AB34" s="18"/>
      <c r="AC34" s="18"/>
      <c r="AD34" s="18"/>
      <c r="AE34" s="18"/>
      <c r="AF34" s="18"/>
    </row>
    <row r="35" spans="1:32" ht="15">
      <c r="A35" s="90" t="s">
        <v>49</v>
      </c>
      <c r="B35" s="91"/>
      <c r="C35" s="92">
        <v>187723.08</v>
      </c>
      <c r="D35" s="57">
        <v>116231.05</v>
      </c>
      <c r="E35" s="57">
        <v>326664</v>
      </c>
      <c r="F35" s="57">
        <v>165860.43</v>
      </c>
      <c r="G35" s="57">
        <v>64069.41</v>
      </c>
      <c r="H35" s="57">
        <v>274227.08</v>
      </c>
      <c r="I35" s="57">
        <v>352259.54</v>
      </c>
      <c r="J35" s="57">
        <v>495464.88</v>
      </c>
      <c r="K35" s="57">
        <v>562835.25</v>
      </c>
      <c r="L35" s="57">
        <v>409240.48</v>
      </c>
      <c r="M35" s="57">
        <v>99487.54</v>
      </c>
      <c r="N35" s="57">
        <v>91817.62</v>
      </c>
      <c r="O35" s="151">
        <v>31228.79</v>
      </c>
      <c r="P35" s="57">
        <v>186651.39</v>
      </c>
      <c r="Q35" s="57">
        <v>364008.32</v>
      </c>
      <c r="R35" s="57">
        <v>74727.29</v>
      </c>
      <c r="S35" s="57">
        <v>95406.5</v>
      </c>
      <c r="T35" s="57">
        <v>466553.48</v>
      </c>
      <c r="U35" s="57">
        <v>675700.79</v>
      </c>
      <c r="V35" s="57">
        <v>220991.19</v>
      </c>
      <c r="W35" s="57">
        <v>238170.49</v>
      </c>
      <c r="X35" s="57">
        <v>192514.93</v>
      </c>
      <c r="Y35" s="57">
        <v>158011.5</v>
      </c>
      <c r="Z35" s="57">
        <v>142118.67</v>
      </c>
      <c r="AA35" s="95">
        <v>-10618.45</v>
      </c>
      <c r="AB35" s="18"/>
      <c r="AC35" s="18"/>
      <c r="AD35" s="18"/>
      <c r="AE35" s="18"/>
      <c r="AF35" s="18"/>
    </row>
    <row r="36" spans="1:32" ht="15">
      <c r="A36" s="90" t="s">
        <v>50</v>
      </c>
      <c r="B36" s="91"/>
      <c r="C36" s="92">
        <v>0</v>
      </c>
      <c r="D36" s="57">
        <v>0</v>
      </c>
      <c r="E36" s="57">
        <v>0</v>
      </c>
      <c r="F36" s="57">
        <v>0</v>
      </c>
      <c r="G36" s="57">
        <v>0</v>
      </c>
      <c r="H36" s="57">
        <v>0</v>
      </c>
      <c r="I36" s="57">
        <v>0</v>
      </c>
      <c r="J36" s="57">
        <v>0</v>
      </c>
      <c r="K36" s="57">
        <v>0</v>
      </c>
      <c r="L36" s="57">
        <v>0</v>
      </c>
      <c r="M36" s="57">
        <v>0</v>
      </c>
      <c r="N36" s="57">
        <v>0</v>
      </c>
      <c r="O36" s="57">
        <v>0</v>
      </c>
      <c r="P36" s="57">
        <v>0</v>
      </c>
      <c r="Q36" s="57">
        <v>0</v>
      </c>
      <c r="R36" s="57">
        <v>-60.41</v>
      </c>
      <c r="S36" s="57">
        <v>0</v>
      </c>
      <c r="T36" s="57">
        <v>0</v>
      </c>
      <c r="U36" s="57">
        <v>0</v>
      </c>
      <c r="V36" s="57">
        <v>-187.69</v>
      </c>
      <c r="W36" s="57">
        <v>43.99</v>
      </c>
      <c r="X36" s="57">
        <v>-608.17</v>
      </c>
      <c r="Y36" s="57">
        <v>0</v>
      </c>
      <c r="Z36" s="57">
        <v>0</v>
      </c>
      <c r="AA36" s="95">
        <v>0</v>
      </c>
      <c r="AB36" s="18"/>
      <c r="AC36" s="18"/>
      <c r="AD36" s="18"/>
      <c r="AE36" s="18"/>
      <c r="AF36" s="18"/>
    </row>
    <row r="37" spans="1:32" ht="15">
      <c r="A37" s="8" t="s">
        <v>51</v>
      </c>
      <c r="C37" s="25"/>
      <c r="D37" s="46">
        <v>0</v>
      </c>
      <c r="E37" s="46">
        <v>0</v>
      </c>
      <c r="F37" s="46">
        <v>0</v>
      </c>
      <c r="G37" s="46">
        <v>0</v>
      </c>
      <c r="H37" s="46">
        <v>0</v>
      </c>
      <c r="I37" s="46">
        <v>0</v>
      </c>
      <c r="J37" s="46">
        <v>0</v>
      </c>
      <c r="K37" s="46">
        <v>0</v>
      </c>
      <c r="L37" s="46">
        <v>0</v>
      </c>
      <c r="M37" s="46">
        <v>0</v>
      </c>
      <c r="N37" s="46">
        <v>0</v>
      </c>
      <c r="O37" s="46">
        <v>0</v>
      </c>
      <c r="P37" s="46">
        <v>0</v>
      </c>
      <c r="Q37" s="46">
        <v>0</v>
      </c>
      <c r="R37" s="46">
        <v>0</v>
      </c>
      <c r="S37" s="46">
        <v>0</v>
      </c>
      <c r="T37" s="46">
        <v>0</v>
      </c>
      <c r="U37" s="46">
        <v>0</v>
      </c>
      <c r="V37" s="46">
        <v>0</v>
      </c>
      <c r="W37" s="46">
        <v>0</v>
      </c>
      <c r="X37" s="46">
        <v>0</v>
      </c>
      <c r="Y37" s="46">
        <v>0</v>
      </c>
      <c r="Z37" s="46">
        <v>0</v>
      </c>
      <c r="AA37" s="96">
        <v>0</v>
      </c>
      <c r="AB37" s="18"/>
      <c r="AC37" s="18"/>
      <c r="AD37" s="18"/>
      <c r="AE37" s="18"/>
      <c r="AF37" s="18"/>
    </row>
    <row r="38" spans="1:32" ht="15">
      <c r="A38" s="8" t="s">
        <v>52</v>
      </c>
      <c r="C38" s="25"/>
      <c r="D38" s="46">
        <v>0</v>
      </c>
      <c r="E38" s="46">
        <v>0</v>
      </c>
      <c r="F38" s="46">
        <v>0</v>
      </c>
      <c r="G38" s="46">
        <v>0</v>
      </c>
      <c r="H38" s="46">
        <v>0</v>
      </c>
      <c r="I38" s="46">
        <v>0</v>
      </c>
      <c r="J38" s="46">
        <v>0</v>
      </c>
      <c r="K38" s="46">
        <v>0</v>
      </c>
      <c r="L38" s="46">
        <v>0</v>
      </c>
      <c r="M38" s="46">
        <v>0</v>
      </c>
      <c r="N38" s="46">
        <v>0</v>
      </c>
      <c r="O38" s="46">
        <v>0</v>
      </c>
      <c r="P38" s="46">
        <v>0</v>
      </c>
      <c r="Q38" s="46">
        <v>0</v>
      </c>
      <c r="R38" s="46">
        <v>0</v>
      </c>
      <c r="S38" s="46">
        <v>0</v>
      </c>
      <c r="T38" s="46">
        <v>0</v>
      </c>
      <c r="U38" s="46">
        <v>0</v>
      </c>
      <c r="V38" s="46">
        <v>0</v>
      </c>
      <c r="W38" s="46">
        <v>0</v>
      </c>
      <c r="X38" s="46">
        <v>0</v>
      </c>
      <c r="Y38" s="46">
        <v>0</v>
      </c>
      <c r="Z38" s="46">
        <v>0</v>
      </c>
      <c r="AA38" s="96">
        <v>0</v>
      </c>
      <c r="AB38" s="18"/>
      <c r="AC38" s="18"/>
      <c r="AD38" s="18"/>
      <c r="AE38" s="18"/>
      <c r="AF38" s="18"/>
    </row>
    <row r="39" spans="1:32" ht="15">
      <c r="A39" s="8" t="s">
        <v>53</v>
      </c>
      <c r="C39" s="25">
        <v>772873.89</v>
      </c>
      <c r="D39" s="46">
        <v>298627.37</v>
      </c>
      <c r="E39" s="46">
        <v>327878.55</v>
      </c>
      <c r="F39" s="46">
        <v>344940.99</v>
      </c>
      <c r="G39" s="46">
        <v>365466.78</v>
      </c>
      <c r="H39" s="46">
        <v>378125.34</v>
      </c>
      <c r="I39" s="46">
        <v>400592.85</v>
      </c>
      <c r="J39" s="46">
        <v>437565.31</v>
      </c>
      <c r="K39" s="46">
        <v>470256.53</v>
      </c>
      <c r="L39" s="46">
        <v>484855.41</v>
      </c>
      <c r="M39" s="46">
        <v>517372.43</v>
      </c>
      <c r="N39" s="142">
        <v>553184.25</v>
      </c>
      <c r="O39" s="142">
        <v>574433.59</v>
      </c>
      <c r="P39" s="46">
        <v>602340</v>
      </c>
      <c r="Q39" s="46">
        <v>627027.73</v>
      </c>
      <c r="R39" s="46">
        <v>652781.44</v>
      </c>
      <c r="S39" s="46">
        <v>683994.06</v>
      </c>
      <c r="T39" s="46">
        <v>708385.01</v>
      </c>
      <c r="U39" s="46">
        <v>740692.6</v>
      </c>
      <c r="V39" s="46">
        <v>780652.04</v>
      </c>
      <c r="W39" s="46">
        <v>819464.02</v>
      </c>
      <c r="X39" s="46">
        <v>858293.27</v>
      </c>
      <c r="Y39" s="46">
        <v>894309.74</v>
      </c>
      <c r="Z39" s="46">
        <v>881796.85</v>
      </c>
      <c r="AA39" s="96">
        <v>861671.16</v>
      </c>
      <c r="AB39" s="18"/>
      <c r="AC39" s="18"/>
      <c r="AD39" s="18"/>
      <c r="AE39" s="18"/>
      <c r="AF39" s="18"/>
    </row>
    <row r="40" spans="1:32" ht="15">
      <c r="A40" s="8" t="s">
        <v>54</v>
      </c>
      <c r="C40" s="25"/>
      <c r="D40" s="46">
        <v>0</v>
      </c>
      <c r="E40" s="46">
        <v>0</v>
      </c>
      <c r="F40" s="46">
        <v>0</v>
      </c>
      <c r="G40" s="46"/>
      <c r="H40" s="46">
        <v>0</v>
      </c>
      <c r="I40" s="46">
        <v>0</v>
      </c>
      <c r="J40" s="46">
        <v>0</v>
      </c>
      <c r="K40" s="46">
        <v>0</v>
      </c>
      <c r="L40" s="46">
        <v>0</v>
      </c>
      <c r="M40" s="46">
        <v>0</v>
      </c>
      <c r="N40" s="46">
        <v>0</v>
      </c>
      <c r="O40" s="46">
        <v>0</v>
      </c>
      <c r="P40" s="46">
        <v>0</v>
      </c>
      <c r="Q40" s="46">
        <v>0</v>
      </c>
      <c r="R40" s="46">
        <v>0</v>
      </c>
      <c r="S40" s="46">
        <v>0</v>
      </c>
      <c r="T40" s="46">
        <v>0</v>
      </c>
      <c r="U40" s="46">
        <v>0</v>
      </c>
      <c r="V40" s="46">
        <v>0</v>
      </c>
      <c r="W40" s="46">
        <v>0</v>
      </c>
      <c r="X40" s="46">
        <v>0</v>
      </c>
      <c r="Y40" s="46">
        <v>0</v>
      </c>
      <c r="Z40" s="46">
        <v>43249.53</v>
      </c>
      <c r="AA40" s="96">
        <v>85469.75</v>
      </c>
      <c r="AB40" s="18"/>
      <c r="AC40" s="18"/>
      <c r="AD40" s="18"/>
      <c r="AE40" s="18"/>
      <c r="AF40" s="18"/>
    </row>
    <row r="41" spans="1:32" ht="15">
      <c r="A41" s="8" t="s">
        <v>55</v>
      </c>
      <c r="C41" s="25"/>
      <c r="D41" s="46">
        <v>0</v>
      </c>
      <c r="E41" s="46">
        <v>0</v>
      </c>
      <c r="F41" s="46">
        <v>0</v>
      </c>
      <c r="G41" s="46">
        <v>0</v>
      </c>
      <c r="H41" s="46">
        <v>0</v>
      </c>
      <c r="I41" s="46">
        <v>0</v>
      </c>
      <c r="J41" s="46">
        <v>0</v>
      </c>
      <c r="K41" s="46">
        <v>0</v>
      </c>
      <c r="L41" s="46">
        <v>0</v>
      </c>
      <c r="M41" s="46">
        <v>0</v>
      </c>
      <c r="N41" s="46">
        <v>0</v>
      </c>
      <c r="O41" s="46">
        <v>0</v>
      </c>
      <c r="P41" s="46">
        <v>0</v>
      </c>
      <c r="Q41" s="46">
        <v>0</v>
      </c>
      <c r="R41" s="46">
        <v>-181.22</v>
      </c>
      <c r="S41" s="46">
        <v>0</v>
      </c>
      <c r="T41" s="46">
        <v>0</v>
      </c>
      <c r="U41" s="46">
        <v>0</v>
      </c>
      <c r="V41" s="46">
        <v>-313.51</v>
      </c>
      <c r="W41" s="46">
        <v>383.73</v>
      </c>
      <c r="X41" s="46">
        <v>-99.32</v>
      </c>
      <c r="Y41" s="46">
        <v>0</v>
      </c>
      <c r="Z41" s="46">
        <v>0</v>
      </c>
      <c r="AA41" s="96">
        <v>0</v>
      </c>
      <c r="AB41" s="18"/>
      <c r="AC41" s="18"/>
      <c r="AD41" s="18"/>
      <c r="AE41" s="18"/>
      <c r="AF41" s="18"/>
    </row>
    <row r="42" spans="1:32" ht="15">
      <c r="A42" s="90" t="s">
        <v>56</v>
      </c>
      <c r="B42" s="91"/>
      <c r="C42" s="92"/>
      <c r="D42" s="57">
        <v>0</v>
      </c>
      <c r="E42" s="57">
        <v>0</v>
      </c>
      <c r="F42" s="57">
        <v>0</v>
      </c>
      <c r="G42" s="57">
        <v>0</v>
      </c>
      <c r="H42" s="57">
        <v>0</v>
      </c>
      <c r="I42" s="57">
        <v>0</v>
      </c>
      <c r="J42" s="57">
        <v>0</v>
      </c>
      <c r="K42" s="57">
        <v>0</v>
      </c>
      <c r="L42" s="57">
        <v>0</v>
      </c>
      <c r="M42" s="57">
        <v>0</v>
      </c>
      <c r="N42" s="57">
        <v>0</v>
      </c>
      <c r="O42" s="57">
        <v>0</v>
      </c>
      <c r="P42" s="57">
        <v>0</v>
      </c>
      <c r="Q42" s="57">
        <v>0</v>
      </c>
      <c r="R42" s="57">
        <v>0</v>
      </c>
      <c r="S42" s="57">
        <v>0</v>
      </c>
      <c r="T42" s="57">
        <v>0</v>
      </c>
      <c r="U42" s="57">
        <v>0</v>
      </c>
      <c r="V42" s="57">
        <v>0</v>
      </c>
      <c r="W42" s="57">
        <v>0</v>
      </c>
      <c r="X42" s="57">
        <v>0</v>
      </c>
      <c r="Y42" s="57">
        <v>0</v>
      </c>
      <c r="Z42" s="57">
        <v>0</v>
      </c>
      <c r="AA42" s="95">
        <v>0</v>
      </c>
      <c r="AB42" s="18"/>
      <c r="AC42" s="18"/>
      <c r="AD42" s="18"/>
      <c r="AE42" s="18"/>
      <c r="AF42" s="18"/>
    </row>
    <row r="43" spans="1:32" ht="15">
      <c r="A43" s="90" t="s">
        <v>57</v>
      </c>
      <c r="B43" s="91"/>
      <c r="C43" s="92"/>
      <c r="D43" s="57">
        <v>0</v>
      </c>
      <c r="E43" s="57">
        <v>0</v>
      </c>
      <c r="F43" s="57">
        <v>0</v>
      </c>
      <c r="G43" s="57">
        <v>0</v>
      </c>
      <c r="H43" s="57">
        <v>0</v>
      </c>
      <c r="I43" s="57">
        <v>0</v>
      </c>
      <c r="J43" s="57">
        <v>0</v>
      </c>
      <c r="K43" s="57">
        <v>0</v>
      </c>
      <c r="L43" s="57">
        <v>0</v>
      </c>
      <c r="M43" s="57">
        <v>0</v>
      </c>
      <c r="N43" s="57">
        <v>0</v>
      </c>
      <c r="O43" s="57">
        <v>0</v>
      </c>
      <c r="P43" s="57">
        <v>0</v>
      </c>
      <c r="Q43" s="57">
        <v>0</v>
      </c>
      <c r="R43" s="57">
        <v>0</v>
      </c>
      <c r="S43" s="57">
        <v>0</v>
      </c>
      <c r="T43" s="57">
        <v>0</v>
      </c>
      <c r="U43" s="57">
        <v>0</v>
      </c>
      <c r="V43" s="57">
        <v>0</v>
      </c>
      <c r="W43" s="57">
        <v>0</v>
      </c>
      <c r="X43" s="57">
        <v>0</v>
      </c>
      <c r="Y43" s="57">
        <v>0</v>
      </c>
      <c r="Z43" s="57">
        <v>0</v>
      </c>
      <c r="AA43" s="95">
        <v>0</v>
      </c>
      <c r="AB43" s="18"/>
      <c r="AC43" s="18"/>
      <c r="AD43" s="18"/>
      <c r="AE43" s="18"/>
      <c r="AF43" s="18"/>
    </row>
    <row r="44" spans="1:32" ht="15">
      <c r="A44" s="90" t="s">
        <v>58</v>
      </c>
      <c r="B44" s="91"/>
      <c r="C44" s="92">
        <v>4838533.23</v>
      </c>
      <c r="D44" s="57">
        <v>4898591.08</v>
      </c>
      <c r="E44" s="57">
        <v>4880481.74</v>
      </c>
      <c r="F44" s="57">
        <v>5119180.29</v>
      </c>
      <c r="G44" s="57">
        <v>4506220.7</v>
      </c>
      <c r="H44" s="57">
        <v>4258448.23</v>
      </c>
      <c r="I44" s="57">
        <v>4257876</v>
      </c>
      <c r="J44" s="57">
        <v>3869103.83</v>
      </c>
      <c r="K44" s="57">
        <v>4346681.48</v>
      </c>
      <c r="L44" s="57">
        <v>3899214.24</v>
      </c>
      <c r="M44" s="57">
        <v>3632872.01</v>
      </c>
      <c r="N44" s="151">
        <v>3586591.61</v>
      </c>
      <c r="O44" s="151">
        <v>3436820.46</v>
      </c>
      <c r="P44" s="57">
        <v>3520546.81</v>
      </c>
      <c r="Q44" s="57">
        <v>3011294.43</v>
      </c>
      <c r="R44" s="57">
        <v>3109421.35</v>
      </c>
      <c r="S44" s="57">
        <v>3251419.51</v>
      </c>
      <c r="T44" s="57">
        <v>3072740.2</v>
      </c>
      <c r="U44" s="57">
        <v>2967142.25</v>
      </c>
      <c r="V44" s="57">
        <v>3035478.67</v>
      </c>
      <c r="W44" s="57">
        <v>2974780.55</v>
      </c>
      <c r="X44" s="57">
        <v>2804396.81</v>
      </c>
      <c r="Y44" s="57">
        <v>2866698.84</v>
      </c>
      <c r="Z44" s="57">
        <v>2781652.92</v>
      </c>
      <c r="AA44" s="95">
        <v>2271665.38</v>
      </c>
      <c r="AB44" s="18"/>
      <c r="AC44" s="18"/>
      <c r="AD44" s="18"/>
      <c r="AE44" s="18"/>
      <c r="AF44" s="18"/>
    </row>
    <row r="45" spans="1:32" ht="15">
      <c r="A45" s="90" t="s">
        <v>59</v>
      </c>
      <c r="B45" s="91"/>
      <c r="C45" s="92"/>
      <c r="D45" s="57">
        <v>0</v>
      </c>
      <c r="E45" s="57">
        <v>0</v>
      </c>
      <c r="F45" s="57">
        <v>0</v>
      </c>
      <c r="G45" s="57">
        <v>0</v>
      </c>
      <c r="H45" s="57">
        <v>0</v>
      </c>
      <c r="I45" s="57">
        <v>0</v>
      </c>
      <c r="J45" s="57">
        <v>0</v>
      </c>
      <c r="K45" s="57">
        <v>0</v>
      </c>
      <c r="L45" s="57">
        <v>0</v>
      </c>
      <c r="M45" s="57">
        <v>0</v>
      </c>
      <c r="N45" s="57">
        <v>0</v>
      </c>
      <c r="O45" s="57">
        <v>0</v>
      </c>
      <c r="P45" s="57">
        <v>0</v>
      </c>
      <c r="Q45" s="57">
        <v>0</v>
      </c>
      <c r="R45" s="57">
        <v>0</v>
      </c>
      <c r="S45" s="57">
        <v>0</v>
      </c>
      <c r="T45" s="57">
        <v>0</v>
      </c>
      <c r="U45" s="57">
        <v>0</v>
      </c>
      <c r="V45" s="57">
        <v>0</v>
      </c>
      <c r="W45" s="57">
        <v>0</v>
      </c>
      <c r="X45" s="57">
        <v>0</v>
      </c>
      <c r="Y45" s="57">
        <v>0</v>
      </c>
      <c r="Z45" s="57">
        <v>0</v>
      </c>
      <c r="AA45" s="95">
        <v>0</v>
      </c>
      <c r="AB45" s="18"/>
      <c r="AC45" s="18"/>
      <c r="AD45" s="18"/>
      <c r="AE45" s="18"/>
      <c r="AF45" s="18"/>
    </row>
    <row r="46" spans="1:32" ht="15">
      <c r="A46" s="90" t="s">
        <v>60</v>
      </c>
      <c r="B46" s="91"/>
      <c r="C46" s="92"/>
      <c r="D46" s="57">
        <v>0</v>
      </c>
      <c r="E46" s="57">
        <v>0</v>
      </c>
      <c r="F46" s="57">
        <v>0</v>
      </c>
      <c r="G46" s="57">
        <v>0</v>
      </c>
      <c r="H46" s="57">
        <v>0</v>
      </c>
      <c r="I46" s="57">
        <v>0</v>
      </c>
      <c r="J46" s="57">
        <v>0</v>
      </c>
      <c r="K46" s="57">
        <v>0</v>
      </c>
      <c r="L46" s="57">
        <v>0</v>
      </c>
      <c r="M46" s="57">
        <v>0</v>
      </c>
      <c r="N46" s="57">
        <v>0</v>
      </c>
      <c r="O46" s="57">
        <v>0</v>
      </c>
      <c r="P46" s="57">
        <v>0</v>
      </c>
      <c r="Q46" s="57">
        <v>0</v>
      </c>
      <c r="R46" s="57">
        <v>0</v>
      </c>
      <c r="S46" s="57">
        <v>0</v>
      </c>
      <c r="T46" s="57">
        <v>0</v>
      </c>
      <c r="U46" s="57">
        <v>0</v>
      </c>
      <c r="V46" s="57">
        <v>0</v>
      </c>
      <c r="W46" s="57">
        <v>0</v>
      </c>
      <c r="X46" s="57">
        <v>0</v>
      </c>
      <c r="Y46" s="57">
        <v>0</v>
      </c>
      <c r="Z46" s="57">
        <v>0</v>
      </c>
      <c r="AA46" s="95">
        <v>0</v>
      </c>
      <c r="AB46" s="18"/>
      <c r="AC46" s="18"/>
      <c r="AD46" s="18"/>
      <c r="AE46" s="18"/>
      <c r="AF46" s="18"/>
    </row>
    <row r="47" spans="1:32" ht="15">
      <c r="A47" s="8" t="s">
        <v>61</v>
      </c>
      <c r="C47" s="25"/>
      <c r="D47" s="46">
        <v>0</v>
      </c>
      <c r="E47" s="46">
        <v>0</v>
      </c>
      <c r="F47" s="46">
        <v>0</v>
      </c>
      <c r="G47" s="46">
        <v>0</v>
      </c>
      <c r="H47" s="46">
        <v>0</v>
      </c>
      <c r="I47" s="46">
        <v>0</v>
      </c>
      <c r="J47" s="46">
        <v>0</v>
      </c>
      <c r="K47" s="46">
        <v>0</v>
      </c>
      <c r="L47" s="46">
        <v>0</v>
      </c>
      <c r="M47" s="46">
        <v>0</v>
      </c>
      <c r="N47" s="46">
        <v>0</v>
      </c>
      <c r="O47" s="46">
        <v>0</v>
      </c>
      <c r="P47" s="46">
        <v>0</v>
      </c>
      <c r="Q47" s="46">
        <v>0</v>
      </c>
      <c r="R47" s="46">
        <v>0</v>
      </c>
      <c r="S47" s="46">
        <v>0</v>
      </c>
      <c r="T47" s="46">
        <v>0</v>
      </c>
      <c r="U47" s="46">
        <v>0</v>
      </c>
      <c r="V47" s="46">
        <v>0</v>
      </c>
      <c r="W47" s="46">
        <v>0</v>
      </c>
      <c r="X47" s="46">
        <v>0</v>
      </c>
      <c r="Y47" s="46">
        <v>0</v>
      </c>
      <c r="Z47" s="46">
        <v>0</v>
      </c>
      <c r="AA47" s="96">
        <v>0</v>
      </c>
      <c r="AB47" s="18"/>
      <c r="AC47" s="18"/>
      <c r="AD47" s="18"/>
      <c r="AE47" s="18"/>
      <c r="AF47" s="18"/>
    </row>
    <row r="48" spans="1:32" ht="15">
      <c r="A48" s="8" t="s">
        <v>62</v>
      </c>
      <c r="C48" s="25"/>
      <c r="D48" s="46">
        <v>0</v>
      </c>
      <c r="E48" s="46">
        <v>0</v>
      </c>
      <c r="F48" s="46">
        <v>0</v>
      </c>
      <c r="G48" s="46">
        <v>0</v>
      </c>
      <c r="H48" s="46">
        <v>0</v>
      </c>
      <c r="I48" s="46">
        <v>0</v>
      </c>
      <c r="J48" s="46">
        <v>0</v>
      </c>
      <c r="K48" s="46">
        <v>0</v>
      </c>
      <c r="L48" s="46">
        <v>0</v>
      </c>
      <c r="M48" s="46">
        <v>0</v>
      </c>
      <c r="N48" s="46">
        <v>0</v>
      </c>
      <c r="O48" s="46">
        <v>0</v>
      </c>
      <c r="P48" s="46">
        <v>0</v>
      </c>
      <c r="Q48" s="46">
        <v>0</v>
      </c>
      <c r="R48" s="46">
        <v>0</v>
      </c>
      <c r="S48" s="46">
        <v>0</v>
      </c>
      <c r="T48" s="46">
        <v>0</v>
      </c>
      <c r="U48" s="46">
        <v>0</v>
      </c>
      <c r="V48" s="46">
        <v>0</v>
      </c>
      <c r="W48" s="46">
        <v>0</v>
      </c>
      <c r="X48" s="46">
        <v>0</v>
      </c>
      <c r="Y48" s="46">
        <v>0</v>
      </c>
      <c r="Z48" s="46">
        <v>0</v>
      </c>
      <c r="AA48" s="96">
        <v>0</v>
      </c>
      <c r="AB48" s="18"/>
      <c r="AC48" s="18"/>
      <c r="AD48" s="18"/>
      <c r="AE48" s="18"/>
      <c r="AF48" s="18"/>
    </row>
    <row r="49" spans="1:32" ht="15">
      <c r="A49" s="8" t="s">
        <v>63</v>
      </c>
      <c r="C49" s="25">
        <v>3114297.55</v>
      </c>
      <c r="D49" s="46">
        <v>3075707.53</v>
      </c>
      <c r="E49" s="46">
        <v>2883775.37</v>
      </c>
      <c r="F49" s="46">
        <v>3091013.75</v>
      </c>
      <c r="G49" s="46">
        <v>3084990.28</v>
      </c>
      <c r="H49" s="46">
        <v>3012752.61</v>
      </c>
      <c r="I49" s="46">
        <v>3079652.03</v>
      </c>
      <c r="J49" s="46">
        <v>3705833.7</v>
      </c>
      <c r="K49" s="46">
        <v>3477888.32</v>
      </c>
      <c r="L49" s="46">
        <v>3426776.62</v>
      </c>
      <c r="M49" s="46">
        <v>3533939.96</v>
      </c>
      <c r="N49" s="142">
        <v>3507492.11</v>
      </c>
      <c r="O49" s="142">
        <v>3504780.24</v>
      </c>
      <c r="P49" s="46">
        <v>3649663.47</v>
      </c>
      <c r="Q49" s="46">
        <v>3204014.11</v>
      </c>
      <c r="R49" s="46">
        <v>3342750.47</v>
      </c>
      <c r="S49" s="46">
        <v>3444763.13</v>
      </c>
      <c r="T49" s="46">
        <v>3389237.51</v>
      </c>
      <c r="U49" s="46">
        <v>3330785.52</v>
      </c>
      <c r="V49" s="46">
        <v>3474523</v>
      </c>
      <c r="W49" s="46">
        <v>3524887.5</v>
      </c>
      <c r="X49" s="46">
        <v>3441929.56</v>
      </c>
      <c r="Y49" s="46">
        <v>3499802.28</v>
      </c>
      <c r="Z49" s="46">
        <v>3455623.39</v>
      </c>
      <c r="AA49" s="96">
        <v>3247313.9</v>
      </c>
      <c r="AB49" s="18"/>
      <c r="AC49" s="18"/>
      <c r="AD49" s="18"/>
      <c r="AE49" s="18"/>
      <c r="AF49" s="18"/>
    </row>
    <row r="50" spans="1:32" ht="15">
      <c r="A50" s="8" t="s">
        <v>64</v>
      </c>
      <c r="C50" s="25"/>
      <c r="D50" s="46">
        <v>0</v>
      </c>
      <c r="E50" s="46">
        <v>0</v>
      </c>
      <c r="F50" s="46">
        <v>0</v>
      </c>
      <c r="G50" s="46">
        <v>0</v>
      </c>
      <c r="H50" s="46">
        <v>0</v>
      </c>
      <c r="I50" s="46">
        <v>0</v>
      </c>
      <c r="J50" s="46">
        <v>0</v>
      </c>
      <c r="K50" s="46">
        <v>0</v>
      </c>
      <c r="L50" s="46">
        <v>0</v>
      </c>
      <c r="M50" s="46">
        <v>0</v>
      </c>
      <c r="N50" s="46">
        <v>0</v>
      </c>
      <c r="O50" s="46">
        <v>0</v>
      </c>
      <c r="P50" s="46">
        <v>0</v>
      </c>
      <c r="Q50" s="46">
        <v>0</v>
      </c>
      <c r="R50" s="46">
        <v>0</v>
      </c>
      <c r="S50" s="46">
        <v>0</v>
      </c>
      <c r="T50" s="46">
        <v>0</v>
      </c>
      <c r="U50" s="46">
        <v>0</v>
      </c>
      <c r="V50" s="46">
        <v>0</v>
      </c>
      <c r="W50" s="46">
        <v>0</v>
      </c>
      <c r="X50" s="46">
        <v>0</v>
      </c>
      <c r="Y50" s="46">
        <v>0</v>
      </c>
      <c r="Z50" s="46">
        <v>0</v>
      </c>
      <c r="AA50" s="96">
        <v>0</v>
      </c>
      <c r="AB50" s="18"/>
      <c r="AC50" s="18"/>
      <c r="AD50" s="18"/>
      <c r="AE50" s="18"/>
      <c r="AF50" s="18"/>
    </row>
    <row r="51" spans="1:32" ht="15">
      <c r="A51" s="8" t="s">
        <v>65</v>
      </c>
      <c r="C51" s="25"/>
      <c r="D51" s="46">
        <v>0</v>
      </c>
      <c r="E51" s="46">
        <v>0</v>
      </c>
      <c r="F51" s="46">
        <v>0</v>
      </c>
      <c r="G51" s="46">
        <v>0</v>
      </c>
      <c r="H51" s="46">
        <v>0</v>
      </c>
      <c r="I51" s="46">
        <v>0</v>
      </c>
      <c r="J51" s="46">
        <v>0</v>
      </c>
      <c r="K51" s="46">
        <v>0</v>
      </c>
      <c r="L51" s="46">
        <v>0</v>
      </c>
      <c r="M51" s="46">
        <v>0</v>
      </c>
      <c r="N51" s="46">
        <v>0</v>
      </c>
      <c r="O51" s="46">
        <v>0</v>
      </c>
      <c r="P51" s="46">
        <v>0</v>
      </c>
      <c r="Q51" s="46">
        <v>0</v>
      </c>
      <c r="R51" s="46">
        <v>0</v>
      </c>
      <c r="S51" s="46">
        <v>0</v>
      </c>
      <c r="T51" s="46">
        <v>0</v>
      </c>
      <c r="U51" s="46">
        <v>0</v>
      </c>
      <c r="V51" s="46">
        <v>0</v>
      </c>
      <c r="W51" s="46">
        <v>0</v>
      </c>
      <c r="X51" s="46">
        <v>0</v>
      </c>
      <c r="Y51" s="46">
        <v>0</v>
      </c>
      <c r="Z51" s="46">
        <v>0</v>
      </c>
      <c r="AA51" s="96">
        <v>0</v>
      </c>
      <c r="AB51" s="18"/>
      <c r="AC51" s="18"/>
      <c r="AD51" s="18"/>
      <c r="AE51" s="18"/>
      <c r="AF51" s="18"/>
    </row>
    <row r="52" spans="1:32" s="100" customFormat="1" ht="15">
      <c r="A52" s="154" t="s">
        <v>101</v>
      </c>
      <c r="B52" s="155"/>
      <c r="C52" s="156"/>
      <c r="D52" s="151">
        <v>0</v>
      </c>
      <c r="E52" s="151">
        <v>0</v>
      </c>
      <c r="F52" s="151">
        <v>0</v>
      </c>
      <c r="G52" s="151">
        <v>0</v>
      </c>
      <c r="H52" s="151">
        <v>0</v>
      </c>
      <c r="I52" s="151">
        <v>0</v>
      </c>
      <c r="J52" s="151"/>
      <c r="K52" s="151">
        <v>0</v>
      </c>
      <c r="L52" s="151">
        <v>0</v>
      </c>
      <c r="M52" s="151">
        <v>0</v>
      </c>
      <c r="N52" s="151">
        <v>0</v>
      </c>
      <c r="O52" s="151">
        <v>0</v>
      </c>
      <c r="P52" s="151">
        <v>0</v>
      </c>
      <c r="Q52" s="151">
        <v>0</v>
      </c>
      <c r="R52" s="151">
        <v>0</v>
      </c>
      <c r="S52" s="151">
        <v>0</v>
      </c>
      <c r="T52" s="151">
        <v>0</v>
      </c>
      <c r="U52" s="151">
        <v>0</v>
      </c>
      <c r="V52" s="151">
        <v>0</v>
      </c>
      <c r="W52" s="151">
        <v>0</v>
      </c>
      <c r="X52" s="151">
        <v>0</v>
      </c>
      <c r="Y52" s="151">
        <v>0</v>
      </c>
      <c r="Z52" s="151">
        <v>0</v>
      </c>
      <c r="AA52" s="95">
        <v>0</v>
      </c>
      <c r="AB52" s="178"/>
      <c r="AC52" s="114"/>
      <c r="AD52" s="114"/>
      <c r="AE52" s="114"/>
      <c r="AF52" s="114"/>
    </row>
    <row r="53" spans="1:32" s="100" customFormat="1" ht="15">
      <c r="A53" s="154" t="s">
        <v>102</v>
      </c>
      <c r="B53" s="155"/>
      <c r="C53" s="156"/>
      <c r="D53" s="151">
        <v>0</v>
      </c>
      <c r="E53" s="151">
        <v>0</v>
      </c>
      <c r="F53" s="151">
        <v>0</v>
      </c>
      <c r="G53" s="151">
        <v>0</v>
      </c>
      <c r="H53" s="151">
        <v>0</v>
      </c>
      <c r="I53" s="151">
        <v>0</v>
      </c>
      <c r="J53" s="151"/>
      <c r="K53" s="151">
        <v>0</v>
      </c>
      <c r="L53" s="151">
        <v>0</v>
      </c>
      <c r="M53" s="151">
        <v>0</v>
      </c>
      <c r="N53" s="151">
        <v>0</v>
      </c>
      <c r="O53" s="151">
        <v>0</v>
      </c>
      <c r="P53" s="151">
        <v>0</v>
      </c>
      <c r="Q53" s="151">
        <v>0</v>
      </c>
      <c r="R53" s="151">
        <v>0</v>
      </c>
      <c r="S53" s="151">
        <v>0</v>
      </c>
      <c r="T53" s="151">
        <v>0</v>
      </c>
      <c r="U53" s="151">
        <v>0</v>
      </c>
      <c r="V53" s="151">
        <v>0</v>
      </c>
      <c r="W53" s="151">
        <v>0</v>
      </c>
      <c r="X53" s="151">
        <v>0</v>
      </c>
      <c r="Y53" s="151">
        <v>0</v>
      </c>
      <c r="Z53" s="151">
        <v>0</v>
      </c>
      <c r="AA53" s="95">
        <v>0</v>
      </c>
      <c r="AB53" s="178"/>
      <c r="AC53" s="114"/>
      <c r="AD53" s="114"/>
      <c r="AE53" s="114"/>
      <c r="AF53" s="114"/>
    </row>
    <row r="54" spans="1:32" s="100" customFormat="1" ht="15">
      <c r="A54" s="154" t="s">
        <v>103</v>
      </c>
      <c r="B54" s="155"/>
      <c r="C54" s="156">
        <v>226393.8</v>
      </c>
      <c r="D54" s="151">
        <v>762845.68</v>
      </c>
      <c r="E54" s="151">
        <v>743007.59</v>
      </c>
      <c r="F54" s="151">
        <v>727391.59</v>
      </c>
      <c r="G54" s="151">
        <v>675379.27</v>
      </c>
      <c r="H54" s="151">
        <v>621733.05</v>
      </c>
      <c r="I54" s="151">
        <v>602708.32</v>
      </c>
      <c r="J54" s="151">
        <v>562536.99</v>
      </c>
      <c r="K54" s="151">
        <v>543154.44</v>
      </c>
      <c r="L54" s="151">
        <v>477405.26</v>
      </c>
      <c r="M54" s="151">
        <v>420691.48</v>
      </c>
      <c r="N54" s="151">
        <v>379430.1</v>
      </c>
      <c r="O54" s="151">
        <v>311118.42</v>
      </c>
      <c r="P54" s="151">
        <v>273487.34</v>
      </c>
      <c r="Q54" s="151">
        <v>476018.38</v>
      </c>
      <c r="R54" s="151">
        <v>442374.38</v>
      </c>
      <c r="S54" s="151">
        <v>399176.18</v>
      </c>
      <c r="T54" s="151">
        <v>364453.21</v>
      </c>
      <c r="U54" s="151">
        <v>329991.08</v>
      </c>
      <c r="V54" s="151">
        <v>319910.15</v>
      </c>
      <c r="W54" s="151">
        <v>273239.06</v>
      </c>
      <c r="X54" s="151">
        <v>202770.07</v>
      </c>
      <c r="Y54" s="151">
        <v>171903.57</v>
      </c>
      <c r="Z54" s="151">
        <v>149183.51</v>
      </c>
      <c r="AA54" s="95">
        <v>121899.89</v>
      </c>
      <c r="AB54" s="178"/>
      <c r="AC54" s="114"/>
      <c r="AD54" s="114"/>
      <c r="AE54" s="114"/>
      <c r="AF54" s="114"/>
    </row>
    <row r="55" spans="1:32" s="100" customFormat="1" ht="15">
      <c r="A55" s="154" t="s">
        <v>104</v>
      </c>
      <c r="B55" s="155"/>
      <c r="C55" s="156"/>
      <c r="D55" s="151">
        <v>0</v>
      </c>
      <c r="E55" s="151">
        <v>0</v>
      </c>
      <c r="F55" s="151">
        <v>0</v>
      </c>
      <c r="G55" s="151">
        <v>0</v>
      </c>
      <c r="H55" s="151">
        <v>0</v>
      </c>
      <c r="I55" s="151">
        <v>0</v>
      </c>
      <c r="J55" s="151"/>
      <c r="K55" s="151">
        <v>0</v>
      </c>
      <c r="L55" s="151">
        <v>0</v>
      </c>
      <c r="M55" s="151">
        <v>0</v>
      </c>
      <c r="N55" s="151">
        <v>0</v>
      </c>
      <c r="O55" s="151">
        <v>0</v>
      </c>
      <c r="P55" s="151">
        <v>0</v>
      </c>
      <c r="Q55" s="151">
        <v>0</v>
      </c>
      <c r="R55" s="151">
        <v>0</v>
      </c>
      <c r="S55" s="151">
        <v>0</v>
      </c>
      <c r="T55" s="151">
        <v>0</v>
      </c>
      <c r="U55" s="151">
        <v>0</v>
      </c>
      <c r="V55" s="151">
        <v>0</v>
      </c>
      <c r="W55" s="151">
        <v>0</v>
      </c>
      <c r="X55" s="151">
        <v>0</v>
      </c>
      <c r="Y55" s="151">
        <v>0</v>
      </c>
      <c r="Z55" s="151">
        <v>0</v>
      </c>
      <c r="AA55" s="95">
        <v>0</v>
      </c>
      <c r="AB55" s="178"/>
      <c r="AC55" s="114"/>
      <c r="AD55" s="114"/>
      <c r="AE55" s="114"/>
      <c r="AF55" s="114"/>
    </row>
    <row r="56" spans="1:32" s="100" customFormat="1" ht="15">
      <c r="A56" s="154" t="s">
        <v>105</v>
      </c>
      <c r="B56" s="155"/>
      <c r="C56" s="156"/>
      <c r="D56" s="151">
        <v>0</v>
      </c>
      <c r="E56" s="151">
        <v>0</v>
      </c>
      <c r="F56" s="151">
        <v>0</v>
      </c>
      <c r="G56" s="151">
        <v>0</v>
      </c>
      <c r="H56" s="151">
        <v>0</v>
      </c>
      <c r="I56" s="151">
        <v>0</v>
      </c>
      <c r="J56" s="151"/>
      <c r="K56" s="151">
        <v>0</v>
      </c>
      <c r="L56" s="151">
        <v>0</v>
      </c>
      <c r="M56" s="151">
        <v>0</v>
      </c>
      <c r="N56" s="151">
        <v>0</v>
      </c>
      <c r="O56" s="151">
        <v>0</v>
      </c>
      <c r="P56" s="151">
        <v>0</v>
      </c>
      <c r="Q56" s="151">
        <v>0</v>
      </c>
      <c r="R56" s="151">
        <v>0</v>
      </c>
      <c r="S56" s="151">
        <v>0</v>
      </c>
      <c r="T56" s="151">
        <v>0</v>
      </c>
      <c r="U56" s="151">
        <v>0</v>
      </c>
      <c r="V56" s="151">
        <v>0</v>
      </c>
      <c r="W56" s="151">
        <v>0</v>
      </c>
      <c r="X56" s="151">
        <v>0</v>
      </c>
      <c r="Y56" s="151">
        <v>0</v>
      </c>
      <c r="Z56" s="151">
        <v>0</v>
      </c>
      <c r="AA56" s="95">
        <v>0</v>
      </c>
      <c r="AB56" s="178"/>
      <c r="AC56" s="114"/>
      <c r="AD56" s="114"/>
      <c r="AE56" s="114"/>
      <c r="AF56" s="114"/>
    </row>
    <row r="57" spans="1:32" s="100" customFormat="1" ht="15">
      <c r="A57" s="105" t="s">
        <v>106</v>
      </c>
      <c r="C57" s="120"/>
      <c r="D57" s="142">
        <v>0</v>
      </c>
      <c r="E57" s="142">
        <v>0</v>
      </c>
      <c r="F57" s="142">
        <v>0</v>
      </c>
      <c r="G57" s="142">
        <v>0</v>
      </c>
      <c r="H57" s="142">
        <v>0</v>
      </c>
      <c r="I57" s="142">
        <v>0</v>
      </c>
      <c r="J57" s="142"/>
      <c r="K57" s="142">
        <v>0</v>
      </c>
      <c r="L57" s="142">
        <v>0</v>
      </c>
      <c r="M57" s="142">
        <v>0</v>
      </c>
      <c r="N57" s="142">
        <v>0</v>
      </c>
      <c r="O57" s="142">
        <v>0</v>
      </c>
      <c r="P57" s="142">
        <v>0</v>
      </c>
      <c r="Q57" s="142">
        <v>0</v>
      </c>
      <c r="R57" s="142">
        <v>0</v>
      </c>
      <c r="S57" s="142">
        <v>0</v>
      </c>
      <c r="T57" s="142">
        <v>0</v>
      </c>
      <c r="U57" s="142">
        <v>0</v>
      </c>
      <c r="V57" s="142">
        <v>0</v>
      </c>
      <c r="W57" s="142">
        <v>0</v>
      </c>
      <c r="X57" s="142">
        <v>0</v>
      </c>
      <c r="Y57" s="142">
        <v>0</v>
      </c>
      <c r="Z57" s="142">
        <v>0</v>
      </c>
      <c r="AA57" s="96">
        <v>0</v>
      </c>
      <c r="AB57" s="114"/>
      <c r="AC57" s="114"/>
      <c r="AD57" s="114"/>
      <c r="AE57" s="114"/>
      <c r="AF57" s="114"/>
    </row>
    <row r="58" spans="1:32" s="100" customFormat="1" ht="15">
      <c r="A58" s="105" t="s">
        <v>107</v>
      </c>
      <c r="C58" s="120"/>
      <c r="D58" s="142">
        <v>0</v>
      </c>
      <c r="E58" s="142">
        <v>0</v>
      </c>
      <c r="F58" s="142">
        <v>0</v>
      </c>
      <c r="G58" s="142">
        <v>0</v>
      </c>
      <c r="H58" s="142">
        <v>0</v>
      </c>
      <c r="I58" s="142">
        <v>0</v>
      </c>
      <c r="J58" s="142"/>
      <c r="K58" s="142">
        <v>0</v>
      </c>
      <c r="L58" s="142">
        <v>0</v>
      </c>
      <c r="M58" s="142">
        <v>0</v>
      </c>
      <c r="N58" s="142">
        <v>0</v>
      </c>
      <c r="O58" s="142">
        <v>0</v>
      </c>
      <c r="P58" s="142">
        <v>0</v>
      </c>
      <c r="Q58" s="142">
        <v>0</v>
      </c>
      <c r="R58" s="142">
        <v>0</v>
      </c>
      <c r="S58" s="142">
        <v>0</v>
      </c>
      <c r="T58" s="142">
        <v>0</v>
      </c>
      <c r="U58" s="142">
        <v>0</v>
      </c>
      <c r="V58" s="142">
        <v>0</v>
      </c>
      <c r="W58" s="142">
        <v>0</v>
      </c>
      <c r="X58" s="142">
        <v>0</v>
      </c>
      <c r="Y58" s="142">
        <v>0</v>
      </c>
      <c r="Z58" s="142">
        <v>0</v>
      </c>
      <c r="AA58" s="96">
        <v>0</v>
      </c>
      <c r="AB58" s="114"/>
      <c r="AC58" s="114"/>
      <c r="AD58" s="114"/>
      <c r="AE58" s="114"/>
      <c r="AF58" s="114"/>
    </row>
    <row r="59" spans="1:32" s="100" customFormat="1" ht="15">
      <c r="A59" s="105" t="s">
        <v>108</v>
      </c>
      <c r="C59" s="120">
        <v>154883.38</v>
      </c>
      <c r="D59" s="142">
        <v>642144.38</v>
      </c>
      <c r="E59" s="142">
        <v>629049.52</v>
      </c>
      <c r="F59" s="142">
        <v>628623.52</v>
      </c>
      <c r="G59" s="142">
        <v>607221.58</v>
      </c>
      <c r="H59" s="142">
        <v>602589.88</v>
      </c>
      <c r="I59" s="142">
        <v>586050.57</v>
      </c>
      <c r="J59" s="142">
        <v>576395.57</v>
      </c>
      <c r="K59" s="142">
        <v>564700.53</v>
      </c>
      <c r="L59" s="142">
        <v>525019.54</v>
      </c>
      <c r="M59" s="142">
        <v>502367.19</v>
      </c>
      <c r="N59" s="142">
        <v>475437.61</v>
      </c>
      <c r="O59" s="142">
        <v>450111.87</v>
      </c>
      <c r="P59" s="142">
        <v>391537.07</v>
      </c>
      <c r="Q59" s="142">
        <v>532733.18</v>
      </c>
      <c r="R59" s="142">
        <v>519759.75</v>
      </c>
      <c r="S59" s="142">
        <v>515910.8</v>
      </c>
      <c r="T59" s="142">
        <v>503906.63</v>
      </c>
      <c r="U59" s="142">
        <v>487451.17</v>
      </c>
      <c r="V59" s="142">
        <v>478450.47</v>
      </c>
      <c r="W59" s="142">
        <v>469289.1</v>
      </c>
      <c r="X59" s="142">
        <v>435661.15</v>
      </c>
      <c r="Y59" s="142">
        <v>413647.79</v>
      </c>
      <c r="Z59" s="142">
        <v>390590.79</v>
      </c>
      <c r="AA59" s="96">
        <v>369436.2</v>
      </c>
      <c r="AB59" s="114"/>
      <c r="AC59" s="114"/>
      <c r="AD59" s="114"/>
      <c r="AE59" s="114"/>
      <c r="AF59" s="114"/>
    </row>
    <row r="60" spans="1:32" s="100" customFormat="1" ht="15">
      <c r="A60" s="105" t="s">
        <v>109</v>
      </c>
      <c r="C60" s="120"/>
      <c r="D60" s="142">
        <v>0</v>
      </c>
      <c r="E60" s="142">
        <v>0</v>
      </c>
      <c r="F60" s="142">
        <v>0</v>
      </c>
      <c r="G60" s="142">
        <v>0</v>
      </c>
      <c r="H60" s="142">
        <v>0</v>
      </c>
      <c r="I60" s="142">
        <v>0</v>
      </c>
      <c r="J60" s="142"/>
      <c r="K60" s="142">
        <v>0</v>
      </c>
      <c r="L60" s="142">
        <v>0</v>
      </c>
      <c r="M60" s="142">
        <v>0</v>
      </c>
      <c r="N60" s="142">
        <v>0</v>
      </c>
      <c r="O60" s="142">
        <v>0</v>
      </c>
      <c r="P60" s="142">
        <v>0</v>
      </c>
      <c r="Q60" s="142">
        <v>0</v>
      </c>
      <c r="R60" s="142">
        <v>0</v>
      </c>
      <c r="S60" s="142">
        <v>0</v>
      </c>
      <c r="T60" s="142">
        <v>0</v>
      </c>
      <c r="U60" s="142">
        <v>0</v>
      </c>
      <c r="V60" s="142">
        <v>0</v>
      </c>
      <c r="W60" s="142">
        <v>0</v>
      </c>
      <c r="X60" s="142">
        <v>0</v>
      </c>
      <c r="Y60" s="142">
        <v>0</v>
      </c>
      <c r="Z60" s="142">
        <v>0</v>
      </c>
      <c r="AA60" s="96">
        <v>0</v>
      </c>
      <c r="AB60" s="114"/>
      <c r="AC60" s="114"/>
      <c r="AD60" s="114"/>
      <c r="AE60" s="114"/>
      <c r="AF60" s="114"/>
    </row>
    <row r="61" spans="1:32" s="100" customFormat="1" ht="15">
      <c r="A61" s="105" t="s">
        <v>110</v>
      </c>
      <c r="C61" s="120"/>
      <c r="D61" s="142">
        <v>0</v>
      </c>
      <c r="E61" s="142">
        <v>0</v>
      </c>
      <c r="F61" s="142">
        <v>0</v>
      </c>
      <c r="G61" s="142">
        <v>0</v>
      </c>
      <c r="H61" s="142">
        <v>0</v>
      </c>
      <c r="I61" s="142">
        <v>0</v>
      </c>
      <c r="J61" s="142"/>
      <c r="K61" s="142">
        <v>0</v>
      </c>
      <c r="L61" s="142">
        <v>0</v>
      </c>
      <c r="M61" s="142">
        <v>0</v>
      </c>
      <c r="N61" s="142">
        <v>0</v>
      </c>
      <c r="O61" s="142">
        <v>0</v>
      </c>
      <c r="P61" s="142">
        <v>0</v>
      </c>
      <c r="Q61" s="142">
        <v>0</v>
      </c>
      <c r="R61" s="142">
        <v>0</v>
      </c>
      <c r="S61" s="142">
        <v>0</v>
      </c>
      <c r="T61" s="142">
        <v>0</v>
      </c>
      <c r="U61" s="142">
        <v>0</v>
      </c>
      <c r="V61" s="142">
        <v>0</v>
      </c>
      <c r="W61" s="142">
        <v>0</v>
      </c>
      <c r="X61" s="142">
        <v>0</v>
      </c>
      <c r="Y61" s="142">
        <v>0</v>
      </c>
      <c r="Z61" s="142">
        <v>0</v>
      </c>
      <c r="AA61" s="96">
        <v>0</v>
      </c>
      <c r="AB61" s="114"/>
      <c r="AC61" s="114"/>
      <c r="AD61" s="114"/>
      <c r="AE61" s="114"/>
      <c r="AF61" s="114"/>
    </row>
    <row r="62" spans="1:32" ht="15">
      <c r="A62" s="8"/>
      <c r="C62" s="25"/>
      <c r="D62" s="46"/>
      <c r="E62" s="46"/>
      <c r="F62" s="46"/>
      <c r="G62" s="46"/>
      <c r="H62" s="46"/>
      <c r="I62" s="46"/>
      <c r="J62" s="46" t="s">
        <v>12</v>
      </c>
      <c r="K62" s="46"/>
      <c r="L62" s="46"/>
      <c r="M62" s="46"/>
      <c r="N62" s="46"/>
      <c r="O62" s="46"/>
      <c r="P62" s="46"/>
      <c r="Q62" s="46"/>
      <c r="R62" s="46"/>
      <c r="S62" s="46"/>
      <c r="T62" s="46"/>
      <c r="U62" s="46"/>
      <c r="V62" s="46"/>
      <c r="W62" s="46"/>
      <c r="X62" s="46"/>
      <c r="Y62" s="46"/>
      <c r="Z62" s="46"/>
      <c r="AA62" s="46"/>
      <c r="AB62" s="18"/>
      <c r="AC62" s="18"/>
      <c r="AD62" s="18"/>
      <c r="AE62" s="18"/>
      <c r="AF62" s="18"/>
    </row>
    <row r="63" spans="1:32" ht="15">
      <c r="A63" s="8" t="s">
        <v>10</v>
      </c>
      <c r="C63" s="24">
        <f>SUM(C32:C61)</f>
        <v>9878036.72</v>
      </c>
      <c r="D63" s="56">
        <f aca="true" t="shared" si="5" ref="D63:AA63">SUM(D32:D62)</f>
        <v>9932679.870000001</v>
      </c>
      <c r="E63" s="56">
        <f t="shared" si="5"/>
        <v>9761150.82</v>
      </c>
      <c r="F63" s="56">
        <f t="shared" si="5"/>
        <v>10244291.549999999</v>
      </c>
      <c r="G63" s="56">
        <f t="shared" si="5"/>
        <v>9605091.24</v>
      </c>
      <c r="H63" s="56">
        <f t="shared" si="5"/>
        <v>9263383.170000002</v>
      </c>
      <c r="I63" s="56">
        <f t="shared" si="5"/>
        <v>9353207.65</v>
      </c>
      <c r="J63" s="56">
        <f t="shared" si="5"/>
        <v>9617101.76</v>
      </c>
      <c r="K63" s="56">
        <f t="shared" si="5"/>
        <v>9909415.29</v>
      </c>
      <c r="L63" s="56">
        <f t="shared" si="5"/>
        <v>9355505.760000002</v>
      </c>
      <c r="M63" s="56">
        <f t="shared" si="5"/>
        <v>9186528.239999998</v>
      </c>
      <c r="N63" s="56">
        <f t="shared" si="5"/>
        <v>9138687.829999998</v>
      </c>
      <c r="O63" s="56">
        <f t="shared" si="5"/>
        <v>8957109.879999999</v>
      </c>
      <c r="P63" s="56">
        <f t="shared" si="5"/>
        <v>9155298.450000001</v>
      </c>
      <c r="Q63" s="56">
        <f t="shared" si="5"/>
        <v>8152612.999999999</v>
      </c>
      <c r="R63" s="56">
        <f t="shared" si="5"/>
        <v>8391882.14</v>
      </c>
      <c r="S63" s="56">
        <f t="shared" si="5"/>
        <v>8657902.44</v>
      </c>
      <c r="T63" s="56">
        <f t="shared" si="5"/>
        <v>8171551.68</v>
      </c>
      <c r="U63" s="56">
        <f t="shared" si="5"/>
        <v>7963406.300000001</v>
      </c>
      <c r="V63" s="56">
        <f t="shared" si="5"/>
        <v>8220457.56</v>
      </c>
      <c r="W63" s="56">
        <f t="shared" si="5"/>
        <v>8222196.539999999</v>
      </c>
      <c r="X63" s="56">
        <f t="shared" si="5"/>
        <v>7952269.030000001</v>
      </c>
      <c r="Y63" s="56">
        <f t="shared" si="5"/>
        <v>8101739.63</v>
      </c>
      <c r="Z63" s="56">
        <f t="shared" si="5"/>
        <v>7856075.819999999</v>
      </c>
      <c r="AA63" s="56">
        <f t="shared" si="5"/>
        <v>7147055.129999999</v>
      </c>
      <c r="AB63" s="18"/>
      <c r="AC63" s="18"/>
      <c r="AD63" s="18"/>
      <c r="AE63" s="18"/>
      <c r="AF63" s="18"/>
    </row>
    <row r="64" spans="4:41" ht="15">
      <c r="D64" s="19"/>
      <c r="E64" s="19"/>
      <c r="F64" s="19"/>
      <c r="G64" s="19"/>
      <c r="H64" s="19"/>
      <c r="I64" s="19"/>
      <c r="J64" s="19"/>
      <c r="K64" s="19"/>
      <c r="L64" s="19"/>
      <c r="M64" s="19"/>
      <c r="N64" s="19"/>
      <c r="O64" s="19"/>
      <c r="P64" s="19"/>
      <c r="Q64" s="19"/>
      <c r="R64" s="19"/>
      <c r="S64" s="19"/>
      <c r="T64" s="19"/>
      <c r="U64" s="19"/>
      <c r="V64" s="19"/>
      <c r="W64" s="19"/>
      <c r="X64" s="19"/>
      <c r="Y64" s="19"/>
      <c r="Z64" s="19"/>
      <c r="AA64" s="19"/>
      <c r="AB64" s="18"/>
      <c r="AC64" s="18"/>
      <c r="AD64" s="18"/>
      <c r="AE64" s="18"/>
      <c r="AF64" s="18"/>
      <c r="AG64" s="20"/>
      <c r="AH64" s="20"/>
      <c r="AI64" s="20"/>
      <c r="AJ64" s="20"/>
      <c r="AK64" s="20"/>
      <c r="AL64" s="20"/>
      <c r="AM64" s="20"/>
      <c r="AN64" s="20"/>
      <c r="AO64" s="20"/>
    </row>
    <row r="65" spans="1:41" ht="15">
      <c r="A65" s="3" t="s">
        <v>6</v>
      </c>
      <c r="C65" s="97">
        <f aca="true" t="shared" si="6" ref="C65:W65">C26-C63</f>
        <v>0</v>
      </c>
      <c r="D65" s="45">
        <f t="shared" si="6"/>
        <v>0</v>
      </c>
      <c r="E65" s="45">
        <f t="shared" si="6"/>
        <v>0</v>
      </c>
      <c r="F65" s="45">
        <f t="shared" si="6"/>
        <v>0</v>
      </c>
      <c r="G65" s="45">
        <f t="shared" si="6"/>
        <v>0</v>
      </c>
      <c r="H65" s="45">
        <f t="shared" si="6"/>
        <v>0</v>
      </c>
      <c r="I65" s="45">
        <f t="shared" si="6"/>
        <v>0</v>
      </c>
      <c r="J65" s="45">
        <f t="shared" si="6"/>
        <v>0</v>
      </c>
      <c r="K65" s="45">
        <f t="shared" si="6"/>
        <v>0</v>
      </c>
      <c r="L65" s="45">
        <f t="shared" si="6"/>
        <v>0</v>
      </c>
      <c r="M65" s="45">
        <f t="shared" si="6"/>
        <v>0</v>
      </c>
      <c r="N65" s="45">
        <f t="shared" si="6"/>
        <v>0</v>
      </c>
      <c r="O65" s="45">
        <f t="shared" si="6"/>
        <v>0</v>
      </c>
      <c r="P65" s="45">
        <f t="shared" si="6"/>
        <v>0</v>
      </c>
      <c r="Q65" s="45">
        <f t="shared" si="6"/>
        <v>0</v>
      </c>
      <c r="R65" s="45">
        <f t="shared" si="6"/>
        <v>0</v>
      </c>
      <c r="S65" s="45">
        <f t="shared" si="6"/>
        <v>0</v>
      </c>
      <c r="T65" s="45">
        <f t="shared" si="6"/>
        <v>0</v>
      </c>
      <c r="U65" s="45">
        <f t="shared" si="6"/>
        <v>0</v>
      </c>
      <c r="V65" s="45">
        <f t="shared" si="6"/>
        <v>0</v>
      </c>
      <c r="W65" s="45">
        <f t="shared" si="6"/>
        <v>0</v>
      </c>
      <c r="X65" s="45">
        <f>X26-X29-X63</f>
        <v>0</v>
      </c>
      <c r="Y65" s="45">
        <f>Y26-Y29-Y63</f>
        <v>0</v>
      </c>
      <c r="Z65" s="45">
        <f>Z26-Z29-Z63</f>
        <v>0</v>
      </c>
      <c r="AA65" s="45">
        <f>AA26-AA29-AA63</f>
        <v>0</v>
      </c>
      <c r="AB65" s="18"/>
      <c r="AC65" s="18"/>
      <c r="AD65" s="18"/>
      <c r="AE65" s="18"/>
      <c r="AF65" s="18"/>
      <c r="AG65" s="20"/>
      <c r="AH65" s="20"/>
      <c r="AI65" s="20"/>
      <c r="AJ65" s="20"/>
      <c r="AK65" s="20"/>
      <c r="AL65" s="20"/>
      <c r="AM65" s="20"/>
      <c r="AN65" s="20"/>
      <c r="AO65" s="20"/>
    </row>
    <row r="66" spans="4:41" ht="15">
      <c r="D66" s="21"/>
      <c r="E66" s="21"/>
      <c r="F66" s="21"/>
      <c r="G66" s="21"/>
      <c r="H66" s="21"/>
      <c r="I66" s="21"/>
      <c r="J66" s="21"/>
      <c r="K66" s="21"/>
      <c r="L66" s="21"/>
      <c r="M66" s="21"/>
      <c r="N66" s="21"/>
      <c r="O66" s="21"/>
      <c r="P66" s="21"/>
      <c r="Q66" s="21"/>
      <c r="R66" s="21"/>
      <c r="S66" s="21"/>
      <c r="T66" s="21"/>
      <c r="U66" s="21"/>
      <c r="V66" s="21"/>
      <c r="W66" s="21"/>
      <c r="X66" s="21"/>
      <c r="Y66" s="21"/>
      <c r="Z66" s="21"/>
      <c r="AA66" s="21"/>
      <c r="AC66" s="18"/>
      <c r="AD66" s="18"/>
      <c r="AE66" s="18"/>
      <c r="AF66" s="18"/>
      <c r="AG66" s="20"/>
      <c r="AH66" s="20"/>
      <c r="AI66" s="20"/>
      <c r="AJ66" s="20"/>
      <c r="AK66" s="20"/>
      <c r="AL66" s="20"/>
      <c r="AM66" s="20"/>
      <c r="AN66" s="20"/>
      <c r="AO66" s="20"/>
    </row>
    <row r="67" spans="1:32" ht="15">
      <c r="A67" s="3" t="s">
        <v>67</v>
      </c>
      <c r="D67" s="43">
        <f aca="true" t="shared" si="7" ref="D67:AA67">D26-D63</f>
        <v>0</v>
      </c>
      <c r="E67" s="43">
        <f t="shared" si="7"/>
        <v>0</v>
      </c>
      <c r="F67" s="43">
        <f t="shared" si="7"/>
        <v>0</v>
      </c>
      <c r="G67" s="43">
        <f t="shared" si="7"/>
        <v>0</v>
      </c>
      <c r="H67" s="43">
        <f t="shared" si="7"/>
        <v>0</v>
      </c>
      <c r="I67" s="43">
        <f t="shared" si="7"/>
        <v>0</v>
      </c>
      <c r="J67" s="43">
        <f t="shared" si="7"/>
        <v>0</v>
      </c>
      <c r="K67" s="43">
        <f t="shared" si="7"/>
        <v>0</v>
      </c>
      <c r="L67" s="43">
        <f t="shared" si="7"/>
        <v>0</v>
      </c>
      <c r="M67" s="43">
        <f t="shared" si="7"/>
        <v>0</v>
      </c>
      <c r="N67" s="43">
        <f t="shared" si="7"/>
        <v>0</v>
      </c>
      <c r="O67" s="43">
        <f t="shared" si="7"/>
        <v>0</v>
      </c>
      <c r="P67" s="43">
        <f t="shared" si="7"/>
        <v>0</v>
      </c>
      <c r="Q67" s="43">
        <f t="shared" si="7"/>
        <v>0</v>
      </c>
      <c r="R67" s="43">
        <f t="shared" si="7"/>
        <v>0</v>
      </c>
      <c r="S67" s="43">
        <f t="shared" si="7"/>
        <v>0</v>
      </c>
      <c r="T67" s="43">
        <f t="shared" si="7"/>
        <v>0</v>
      </c>
      <c r="U67" s="43">
        <f t="shared" si="7"/>
        <v>0</v>
      </c>
      <c r="V67" s="43">
        <f t="shared" si="7"/>
        <v>0</v>
      </c>
      <c r="W67" s="43">
        <f t="shared" si="7"/>
        <v>0</v>
      </c>
      <c r="X67" s="43">
        <f t="shared" si="7"/>
        <v>0</v>
      </c>
      <c r="Y67" s="43">
        <f t="shared" si="7"/>
        <v>0</v>
      </c>
      <c r="Z67" s="43">
        <f t="shared" si="7"/>
        <v>0</v>
      </c>
      <c r="AA67" s="43">
        <f t="shared" si="7"/>
        <v>0</v>
      </c>
      <c r="AC67" s="18"/>
      <c r="AD67" s="18"/>
      <c r="AE67" s="18"/>
      <c r="AF67" s="18"/>
    </row>
    <row r="68" spans="1:32" ht="15">
      <c r="A68" s="3" t="s">
        <v>16</v>
      </c>
      <c r="AC68" s="18"/>
      <c r="AD68" s="18"/>
      <c r="AE68" s="18"/>
      <c r="AF68" s="18"/>
    </row>
    <row r="69" spans="29:32" ht="15">
      <c r="AC69" s="18"/>
      <c r="AD69" s="18"/>
      <c r="AE69" s="18"/>
      <c r="AF69" s="18"/>
    </row>
    <row r="70" spans="29:32" ht="15">
      <c r="AC70" s="18"/>
      <c r="AD70" s="18"/>
      <c r="AE70" s="18"/>
      <c r="AF70" s="18"/>
    </row>
    <row r="71" spans="29:32" ht="15">
      <c r="AC71" s="18"/>
      <c r="AD71" s="18"/>
      <c r="AE71" s="18"/>
      <c r="AF71" s="18"/>
    </row>
    <row r="72" spans="29:32" ht="15">
      <c r="AC72" s="18"/>
      <c r="AD72" s="18"/>
      <c r="AE72" s="18"/>
      <c r="AF72" s="18"/>
    </row>
    <row r="73" spans="29:32" ht="15">
      <c r="AC73" s="18"/>
      <c r="AD73" s="18"/>
      <c r="AE73" s="18"/>
      <c r="AF73" s="18"/>
    </row>
  </sheetData>
  <sheetProtection/>
  <mergeCells count="2">
    <mergeCell ref="D2:O2"/>
    <mergeCell ref="P2:AA2"/>
  </mergeCells>
  <printOptions/>
  <pageMargins left="0" right="0" top="0.5" bottom="0.5" header="0" footer="0"/>
  <pageSetup fitToWidth="2" horizontalDpi="600" verticalDpi="600" orientation="landscape" paperSize="5" scale="70" r:id="rId3"/>
  <headerFooter alignWithMargins="0">
    <oddFooter>&amp;L&amp;Z&amp;F</oddFooter>
  </headerFooter>
  <colBreaks count="1" manualBreakCount="1">
    <brk id="16" max="57" man="1"/>
  </colBreaks>
  <ignoredErrors>
    <ignoredError sqref="AC7 X18:AA19 C26 E24:G24 D14:K16 D25:K26 D24 H24:K24 C63:K67 L19:V19 L63:W67 D18:K19 D17:G17 D23:K23 D20:J20 D21:J21 D22:J22 L25:V26 M24:V24 AC18:AC19 AC8 AC14 AC15 AC16 AC17 AC24:AE26 AC20 AC21 AC22 AC23 I17:J17 L18:N18 Q18:V18 X24:AA26 O18:P18 Q23 W18:W19 W24 W26 X63:AA67 AD18:AD19 AE20 AE21 AE22 AE23 AE18:AE19 AD14:AE17 AD20 AD23 AD22 AD21 AD6:AE8 D8:K8 AC9:AE13"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Oregon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Conservation Helping Oregonians: Public Purpose Charge Report Ending 06-30-2018 </dc:title>
  <dc:subject/>
  <dc:creator>Kathryn Nordhill</dc:creator>
  <cp:keywords>Energy Conservation Helping Oregonians: Public Purpose Charge Report Ending 06-30-2018 </cp:keywords>
  <dc:description/>
  <cp:lastModifiedBy>Suzanne Harris</cp:lastModifiedBy>
  <cp:lastPrinted>2018-07-18T16:58:57Z</cp:lastPrinted>
  <dcterms:created xsi:type="dcterms:W3CDTF">2002-10-14T20:54:40Z</dcterms:created>
  <dcterms:modified xsi:type="dcterms:W3CDTF">2019-01-23T16:25:16Z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Loca">
    <vt:lpwstr>en</vt:lpwstr>
  </property>
  <property fmtid="{D5CDD505-2E9C-101B-9397-08002B2CF9AE}" pid="4" name="CopyToStateL">
    <vt:lpwstr>0</vt:lpwstr>
  </property>
  <property fmtid="{D5CDD505-2E9C-101B-9397-08002B2CF9AE}" pid="5" name="Metada">
    <vt:lpwstr>Energy Conservation Helping Oregonians: Public Purpose Charge Report Ending 06-30-2018 </vt:lpwstr>
  </property>
  <property fmtid="{D5CDD505-2E9C-101B-9397-08002B2CF9AE}" pid="6" name="RoutingRuleDescripti">
    <vt:lpwstr>Energy Conservation Helping Oregonians: Public Purpose Charge Report Ending 06-30-2018 </vt:lpwstr>
  </property>
</Properties>
</file>